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png" ContentType="image/png"/>
  <Default Extension="bin" ContentType="application/vnd.openxmlformats-officedocument.spreadsheetml.printerSettings"/>
  <Override PartName="/docProps/core.xml" ContentType="application/vnd.openxmlformats-package.core-properties+xml"/>
  <Override PartName="/xl/workbook.xml" ContentType="application/vnd.ms-excel.template.macroEnabled.main+xml"/>
  <Override PartName="/xl/worksheets/sheet131.xml" ContentType="application/vnd.openxmlformats-officedocument.spreadsheetml.worksheet+xml"/>
  <Override PartName="/xl/tables/table1501.xml" ContentType="application/vnd.openxmlformats-officedocument.spreadsheetml.table+xml"/>
  <Override PartName="/xl/tables/table1552.xml" ContentType="application/vnd.openxmlformats-officedocument.spreadsheetml.table+xml"/>
  <Override PartName="/xl/tables/table1453.xml" ContentType="application/vnd.openxmlformats-officedocument.spreadsheetml.table+xml"/>
  <Override PartName="/xl/tables/table1494.xml" ContentType="application/vnd.openxmlformats-officedocument.spreadsheetml.table+xml"/>
  <Override PartName="/xl/tables/table1545.xml" ContentType="application/vnd.openxmlformats-officedocument.spreadsheetml.table+xml"/>
  <Override PartName="/xl/drawings/drawing131.xml" ContentType="application/vnd.openxmlformats-officedocument.drawing+xml"/>
  <Override PartName="/xl/tables/table1486.xml" ContentType="application/vnd.openxmlformats-officedocument.spreadsheetml.table+xml"/>
  <Override PartName="/xl/tables/table1537.xml" ContentType="application/vnd.openxmlformats-officedocument.spreadsheetml.table+xml"/>
  <Override PartName="/xl/tables/table1478.xml" ContentType="application/vnd.openxmlformats-officedocument.spreadsheetml.table+xml"/>
  <Override PartName="/xl/tables/table1529.xml" ContentType="application/vnd.openxmlformats-officedocument.spreadsheetml.table+xml"/>
  <Override PartName="/xl/tables/table14610.xml" ContentType="application/vnd.openxmlformats-officedocument.spreadsheetml.table+xml"/>
  <Override PartName="/xl/tables/table15111.xml" ContentType="application/vnd.openxmlformats-officedocument.spreadsheetml.table+xml"/>
  <Override PartName="/xl/tables/table15612.xml" ContentType="application/vnd.openxmlformats-officedocument.spreadsheetml.table+xml"/>
  <Override PartName="/xl/externalLinks/externalLink2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53.xml" ContentType="application/vnd.openxmlformats-officedocument.spreadsheetml.externalLink+xml"/>
  <Override PartName="/xl/calcChain.xml" ContentType="application/vnd.openxmlformats-officedocument.spreadsheetml.calcChain+xml"/>
  <Override PartName="/xl/worksheets/sheet72.xml" ContentType="application/vnd.openxmlformats-officedocument.spreadsheetml.worksheet+xml"/>
  <Override PartName="/xl/tables/table7813.xml" ContentType="application/vnd.openxmlformats-officedocument.spreadsheetml.table+xml"/>
  <Override PartName="/xl/tables/table8314.xml" ContentType="application/vnd.openxmlformats-officedocument.spreadsheetml.table+xml"/>
  <Override PartName="/xl/tables/table7315.xml" ContentType="application/vnd.openxmlformats-officedocument.spreadsheetml.table+xml"/>
  <Override PartName="/xl/tables/table7716.xml" ContentType="application/vnd.openxmlformats-officedocument.spreadsheetml.table+xml"/>
  <Override PartName="/xl/tables/table8217.xml" ContentType="application/vnd.openxmlformats-officedocument.spreadsheetml.table+xml"/>
  <Override PartName="/xl/drawings/drawing72.xml" ContentType="application/vnd.openxmlformats-officedocument.drawing+xml"/>
  <Override PartName="/xl/tables/table7618.xml" ContentType="application/vnd.openxmlformats-officedocument.spreadsheetml.table+xml"/>
  <Override PartName="/xl/tables/table8119.xml" ContentType="application/vnd.openxmlformats-officedocument.spreadsheetml.table+xml"/>
  <Override PartName="/xl/tables/table7520.xml" ContentType="application/vnd.openxmlformats-officedocument.spreadsheetml.table+xml"/>
  <Override PartName="/xl/tables/table8021.xml" ContentType="application/vnd.openxmlformats-officedocument.spreadsheetml.table+xml"/>
  <Override PartName="/xl/tables/table7422.xml" ContentType="application/vnd.openxmlformats-officedocument.spreadsheetml.table+xml"/>
  <Override PartName="/xl/tables/table7923.xml" ContentType="application/vnd.openxmlformats-officedocument.spreadsheetml.table+xml"/>
  <Override PartName="/xl/tables/table8424.xml" ContentType="application/vnd.openxmlformats-officedocument.spreadsheetml.table+xml"/>
  <Override PartName="/xl/worksheets/sheet123.xml" ContentType="application/vnd.openxmlformats-officedocument.spreadsheetml.worksheet+xml"/>
  <Override PartName="/xl/tables/table13825.xml" ContentType="application/vnd.openxmlformats-officedocument.spreadsheetml.table+xml"/>
  <Override PartName="/xl/tables/table14326.xml" ContentType="application/vnd.openxmlformats-officedocument.spreadsheetml.table+xml"/>
  <Override PartName="/xl/tables/table13327.xml" ContentType="application/vnd.openxmlformats-officedocument.spreadsheetml.table+xml"/>
  <Override PartName="/xl/tables/table13728.xml" ContentType="application/vnd.openxmlformats-officedocument.spreadsheetml.table+xml"/>
  <Override PartName="/xl/tables/table14229.xml" ContentType="application/vnd.openxmlformats-officedocument.spreadsheetml.table+xml"/>
  <Override PartName="/xl/drawings/drawing123.xml" ContentType="application/vnd.openxmlformats-officedocument.drawing+xml"/>
  <Override PartName="/xl/tables/table13630.xml" ContentType="application/vnd.openxmlformats-officedocument.spreadsheetml.table+xml"/>
  <Override PartName="/xl/tables/table14131.xml" ContentType="application/vnd.openxmlformats-officedocument.spreadsheetml.table+xml"/>
  <Override PartName="/xl/tables/table13532.xml" ContentType="application/vnd.openxmlformats-officedocument.spreadsheetml.table+xml"/>
  <Override PartName="/xl/tables/table14033.xml" ContentType="application/vnd.openxmlformats-officedocument.spreadsheetml.table+xml"/>
  <Override PartName="/xl/tables/table13434.xml" ContentType="application/vnd.openxmlformats-officedocument.spreadsheetml.table+xml"/>
  <Override PartName="/xl/tables/table13935.xml" ContentType="application/vnd.openxmlformats-officedocument.spreadsheetml.table+xml"/>
  <Override PartName="/xl/tables/table14436.xml" ContentType="application/vnd.openxmlformats-officedocument.spreadsheetml.table+xml"/>
  <Override PartName="/xl/externalLinks/externalLink14.xml" ContentType="application/vnd.openxmlformats-officedocument.spreadsheetml.externalLink+xml"/>
  <Override PartName="/xl/externalLinks/externalLink95.xml" ContentType="application/vnd.openxmlformats-officedocument.spreadsheetml.externalLink+xml"/>
  <Override PartName="/xl/sharedStrings.xml" ContentType="application/vnd.openxmlformats-officedocument.spreadsheetml.sharedStrings+xml"/>
  <Override PartName="/xl/vbaProject.bin" ContentType="application/vnd.ms-office.vbaProject"/>
  <Override PartName="/xl/worksheets/sheet24.xml" ContentType="application/vnd.openxmlformats-officedocument.spreadsheetml.worksheet+xml"/>
  <Override PartName="/xl/tables/table1837.xml" ContentType="application/vnd.openxmlformats-officedocument.spreadsheetml.table+xml"/>
  <Override PartName="/xl/tables/table2338.xml" ContentType="application/vnd.openxmlformats-officedocument.spreadsheetml.table+xml"/>
  <Override PartName="/xl/tables/table1339.xml" ContentType="application/vnd.openxmlformats-officedocument.spreadsheetml.table+xml"/>
  <Override PartName="/xl/tables/table1740.xml" ContentType="application/vnd.openxmlformats-officedocument.spreadsheetml.table+xml"/>
  <Override PartName="/xl/tables/table2241.xml" ContentType="application/vnd.openxmlformats-officedocument.spreadsheetml.table+xml"/>
  <Override PartName="/xl/drawings/drawing24.xml" ContentType="application/vnd.openxmlformats-officedocument.drawing+xml"/>
  <Override PartName="/xl/tables/table1642.xml" ContentType="application/vnd.openxmlformats-officedocument.spreadsheetml.table+xml"/>
  <Override PartName="/xl/tables/table2143.xml" ContentType="application/vnd.openxmlformats-officedocument.spreadsheetml.table+xml"/>
  <Override PartName="/xl/tables/table1544.xml" ContentType="application/vnd.openxmlformats-officedocument.spreadsheetml.table+xml"/>
  <Override PartName="/xl/tables/table2045.xml" ContentType="application/vnd.openxmlformats-officedocument.spreadsheetml.table+xml"/>
  <Override PartName="/xl/tables/table1446.xml" ContentType="application/vnd.openxmlformats-officedocument.spreadsheetml.table+xml"/>
  <Override PartName="/xl/tables/table1947.xml" ContentType="application/vnd.openxmlformats-officedocument.spreadsheetml.table+xml"/>
  <Override PartName="/xl/tables/table2448.xml" ContentType="application/vnd.openxmlformats-officedocument.spreadsheetml.table+xml"/>
  <Override PartName="/xl/worksheets/sheet165.xml" ContentType="application/vnd.openxmlformats-officedocument.spreadsheetml.worksheet+xml"/>
  <Override PartName="/xl/externalLinks/externalLink4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worksheets/sheet16.xml" ContentType="application/vnd.openxmlformats-officedocument.spreadsheetml.worksheet+xml"/>
  <Override PartName="/xl/tables/table649.xml" ContentType="application/vnd.openxmlformats-officedocument.spreadsheetml.table+xml"/>
  <Override PartName="/xl/tables/table1150.xml" ContentType="application/vnd.openxmlformats-officedocument.spreadsheetml.table+xml"/>
  <Override PartName="/xl/tables/table151.xml" ContentType="application/vnd.openxmlformats-officedocument.spreadsheetml.table+xml"/>
  <Override PartName="/xl/tables/table552.xml" ContentType="application/vnd.openxmlformats-officedocument.spreadsheetml.table+xml"/>
  <Override PartName="/xl/tables/table1053.xml" ContentType="application/vnd.openxmlformats-officedocument.spreadsheetml.table+xml"/>
  <Override PartName="/xl/drawings/drawing15.xml" ContentType="application/vnd.openxmlformats-officedocument.drawing+xml"/>
  <Override PartName="/xl/tables/table454.xml" ContentType="application/vnd.openxmlformats-officedocument.spreadsheetml.table+xml"/>
  <Override PartName="/xl/tables/table955.xml" ContentType="application/vnd.openxmlformats-officedocument.spreadsheetml.table+xml"/>
  <Override PartName="/xl/tables/table356.xml" ContentType="application/vnd.openxmlformats-officedocument.spreadsheetml.table+xml"/>
  <Override PartName="/xl/tables/table857.xml" ContentType="application/vnd.openxmlformats-officedocument.spreadsheetml.table+xml"/>
  <Override PartName="/xl/tables/table258.xml" ContentType="application/vnd.openxmlformats-officedocument.spreadsheetml.table+xml"/>
  <Override PartName="/xl/tables/table759.xml" ContentType="application/vnd.openxmlformats-officedocument.spreadsheetml.table+xml"/>
  <Override PartName="/xl/tables/table1260.xml" ContentType="application/vnd.openxmlformats-officedocument.spreadsheetml.table+xml"/>
  <Override PartName="/xl/worksheets/sheet67.xml" ContentType="application/vnd.openxmlformats-officedocument.spreadsheetml.worksheet+xml"/>
  <Override PartName="/xl/tables/table6661.xml" ContentType="application/vnd.openxmlformats-officedocument.spreadsheetml.table+xml"/>
  <Override PartName="/xl/tables/table7162.xml" ContentType="application/vnd.openxmlformats-officedocument.spreadsheetml.table+xml"/>
  <Override PartName="/xl/tables/table6163.xml" ContentType="application/vnd.openxmlformats-officedocument.spreadsheetml.table+xml"/>
  <Override PartName="/xl/tables/table6564.xml" ContentType="application/vnd.openxmlformats-officedocument.spreadsheetml.table+xml"/>
  <Override PartName="/xl/tables/table7065.xml" ContentType="application/vnd.openxmlformats-officedocument.spreadsheetml.table+xml"/>
  <Override PartName="/xl/drawings/drawing66.xml" ContentType="application/vnd.openxmlformats-officedocument.drawing+xml"/>
  <Override PartName="/xl/tables/table6466.xml" ContentType="application/vnd.openxmlformats-officedocument.spreadsheetml.table+xml"/>
  <Override PartName="/xl/tables/table6967.xml" ContentType="application/vnd.openxmlformats-officedocument.spreadsheetml.table+xml"/>
  <Override PartName="/xl/tables/table6368.xml" ContentType="application/vnd.openxmlformats-officedocument.spreadsheetml.table+xml"/>
  <Override PartName="/xl/tables/table6869.xml" ContentType="application/vnd.openxmlformats-officedocument.spreadsheetml.table+xml"/>
  <Override PartName="/xl/tables/table6270.xml" ContentType="application/vnd.openxmlformats-officedocument.spreadsheetml.table+xml"/>
  <Override PartName="/xl/tables/table6771.xml" ContentType="application/vnd.openxmlformats-officedocument.spreadsheetml.table+xml"/>
  <Override PartName="/xl/tables/table7272.xml" ContentType="application/vnd.openxmlformats-officedocument.spreadsheetml.table+xml"/>
  <Override PartName="/xl/worksheets/sheet118.xml" ContentType="application/vnd.openxmlformats-officedocument.spreadsheetml.worksheet+xml"/>
  <Override PartName="/xl/tables/table12673.xml" ContentType="application/vnd.openxmlformats-officedocument.spreadsheetml.table+xml"/>
  <Override PartName="/xl/tables/table13174.xml" ContentType="application/vnd.openxmlformats-officedocument.spreadsheetml.table+xml"/>
  <Override PartName="/xl/tables/table12175.xml" ContentType="application/vnd.openxmlformats-officedocument.spreadsheetml.table+xml"/>
  <Override PartName="/xl/tables/table12576.xml" ContentType="application/vnd.openxmlformats-officedocument.spreadsheetml.table+xml"/>
  <Override PartName="/xl/tables/table13077.xml" ContentType="application/vnd.openxmlformats-officedocument.spreadsheetml.table+xml"/>
  <Override PartName="/xl/drawings/drawing117.xml" ContentType="application/vnd.openxmlformats-officedocument.drawing+xml"/>
  <Override PartName="/xl/tables/table12478.xml" ContentType="application/vnd.openxmlformats-officedocument.spreadsheetml.table+xml"/>
  <Override PartName="/xl/tables/table12979.xml" ContentType="application/vnd.openxmlformats-officedocument.spreadsheetml.table+xml"/>
  <Override PartName="/xl/tables/table12380.xml" ContentType="application/vnd.openxmlformats-officedocument.spreadsheetml.table+xml"/>
  <Override PartName="/xl/tables/table12881.xml" ContentType="application/vnd.openxmlformats-officedocument.spreadsheetml.table+xml"/>
  <Override PartName="/xl/tables/table12282.xml" ContentType="application/vnd.openxmlformats-officedocument.spreadsheetml.table+xml"/>
  <Override PartName="/xl/tables/table12783.xml" ContentType="application/vnd.openxmlformats-officedocument.spreadsheetml.table+xml"/>
  <Override PartName="/xl/tables/table13284.xml" ContentType="application/vnd.openxmlformats-officedocument.spreadsheetml.table+xml"/>
  <Override PartName="/xl/externalLinks/externalLink88.xml" ContentType="application/vnd.openxmlformats-officedocument.spreadsheetml.externalLink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59.xml" ContentType="application/vnd.openxmlformats-officedocument.spreadsheetml.worksheet+xml"/>
  <Override PartName="/xl/tables/table5485.xml" ContentType="application/vnd.openxmlformats-officedocument.spreadsheetml.table+xml"/>
  <Override PartName="/xl/tables/table5986.xml" ContentType="application/vnd.openxmlformats-officedocument.spreadsheetml.table+xml"/>
  <Override PartName="/xl/tables/table4987.xml" ContentType="application/vnd.openxmlformats-officedocument.spreadsheetml.table+xml"/>
  <Override PartName="/xl/tables/table5388.xml" ContentType="application/vnd.openxmlformats-officedocument.spreadsheetml.table+xml"/>
  <Override PartName="/xl/tables/table5889.xml" ContentType="application/vnd.openxmlformats-officedocument.spreadsheetml.table+xml"/>
  <Override PartName="/xl/drawings/drawing58.xml" ContentType="application/vnd.openxmlformats-officedocument.drawing+xml"/>
  <Override PartName="/xl/tables/table5290.xml" ContentType="application/vnd.openxmlformats-officedocument.spreadsheetml.table+xml"/>
  <Override PartName="/xl/tables/table5791.xml" ContentType="application/vnd.openxmlformats-officedocument.spreadsheetml.table+xml"/>
  <Override PartName="/xl/tables/table5192.xml" ContentType="application/vnd.openxmlformats-officedocument.spreadsheetml.table+xml"/>
  <Override PartName="/xl/tables/table5693.xml" ContentType="application/vnd.openxmlformats-officedocument.spreadsheetml.table+xml"/>
  <Override PartName="/xl/tables/table5094.xml" ContentType="application/vnd.openxmlformats-officedocument.spreadsheetml.table+xml"/>
  <Override PartName="/xl/tables/table5595.xml" ContentType="application/vnd.openxmlformats-officedocument.spreadsheetml.table+xml"/>
  <Override PartName="/xl/tables/table6096.xml" ContentType="application/vnd.openxmlformats-officedocument.spreadsheetml.table+xml"/>
  <Override PartName="/xl/worksheets/sheet1510.xml" ContentType="application/vnd.openxmlformats-officedocument.spreadsheetml.worksheet+xml"/>
  <Override PartName="/xl/tables/table16997.xml" ContentType="application/vnd.openxmlformats-officedocument.spreadsheetml.table+xml"/>
  <Override PartName="/xl/externalLinks/externalLink79.xml" ContentType="application/vnd.openxmlformats-officedocument.spreadsheetml.externalLink+xml"/>
  <Override PartName="/xl/externalLinks/externalLink1210.xml" ContentType="application/vnd.openxmlformats-officedocument.spreadsheetml.externalLink+xml"/>
  <Override PartName="/customXml/item22.xml" ContentType="application/xml"/>
  <Override PartName="/customXml/itemProps22.xml" ContentType="application/vnd.openxmlformats-officedocument.customXmlProperties+xml"/>
  <Override PartName="/xl/worksheets/sheet1011.xml" ContentType="application/vnd.openxmlformats-officedocument.spreadsheetml.worksheet+xml"/>
  <Override PartName="/xl/tables/table11498.xml" ContentType="application/vnd.openxmlformats-officedocument.spreadsheetml.table+xml"/>
  <Override PartName="/xl/tables/table11999.xml" ContentType="application/vnd.openxmlformats-officedocument.spreadsheetml.table+xml"/>
  <Override PartName="/xl/tables/table109100.xml" ContentType="application/vnd.openxmlformats-officedocument.spreadsheetml.table+xml"/>
  <Override PartName="/xl/tables/table113101.xml" ContentType="application/vnd.openxmlformats-officedocument.spreadsheetml.table+xml"/>
  <Override PartName="/xl/tables/table118102.xml" ContentType="application/vnd.openxmlformats-officedocument.spreadsheetml.table+xml"/>
  <Override PartName="/xl/drawings/drawing109.xml" ContentType="application/vnd.openxmlformats-officedocument.drawing+xml"/>
  <Override PartName="/xl/tables/table112103.xml" ContentType="application/vnd.openxmlformats-officedocument.spreadsheetml.table+xml"/>
  <Override PartName="/xl/tables/table117104.xml" ContentType="application/vnd.openxmlformats-officedocument.spreadsheetml.table+xml"/>
  <Override PartName="/xl/tables/table111105.xml" ContentType="application/vnd.openxmlformats-officedocument.spreadsheetml.table+xml"/>
  <Override PartName="/xl/tables/table116106.xml" ContentType="application/vnd.openxmlformats-officedocument.spreadsheetml.table+xml"/>
  <Override PartName="/xl/tables/table110107.xml" ContentType="application/vnd.openxmlformats-officedocument.spreadsheetml.table+xml"/>
  <Override PartName="/xl/tables/table115108.xml" ContentType="application/vnd.openxmlformats-officedocument.spreadsheetml.table+xml"/>
  <Override PartName="/xl/tables/table120109.xml" ContentType="application/vnd.openxmlformats-officedocument.spreadsheetml.table+xml"/>
  <Override PartName="/xl/externalLinks/externalLink311.xml" ContentType="application/vnd.openxmlformats-officedocument.spreadsheetml.externalLink+xml"/>
  <Override PartName="/xl/theme/theme11.xml" ContentType="application/vnd.openxmlformats-officedocument.theme+xml"/>
  <Override PartName="/xl/worksheets/sheet412.xml" ContentType="application/vnd.openxmlformats-officedocument.spreadsheetml.worksheet+xml"/>
  <Override PartName="/xl/tables/table42110.xml" ContentType="application/vnd.openxmlformats-officedocument.spreadsheetml.table+xml"/>
  <Override PartName="/xl/tables/table47111.xml" ContentType="application/vnd.openxmlformats-officedocument.spreadsheetml.table+xml"/>
  <Override PartName="/xl/tables/table37112.xml" ContentType="application/vnd.openxmlformats-officedocument.spreadsheetml.table+xml"/>
  <Override PartName="/xl/tables/table41113.xml" ContentType="application/vnd.openxmlformats-officedocument.spreadsheetml.table+xml"/>
  <Override PartName="/xl/tables/table46114.xml" ContentType="application/vnd.openxmlformats-officedocument.spreadsheetml.table+xml"/>
  <Override PartName="/xl/drawings/drawing410.xml" ContentType="application/vnd.openxmlformats-officedocument.drawing+xml"/>
  <Override PartName="/xl/tables/table40115.xml" ContentType="application/vnd.openxmlformats-officedocument.spreadsheetml.table+xml"/>
  <Override PartName="/xl/tables/table45116.xml" ContentType="application/vnd.openxmlformats-officedocument.spreadsheetml.table+xml"/>
  <Override PartName="/xl/tables/table39117.xml" ContentType="application/vnd.openxmlformats-officedocument.spreadsheetml.table+xml"/>
  <Override PartName="/xl/tables/table44118.xml" ContentType="application/vnd.openxmlformats-officedocument.spreadsheetml.table+xml"/>
  <Override PartName="/xl/tables/table38119.xml" ContentType="application/vnd.openxmlformats-officedocument.spreadsheetml.table+xml"/>
  <Override PartName="/xl/tables/table43120.xml" ContentType="application/vnd.openxmlformats-officedocument.spreadsheetml.table+xml"/>
  <Override PartName="/xl/tables/table48121.xml" ContentType="application/vnd.openxmlformats-officedocument.spreadsheetml.table+xml"/>
  <Override PartName="/xl/worksheets/sheet913.xml" ContentType="application/vnd.openxmlformats-officedocument.spreadsheetml.worksheet+xml"/>
  <Override PartName="/xl/tables/table102122.xml" ContentType="application/vnd.openxmlformats-officedocument.spreadsheetml.table+xml"/>
  <Override PartName="/xl/tables/table107123.xml" ContentType="application/vnd.openxmlformats-officedocument.spreadsheetml.table+xml"/>
  <Override PartName="/xl/tables/table97124.xml" ContentType="application/vnd.openxmlformats-officedocument.spreadsheetml.table+xml"/>
  <Override PartName="/xl/tables/table101125.xml" ContentType="application/vnd.openxmlformats-officedocument.spreadsheetml.table+xml"/>
  <Override PartName="/xl/tables/table106126.xml" ContentType="application/vnd.openxmlformats-officedocument.spreadsheetml.table+xml"/>
  <Override PartName="/xl/drawings/drawing911.xml" ContentType="application/vnd.openxmlformats-officedocument.drawing+xml"/>
  <Override PartName="/xl/tables/table100127.xml" ContentType="application/vnd.openxmlformats-officedocument.spreadsheetml.table+xml"/>
  <Override PartName="/xl/tables/table105128.xml" ContentType="application/vnd.openxmlformats-officedocument.spreadsheetml.table+xml"/>
  <Override PartName="/xl/tables/table99129.xml" ContentType="application/vnd.openxmlformats-officedocument.spreadsheetml.table+xml"/>
  <Override PartName="/xl/tables/table104130.xml" ContentType="application/vnd.openxmlformats-officedocument.spreadsheetml.table+xml"/>
  <Override PartName="/xl/tables/table98131.xml" ContentType="application/vnd.openxmlformats-officedocument.spreadsheetml.table+xml"/>
  <Override PartName="/xl/tables/table103132.xml" ContentType="application/vnd.openxmlformats-officedocument.spreadsheetml.table+xml"/>
  <Override PartName="/xl/tables/table108133.xml" ContentType="application/vnd.openxmlformats-officedocument.spreadsheetml.table+xml"/>
  <Override PartName="/xl/worksheets/sheet1414.xml" ContentType="application/vnd.openxmlformats-officedocument.spreadsheetml.worksheet+xml"/>
  <Override PartName="/xl/tables/table162134.xml" ContentType="application/vnd.openxmlformats-officedocument.spreadsheetml.table+xml"/>
  <Override PartName="/xl/tables/table167135.xml" ContentType="application/vnd.openxmlformats-officedocument.spreadsheetml.table+xml"/>
  <Override PartName="/xl/tables/table157136.xml" ContentType="application/vnd.openxmlformats-officedocument.spreadsheetml.table+xml"/>
  <Override PartName="/xl/tables/table161137.xml" ContentType="application/vnd.openxmlformats-officedocument.spreadsheetml.table+xml"/>
  <Override PartName="/xl/tables/table166138.xml" ContentType="application/vnd.openxmlformats-officedocument.spreadsheetml.table+xml"/>
  <Override PartName="/xl/drawings/drawing1412.xml" ContentType="application/vnd.openxmlformats-officedocument.drawing+xml"/>
  <Override PartName="/xl/tables/table160139.xml" ContentType="application/vnd.openxmlformats-officedocument.spreadsheetml.table+xml"/>
  <Override PartName="/xl/tables/table165140.xml" ContentType="application/vnd.openxmlformats-officedocument.spreadsheetml.table+xml"/>
  <Override PartName="/xl/tables/table159141.xml" ContentType="application/vnd.openxmlformats-officedocument.spreadsheetml.table+xml"/>
  <Override PartName="/xl/tables/table164142.xml" ContentType="application/vnd.openxmlformats-officedocument.spreadsheetml.table+xml"/>
  <Override PartName="/xl/tables/table158143.xml" ContentType="application/vnd.openxmlformats-officedocument.spreadsheetml.table+xml"/>
  <Override PartName="/xl/tables/table163144.xml" ContentType="application/vnd.openxmlformats-officedocument.spreadsheetml.table+xml"/>
  <Override PartName="/xl/tables/table168145.xml" ContentType="application/vnd.openxmlformats-officedocument.spreadsheetml.table+xml"/>
  <Override PartName="/xl/externalLinks/externalLink612.xml" ContentType="application/vnd.openxmlformats-officedocument.spreadsheetml.externalLink+xml"/>
  <Override PartName="/xl/externalLinks/externalLink1113.xml" ContentType="application/vnd.openxmlformats-officedocument.spreadsheetml.externalLink+xml"/>
  <Override PartName="/xl/externalLinks/externalLink1414.xml" ContentType="application/vnd.openxmlformats-officedocument.spreadsheetml.externalLink+xml"/>
  <Override PartName="/customXml/item13.xml" ContentType="application/xml"/>
  <Override PartName="/customXml/itemProps13.xml" ContentType="application/vnd.openxmlformats-officedocument.customXmlProperties+xml"/>
  <Override PartName="/xl/worksheets/sheet815.xml" ContentType="application/vnd.openxmlformats-officedocument.spreadsheetml.worksheet+xml"/>
  <Override PartName="/xl/tables/table90146.xml" ContentType="application/vnd.openxmlformats-officedocument.spreadsheetml.table+xml"/>
  <Override PartName="/xl/tables/table95147.xml" ContentType="application/vnd.openxmlformats-officedocument.spreadsheetml.table+xml"/>
  <Override PartName="/xl/tables/table85148.xml" ContentType="application/vnd.openxmlformats-officedocument.spreadsheetml.table+xml"/>
  <Override PartName="/xl/tables/table89149.xml" ContentType="application/vnd.openxmlformats-officedocument.spreadsheetml.table+xml"/>
  <Override PartName="/xl/tables/table94150.xml" ContentType="application/vnd.openxmlformats-officedocument.spreadsheetml.table+xml"/>
  <Override PartName="/xl/drawings/drawing813.xml" ContentType="application/vnd.openxmlformats-officedocument.drawing+xml"/>
  <Override PartName="/xl/tables/table88151.xml" ContentType="application/vnd.openxmlformats-officedocument.spreadsheetml.table+xml"/>
  <Override PartName="/xl/tables/table93152.xml" ContentType="application/vnd.openxmlformats-officedocument.spreadsheetml.table+xml"/>
  <Override PartName="/xl/tables/table87153.xml" ContentType="application/vnd.openxmlformats-officedocument.spreadsheetml.table+xml"/>
  <Override PartName="/xl/tables/table92154.xml" ContentType="application/vnd.openxmlformats-officedocument.spreadsheetml.table+xml"/>
  <Override PartName="/xl/tables/table86155.xml" ContentType="application/vnd.openxmlformats-officedocument.spreadsheetml.table+xml"/>
  <Override PartName="/xl/tables/table91156.xml" ContentType="application/vnd.openxmlformats-officedocument.spreadsheetml.table+xml"/>
  <Override PartName="/xl/tables/table96157.xml" ContentType="application/vnd.openxmlformats-officedocument.spreadsheetml.table+xml"/>
  <Override PartName="/xl/worksheets/sheet316.xml" ContentType="application/vnd.openxmlformats-officedocument.spreadsheetml.worksheet+xml"/>
  <Override PartName="/xl/tables/table30158.xml" ContentType="application/vnd.openxmlformats-officedocument.spreadsheetml.table+xml"/>
  <Override PartName="/xl/tables/table35159.xml" ContentType="application/vnd.openxmlformats-officedocument.spreadsheetml.table+xml"/>
  <Override PartName="/xl/tables/table25160.xml" ContentType="application/vnd.openxmlformats-officedocument.spreadsheetml.table+xml"/>
  <Override PartName="/xl/tables/table29161.xml" ContentType="application/vnd.openxmlformats-officedocument.spreadsheetml.table+xml"/>
  <Override PartName="/xl/tables/table34162.xml" ContentType="application/vnd.openxmlformats-officedocument.spreadsheetml.table+xml"/>
  <Override PartName="/xl/drawings/drawing314.xml" ContentType="application/vnd.openxmlformats-officedocument.drawing+xml"/>
  <Override PartName="/xl/tables/table28163.xml" ContentType="application/vnd.openxmlformats-officedocument.spreadsheetml.table+xml"/>
  <Override PartName="/xl/tables/table33164.xml" ContentType="application/vnd.openxmlformats-officedocument.spreadsheetml.table+xml"/>
  <Override PartName="/xl/tables/table27165.xml" ContentType="application/vnd.openxmlformats-officedocument.spreadsheetml.table+xml"/>
  <Override PartName="/xl/tables/table32166.xml" ContentType="application/vnd.openxmlformats-officedocument.spreadsheetml.table+xml"/>
  <Override PartName="/xl/tables/table26167.xml" ContentType="application/vnd.openxmlformats-officedocument.spreadsheetml.table+xml"/>
  <Override PartName="/xl/tables/table31168.xml" ContentType="application/vnd.openxmlformats-officedocument.spreadsheetml.table+xml"/>
  <Override PartName="/xl/tables/table36169.xml" ContentType="application/vnd.openxmlformats-officedocument.spreadsheetml.table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18" codeName="{4D1C537B-E38A-612A-F078-A93A15B4B7F4}"/>
  <workbookPr filterPrivacy="1" codeName="ThisWorkbook"/>
  <xr:revisionPtr revIDLastSave="0" documentId="13_ncr:1_{7D6C9C62-649F-40BB-8A26-4B6D28AE4F48}" xr6:coauthVersionLast="45" xr6:coauthVersionMax="45" xr10:uidLastSave="{00000000-0000-0000-0000-000000000000}"/>
  <bookViews>
    <workbookView xWindow="-120" yWindow="-120" windowWidth="29100" windowHeight="16065" tabRatio="798" firstSheet="4" activeTab="4" xr2:uid="{00000000-000D-0000-FFFF-FFFF00000000}"/>
  </bookViews>
  <sheets>
    <sheet name="2017" sheetId="121" state="veryHidden" r:id="rId1"/>
    <sheet name="2018" sheetId="122" state="veryHidden" r:id="rId2"/>
    <sheet name="2019" sheetId="123" state="veryHidden" r:id="rId3"/>
    <sheet name="2020" sheetId="124" state="veryHidden" r:id="rId4"/>
    <sheet name="2021" sheetId="125" r:id="rId5"/>
    <sheet name="2022" sheetId="126" state="veryHidden" r:id="rId6"/>
    <sheet name="2023" sheetId="127" state="veryHidden" r:id="rId7"/>
    <sheet name="2024" sheetId="128" state="veryHidden" r:id="rId8"/>
    <sheet name="2025" sheetId="129" state="veryHidden" r:id="rId9"/>
    <sheet name="2026" sheetId="130" state="veryHidden" r:id="rId10"/>
    <sheet name="2027" sheetId="131" state="veryHidden" r:id="rId11"/>
    <sheet name="2028" sheetId="132" state="veryHidden" r:id="rId12"/>
    <sheet name="2029" sheetId="133" state="veryHidden" r:id="rId13"/>
    <sheet name="2030" sheetId="134" state="veryHidden" r:id="rId14"/>
    <sheet name="Données de phases de la lune" sheetId="5" r:id="rId15"/>
    <sheet name="Liste.F" sheetId="135" state="very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AnnéeCalendrier" localSheetId="0">'2017'!$B$3</definedName>
    <definedName name="AnnéeCalendrier" localSheetId="1">'2018'!$B$3</definedName>
    <definedName name="AnnéeCalendrier" localSheetId="2">'2019'!$B$3</definedName>
    <definedName name="AnnéeCalendrier" localSheetId="3">'2020'!$B$3</definedName>
    <definedName name="AnnéeCalendrier" localSheetId="4">'2021'!$B$3</definedName>
    <definedName name="AnnéeCalendrier" localSheetId="5">'2022'!$B$3</definedName>
    <definedName name="AnnéeCalendrier" localSheetId="6">'2023'!$B$3</definedName>
    <definedName name="AnnéeCalendrier" localSheetId="7">'2024'!$B$3</definedName>
    <definedName name="AnnéeCalendrier" localSheetId="8">'2025'!$B$3</definedName>
    <definedName name="AnnéeCalendrier" localSheetId="9">'2026'!$B$3</definedName>
    <definedName name="AnnéeCalendrier" localSheetId="10">'2027'!$B$3</definedName>
    <definedName name="AnnéeCalendrier" localSheetId="11">'2028'!$B$3</definedName>
    <definedName name="AnnéeCalendrier" localSheetId="12">'2029'!$B$3</definedName>
    <definedName name="AnnéeCalendrier" localSheetId="13">'2030'!$B$3</definedName>
    <definedName name="Années_disponibles">Liste.F!$A$2:$A$15</definedName>
    <definedName name="AouDim1" localSheetId="0">DATE('2017'!AnnéeCalendrier,8,1)-WEEKDAY(DATE('2017'!AnnéeCalendrier,8,1)-1)</definedName>
    <definedName name="AouDim1" localSheetId="1">DATE('2018'!AnnéeCalendrier,8,1)-WEEKDAY(DATE('2018'!AnnéeCalendrier,8,1)-1)</definedName>
    <definedName name="AouDim1" localSheetId="2">DATE('2019'!AnnéeCalendrier,8,1)-WEEKDAY(DATE('2019'!AnnéeCalendrier,8,1)-1)</definedName>
    <definedName name="AouDim1" localSheetId="3">DATE('2020'!AnnéeCalendrier,8,1)-WEEKDAY(DATE('2020'!AnnéeCalendrier,8,1)-1)</definedName>
    <definedName name="AouDim1" localSheetId="4">DATE('2021'!AnnéeCalendrier,8,1)-WEEKDAY(DATE('2021'!AnnéeCalendrier,8,1)-1)</definedName>
    <definedName name="AouDim1" localSheetId="5">DATE('2022'!AnnéeCalendrier,8,1)-WEEKDAY(DATE('2022'!AnnéeCalendrier,8,1)-1)</definedName>
    <definedName name="AouDim1" localSheetId="6">DATE('2023'!AnnéeCalendrier,8,1)-WEEKDAY(DATE('2023'!AnnéeCalendrier,8,1)-1)</definedName>
    <definedName name="AouDim1" localSheetId="7">DATE('2024'!AnnéeCalendrier,8,1)-WEEKDAY(DATE('2024'!AnnéeCalendrier,8,1)-1)</definedName>
    <definedName name="AouDim1" localSheetId="8">DATE('2025'!AnnéeCalendrier,8,1)-WEEKDAY(DATE('2025'!AnnéeCalendrier,8,1)-1)</definedName>
    <definedName name="AouDim1" localSheetId="9">DATE('2026'!AnnéeCalendrier,8,1)-WEEKDAY(DATE('2026'!AnnéeCalendrier,8,1)-1)</definedName>
    <definedName name="AouDim1" localSheetId="10">DATE('2027'!AnnéeCalendrier,8,1)-WEEKDAY(DATE('2027'!AnnéeCalendrier,8,1)-1)</definedName>
    <definedName name="AouDim1" localSheetId="11">DATE('2028'!AnnéeCalendrier,8,1)-WEEKDAY(DATE('2028'!AnnéeCalendrier,8,1)-1)</definedName>
    <definedName name="AouDim1" localSheetId="12">DATE('2029'!AnnéeCalendrier,8,1)-WEEKDAY(DATE('2029'!AnnéeCalendrier,8,1)-1)</definedName>
    <definedName name="AouDim1" localSheetId="13">DATE('2030'!AnnéeCalendrier,8,1)-WEEKDAY(DATE('2030'!AnnéeCalendrier,8,1)-1)</definedName>
    <definedName name="AouDim1">DATE('2019'!AnnéeCalendrier,8,1)-WEEKDAY(DATE('2019'!AnnéeCalendrier,8,1)-1)</definedName>
    <definedName name="AvrDim1" localSheetId="0">DATE('2017'!AnnéeCalendrier,4,1)-WEEKDAY(DATE('2017'!AnnéeCalendrier,4,1)-1)</definedName>
    <definedName name="AvrDim1" localSheetId="1">DATE('2018'!AnnéeCalendrier,4,1)-WEEKDAY(DATE('2018'!AnnéeCalendrier,4,1)-1)</definedName>
    <definedName name="AvrDim1" localSheetId="2">DATE('2019'!AnnéeCalendrier,4,1)-WEEKDAY(DATE('2019'!AnnéeCalendrier,4,1)-1)</definedName>
    <definedName name="AvrDim1" localSheetId="3">DATE('2020'!AnnéeCalendrier,4,1)-WEEKDAY(DATE('2020'!AnnéeCalendrier,4,1)-1)</definedName>
    <definedName name="AvrDim1" localSheetId="4">DATE('2021'!AnnéeCalendrier,4,1)-WEEKDAY(DATE('2021'!AnnéeCalendrier,4,1)-1)</definedName>
    <definedName name="AvrDim1" localSheetId="5">DATE('2022'!AnnéeCalendrier,4,1)-WEEKDAY(DATE('2022'!AnnéeCalendrier,4,1)-1)</definedName>
    <definedName name="AvrDim1" localSheetId="6">DATE('2023'!AnnéeCalendrier,4,1)-WEEKDAY(DATE('2023'!AnnéeCalendrier,4,1)-1)</definedName>
    <definedName name="AvrDim1" localSheetId="7">DATE('2024'!AnnéeCalendrier,4,1)-WEEKDAY(DATE('2024'!AnnéeCalendrier,4,1)-1)</definedName>
    <definedName name="AvrDim1" localSheetId="8">DATE('2025'!AnnéeCalendrier,4,1)-WEEKDAY(DATE('2025'!AnnéeCalendrier,4,1)-1)</definedName>
    <definedName name="AvrDim1" localSheetId="9">DATE('2026'!AnnéeCalendrier,4,1)-WEEKDAY(DATE('2026'!AnnéeCalendrier,4,1)-1)</definedName>
    <definedName name="AvrDim1" localSheetId="10">DATE('2027'!AnnéeCalendrier,4,1)-WEEKDAY(DATE('2027'!AnnéeCalendrier,4,1)-1)</definedName>
    <definedName name="AvrDim1" localSheetId="11">DATE('2028'!AnnéeCalendrier,4,1)-WEEKDAY(DATE('2028'!AnnéeCalendrier,4,1)-1)</definedName>
    <definedName name="AvrDim1" localSheetId="12">DATE('2029'!AnnéeCalendrier,4,1)-WEEKDAY(DATE('2029'!AnnéeCalendrier,4,1)-1)</definedName>
    <definedName name="AvrDim1" localSheetId="13">DATE('2030'!AnnéeCalendrier,4,1)-WEEKDAY(DATE('2030'!AnnéeCalendrier,4,1)-1)</definedName>
    <definedName name="AvrDim1">DATE('2019'!AnnéeCalendrier,4,1)-WEEKDAY(DATE('2019'!AnnéeCalendrier,4,1)-1)</definedName>
    <definedName name="DécDim1" localSheetId="0">DATE('2017'!AnnéeCalendrier,12,1)-WEEKDAY(DATE('2017'!AnnéeCalendrier,12,1)-1)</definedName>
    <definedName name="DécDim1" localSheetId="1">DATE('2018'!AnnéeCalendrier,12,1)-WEEKDAY(DATE('2018'!AnnéeCalendrier,12,1)-1)</definedName>
    <definedName name="DécDim1" localSheetId="2">DATE('2019'!AnnéeCalendrier,12,1)-WEEKDAY(DATE('2019'!AnnéeCalendrier,12,1)-1)</definedName>
    <definedName name="DécDim1" localSheetId="3">DATE('2020'!AnnéeCalendrier,12,1)-WEEKDAY(DATE('2020'!AnnéeCalendrier,12,1)-1)</definedName>
    <definedName name="DécDim1" localSheetId="4">DATE('2022'!AnnéeCalendrier,12,1)-WEEKDAY(DATE('2022'!AnnéeCalendrier,12,1)-1)</definedName>
    <definedName name="DécDim1" localSheetId="5">DATE('2023'!AnnéeCalendrier,12,1)-WEEKDAY(DATE('2023'!AnnéeCalendrier,12,1)-1)</definedName>
    <definedName name="DécDim1" localSheetId="6">DATE('2024'!AnnéeCalendrier,12,1)-WEEKDAY(DATE('2024'!AnnéeCalendrier,12,1)-1)</definedName>
    <definedName name="DécDim1" localSheetId="7">DATE('2021'!AnnéeCalendrier,12,1)-WEEKDAY(DATE('2021'!AnnéeCalendrier,12,1)-1)</definedName>
    <definedName name="DécDim1" localSheetId="8">DATE('2025'!AnnéeCalendrier,12,1)-WEEKDAY(DATE('2025'!AnnéeCalendrier,12,1)-1)</definedName>
    <definedName name="DécDim1" localSheetId="9">DATE('2026'!AnnéeCalendrier,12,1)-WEEKDAY(DATE('2026'!AnnéeCalendrier,12,1)-1)</definedName>
    <definedName name="DécDim1" localSheetId="10">DATE('2027'!AnnéeCalendrier,12,1)-WEEKDAY(DATE('2027'!AnnéeCalendrier,12,1)-1)</definedName>
    <definedName name="DécDim1" localSheetId="11">DATE('2028'!AnnéeCalendrier,12,1)-WEEKDAY(DATE('2028'!AnnéeCalendrier,12,1)-1)</definedName>
    <definedName name="DécDim1" localSheetId="12">DATE('2029'!AnnéeCalendrier,12,1)-WEEKDAY(DATE('2029'!AnnéeCalendrier,12,1)-1)</definedName>
    <definedName name="DécDim1" localSheetId="13">DATE('2030'!AnnéeCalendrier,12,1)-WEEKDAY(DATE('2030'!AnnéeCalendrier,12,1)-1)</definedName>
    <definedName name="DécDim1">DATE('2017'!AnnéeCalendrier,12,1)-WEEKDAY(DATE('2017'!AnnéeCalendrier,12,1)-1)</definedName>
    <definedName name="FévDim1" localSheetId="0">DATE('2017'!AnnéeCalendrier,2,1)-WEEKDAY(DATE('2017'!AnnéeCalendrier,2,1)-1)</definedName>
    <definedName name="FévDim1" localSheetId="1">DATE('2018'!AnnéeCalendrier,2,1)-WEEKDAY(DATE('2018'!AnnéeCalendrier,2,1)-1)</definedName>
    <definedName name="FévDim1" localSheetId="2">DATE('2019'!AnnéeCalendrier,2,1)-WEEKDAY(DATE('2019'!AnnéeCalendrier,2,1)-1)</definedName>
    <definedName name="FévDim1" localSheetId="3">DATE('2020'!AnnéeCalendrier,2,1)-WEEKDAY(DATE('2020'!AnnéeCalendrier,2,1)-1)</definedName>
    <definedName name="FévDim1" localSheetId="4">DATE('2021'!AnnéeCalendrier,2,1)-WEEKDAY(DATE('2021'!AnnéeCalendrier,2,1)-1)</definedName>
    <definedName name="FévDim1" localSheetId="5">DATE('2022'!AnnéeCalendrier,2,1)-WEEKDAY(DATE('2022'!AnnéeCalendrier,2,1)-1)</definedName>
    <definedName name="FévDim1" localSheetId="6">DATE('2023'!AnnéeCalendrier,2,1)-WEEKDAY(DATE('2023'!AnnéeCalendrier,2,1)-1)</definedName>
    <definedName name="FévDim1" localSheetId="7">DATE('2024'!AnnéeCalendrier,2,1)-WEEKDAY(DATE('2024'!AnnéeCalendrier,2,1)-1)</definedName>
    <definedName name="FévDim1" localSheetId="8">DATE('2025'!AnnéeCalendrier,2,1)-WEEKDAY(DATE('2025'!AnnéeCalendrier,2,1)-1)</definedName>
    <definedName name="FévDim1" localSheetId="9">DATE('2026'!AnnéeCalendrier,2,1)-WEEKDAY(DATE('2026'!AnnéeCalendrier,2,1)-1)</definedName>
    <definedName name="FévDim1" localSheetId="10">DATE('2027'!AnnéeCalendrier,2,1)-WEEKDAY(DATE('2027'!AnnéeCalendrier,2,1)-1)</definedName>
    <definedName name="FévDim1" localSheetId="11">DATE('2028'!AnnéeCalendrier,2,1)-WEEKDAY(DATE('2028'!AnnéeCalendrier,2,1)-1)</definedName>
    <definedName name="FévDim1" localSheetId="12">DATE('2029'!AnnéeCalendrier,2,1)-WEEKDAY(DATE('2029'!AnnéeCalendrier,2,1)-1)</definedName>
    <definedName name="FévDim1" localSheetId="13">DATE('2030'!AnnéeCalendrier,2,1)-WEEKDAY(DATE('2030'!AnnéeCalendrier,2,1)-1)</definedName>
    <definedName name="FévDim1">DATE('2017'!AnnéeCalendrier,2,1)-WEEKDAY(DATE('2017'!AnnéeCalendrier,2,1)-1)</definedName>
    <definedName name="JanDim1" localSheetId="0">DATE('2017'!AnnéeCalendrier,1,1)-WEEKDAY(DATE('2017'!AnnéeCalendrier,1,1)-1)</definedName>
    <definedName name="JanDim1" localSheetId="1">DATE('2018'!AnnéeCalendrier,1,1)-WEEKDAY(DATE('2018'!AnnéeCalendrier,1,1)-1)</definedName>
    <definedName name="JanDim1" localSheetId="2">DATE('2019'!AnnéeCalendrier,1,1)-WEEKDAY(DATE('2019'!AnnéeCalendrier,1,1)-1)</definedName>
    <definedName name="JanDim1" localSheetId="3">DATE('2020'!AnnéeCalendrier,1,1)-WEEKDAY(DATE('2020'!AnnéeCalendrier,1,1)-1)</definedName>
    <definedName name="JanDim1" localSheetId="4">DATE('2021'!AnnéeCalendrier,1,1)-WEEKDAY(DATE('2021'!AnnéeCalendrier,1,1)-1)</definedName>
    <definedName name="JanDim1" localSheetId="5">DATE('2022'!AnnéeCalendrier,1,1)-WEEKDAY(DATE('2022'!AnnéeCalendrier,1,1)-1)</definedName>
    <definedName name="JanDim1" localSheetId="6">DATE('2023'!AnnéeCalendrier,1,1)-WEEKDAY(DATE('2023'!AnnéeCalendrier,1,1)-1)</definedName>
    <definedName name="JanDim1" localSheetId="7">DATE('2024'!AnnéeCalendrier,1,1)-WEEKDAY(DATE('2024'!AnnéeCalendrier,1,1)-1)</definedName>
    <definedName name="JanDim1" localSheetId="8">DATE('2025'!AnnéeCalendrier,1,1)-WEEKDAY(DATE('2025'!AnnéeCalendrier,1,1)-1)</definedName>
    <definedName name="JanDim1" localSheetId="9">DATE('2026'!AnnéeCalendrier,1,1)-WEEKDAY(DATE('2026'!AnnéeCalendrier,1,1)-1)</definedName>
    <definedName name="JanDim1" localSheetId="10">DATE('2027'!AnnéeCalendrier,1,1)-WEEKDAY(DATE('2027'!AnnéeCalendrier,1,1)-1)</definedName>
    <definedName name="JanDim1" localSheetId="11">DATE('2028'!AnnéeCalendrier,1,1)-WEEKDAY(DATE('2028'!AnnéeCalendrier,1,1)-1)</definedName>
    <definedName name="JanDim1" localSheetId="12">DATE('2029'!AnnéeCalendrier,1,1)-WEEKDAY(DATE('2029'!AnnéeCalendrier,1,1)-1)</definedName>
    <definedName name="JanDim1" localSheetId="13">DATE('2030'!AnnéeCalendrier,1,1)-WEEKDAY(DATE('2030'!AnnéeCalendrier,1,1)-1)</definedName>
    <definedName name="JanDim1">DATE('2017'!AnnéeCalendrier,1,1)-WEEKDAY(DATE('2017'!AnnéeCalendrier,1,1)-1)</definedName>
    <definedName name="JulDim1" localSheetId="0">DATE('2017'!AnnéeCalendrier,7,1)-WEEKDAY(DATE('2017'!AnnéeCalendrier,7,1)-1)</definedName>
    <definedName name="JulDim1" localSheetId="1">DATE('2018'!AnnéeCalendrier,7,1)-WEEKDAY(DATE('2018'!AnnéeCalendrier,7,1)-1)</definedName>
    <definedName name="JulDim1" localSheetId="2">DATE('2019'!AnnéeCalendrier,7,1)-WEEKDAY(DATE('2019'!AnnéeCalendrier,7,1)-1)</definedName>
    <definedName name="JulDim1" localSheetId="3">DATE('2020'!AnnéeCalendrier,7,1)-WEEKDAY(DATE('2020'!AnnéeCalendrier,7,1)-1)</definedName>
    <definedName name="JulDim1" localSheetId="4">DATE('2021'!AnnéeCalendrier,7,1)-WEEKDAY(DATE('2021'!AnnéeCalendrier,7,1)-1)</definedName>
    <definedName name="JulDim1" localSheetId="5">DATE('2022'!AnnéeCalendrier,7,1)-WEEKDAY(DATE('2022'!AnnéeCalendrier,7,1)-1)</definedName>
    <definedName name="JulDim1" localSheetId="6">DATE('2023'!AnnéeCalendrier,7,1)-WEEKDAY(DATE('2023'!AnnéeCalendrier,7,1)-1)</definedName>
    <definedName name="JulDim1" localSheetId="7">DATE('2024'!AnnéeCalendrier,7,1)-WEEKDAY(DATE('2024'!AnnéeCalendrier,7,1)-1)</definedName>
    <definedName name="JulDim1" localSheetId="8">DATE('2025'!AnnéeCalendrier,7,1)-WEEKDAY(DATE('2025'!AnnéeCalendrier,7,1)-1)</definedName>
    <definedName name="JulDim1" localSheetId="9">DATE('2026'!AnnéeCalendrier,7,1)-WEEKDAY(DATE('2026'!AnnéeCalendrier,7,1)-1)</definedName>
    <definedName name="JulDim1" localSheetId="10">DATE('2027'!AnnéeCalendrier,7,1)-WEEKDAY(DATE('2027'!AnnéeCalendrier,7,1)-1)</definedName>
    <definedName name="JulDim1" localSheetId="11">DATE('2028'!AnnéeCalendrier,7,1)-WEEKDAY(DATE('2028'!AnnéeCalendrier,7,1)-1)</definedName>
    <definedName name="JulDim1" localSheetId="12">DATE('2029'!AnnéeCalendrier,7,1)-WEEKDAY(DATE('2029'!AnnéeCalendrier,7,1)-1)</definedName>
    <definedName name="JulDim1" localSheetId="13">DATE('2030'!AnnéeCalendrier,7,1)-WEEKDAY(DATE('2030'!AnnéeCalendrier,7,1)-1)</definedName>
    <definedName name="JulDim1">DATE('2017'!AnnéeCalendrier,7,1)-WEEKDAY(DATE('2017'!AnnéeCalendrier,7,1)-1)</definedName>
    <definedName name="JunDim1" localSheetId="0">DATE('2017'!AnnéeCalendrier,6,1)-WEEKDAY(DATE('2017'!AnnéeCalendrier,6,1)-1)</definedName>
    <definedName name="JunDim1" localSheetId="1">DATE('2018'!AnnéeCalendrier,6,1)-WEEKDAY(DATE('2018'!AnnéeCalendrier,6,1)-1)</definedName>
    <definedName name="JunDim1" localSheetId="2">DATE('2019'!AnnéeCalendrier,6,1)-WEEKDAY(DATE('2019'!AnnéeCalendrier,6,1)-1)</definedName>
    <definedName name="JunDim1" localSheetId="3">DATE('2020'!AnnéeCalendrier,6,1)-WEEKDAY(DATE('2020'!AnnéeCalendrier,6,1)-1)</definedName>
    <definedName name="JunDim1" localSheetId="4">DATE('2021'!AnnéeCalendrier,6,1)-WEEKDAY(DATE('2021'!AnnéeCalendrier,6,1)-1)</definedName>
    <definedName name="JunDim1" localSheetId="5">DATE('2022'!AnnéeCalendrier,6,1)-WEEKDAY(DATE('2022'!AnnéeCalendrier,6,1)-1)</definedName>
    <definedName name="JunDim1" localSheetId="6">DATE('2023'!AnnéeCalendrier,6,1)-WEEKDAY(DATE('2023'!AnnéeCalendrier,6,1)-1)</definedName>
    <definedName name="JunDim1" localSheetId="7">DATE('2024'!AnnéeCalendrier,6,1)-WEEKDAY(DATE('2024'!AnnéeCalendrier,6,1)-1)</definedName>
    <definedName name="JunDim1" localSheetId="8">DATE('2025'!AnnéeCalendrier,6,1)-WEEKDAY(DATE('2025'!AnnéeCalendrier,6,1)-1)</definedName>
    <definedName name="JunDim1" localSheetId="9">DATE('2026'!AnnéeCalendrier,6,1)-WEEKDAY(DATE('2026'!AnnéeCalendrier,6,1)-1)</definedName>
    <definedName name="JunDim1" localSheetId="10">DATE('2027'!AnnéeCalendrier,6,1)-WEEKDAY(DATE('2027'!AnnéeCalendrier,6,1)-1)</definedName>
    <definedName name="JunDim1" localSheetId="11">DATE('2028'!AnnéeCalendrier,6,1)-WEEKDAY(DATE('2028'!AnnéeCalendrier,6,1)-1)</definedName>
    <definedName name="JunDim1" localSheetId="12">DATE('2029'!AnnéeCalendrier,6,1)-WEEKDAY(DATE('2029'!AnnéeCalendrier,6,1)-1)</definedName>
    <definedName name="JunDim1" localSheetId="13">DATE('2030'!AnnéeCalendrier,6,1)-WEEKDAY(DATE('2030'!AnnéeCalendrier,6,1)-1)</definedName>
    <definedName name="JunDim1">DATE('2017'!AnnéeCalendrier,6,1)-WEEKDAY(DATE('2017'!AnnéeCalendrier,6,1)-1)</definedName>
    <definedName name="MaiDim1" localSheetId="0">DATE('2017'!AnnéeCalendrier,5,1)-WEEKDAY(DATE('2017'!AnnéeCalendrier,5,1)-1)</definedName>
    <definedName name="MaiDim1" localSheetId="1">DATE('2018'!AnnéeCalendrier,5,1)-WEEKDAY(DATE('2018'!AnnéeCalendrier,5,1)-1)</definedName>
    <definedName name="MaiDim1" localSheetId="2">DATE('2019'!AnnéeCalendrier,5,1)-WEEKDAY(DATE('2019'!AnnéeCalendrier,5,1)-1)</definedName>
    <definedName name="MaiDim1" localSheetId="3">DATE('2020'!AnnéeCalendrier,5,1)-WEEKDAY(DATE('2020'!AnnéeCalendrier,5,1)-1)</definedName>
    <definedName name="MaiDim1" localSheetId="4">DATE('2021'!AnnéeCalendrier,5,1)-WEEKDAY(DATE('2021'!AnnéeCalendrier,5,1)-1)</definedName>
    <definedName name="MaiDim1" localSheetId="5">DATE('2022'!AnnéeCalendrier,5,1)-WEEKDAY(DATE('2022'!AnnéeCalendrier,5,1)-1)</definedName>
    <definedName name="MaiDim1" localSheetId="6">DATE('2023'!AnnéeCalendrier,5,1)-WEEKDAY(DATE('2023'!AnnéeCalendrier,5,1)-1)</definedName>
    <definedName name="MaiDim1" localSheetId="7">DATE('2024'!AnnéeCalendrier,5,1)-WEEKDAY(DATE('2024'!AnnéeCalendrier,5,1)-1)</definedName>
    <definedName name="MaiDim1" localSheetId="8">DATE('2025'!AnnéeCalendrier,5,1)-WEEKDAY(DATE('2025'!AnnéeCalendrier,5,1)-1)</definedName>
    <definedName name="MaiDim1" localSheetId="9">DATE('2026'!AnnéeCalendrier,5,1)-WEEKDAY(DATE('2026'!AnnéeCalendrier,5,1)-1)</definedName>
    <definedName name="MaiDim1" localSheetId="10">DATE('2027'!AnnéeCalendrier,5,1)-WEEKDAY(DATE('2027'!AnnéeCalendrier,5,1)-1)</definedName>
    <definedName name="MaiDim1" localSheetId="11">DATE('2028'!AnnéeCalendrier,5,1)-WEEKDAY(DATE('2028'!AnnéeCalendrier,5,1)-1)</definedName>
    <definedName name="MaiDim1" localSheetId="12">DATE('2029'!AnnéeCalendrier,5,1)-WEEKDAY(DATE('2029'!AnnéeCalendrier,5,1)-1)</definedName>
    <definedName name="MaiDim1" localSheetId="13">DATE('2030'!AnnéeCalendrier,5,1)-WEEKDAY(DATE('2030'!AnnéeCalendrier,5,1)-1)</definedName>
    <definedName name="MaiDim1">DATE('2017'!AnnéeCalendrier,5,1)-WEEKDAY(DATE('2017'!AnnéeCalendrier,5,1)-1)</definedName>
    <definedName name="MarDim1" localSheetId="0">DATE('2017'!AnnéeCalendrier,3,1)-WEEKDAY(DATE('2017'!AnnéeCalendrier,3,1)-1)</definedName>
    <definedName name="MarDim1" localSheetId="1">DATE('2018'!AnnéeCalendrier,3,1)-WEEKDAY(DATE('2018'!AnnéeCalendrier,3,1)-1)</definedName>
    <definedName name="MarDim1" localSheetId="2">DATE('2019'!AnnéeCalendrier,3,1)-WEEKDAY(DATE('2019'!AnnéeCalendrier,3,1)-1)</definedName>
    <definedName name="MarDim1" localSheetId="3">DATE('2020'!AnnéeCalendrier,3,1)-WEEKDAY(DATE('2020'!AnnéeCalendrier,3,1)-1)</definedName>
    <definedName name="MarDim1" localSheetId="4">DATE('2021'!AnnéeCalendrier,3,1)-WEEKDAY(DATE('2021'!AnnéeCalendrier,3,1)-1)</definedName>
    <definedName name="MarDim1" localSheetId="5">DATE('2022'!AnnéeCalendrier,3,1)-WEEKDAY(DATE('2022'!AnnéeCalendrier,3,1)-1)</definedName>
    <definedName name="MarDim1" localSheetId="6">DATE('2023'!AnnéeCalendrier,3,1)-WEEKDAY(DATE('2023'!AnnéeCalendrier,3,1)-1)</definedName>
    <definedName name="MarDim1" localSheetId="7">DATE('2024'!AnnéeCalendrier,3,1)-WEEKDAY(DATE('2024'!AnnéeCalendrier,3,1)-1)</definedName>
    <definedName name="MarDim1" localSheetId="8">DATE('2025'!AnnéeCalendrier,3,1)-WEEKDAY(DATE('2025'!AnnéeCalendrier,3,1)-1)</definedName>
    <definedName name="MarDim1" localSheetId="9">DATE('2026'!AnnéeCalendrier,3,1)-WEEKDAY(DATE('2026'!AnnéeCalendrier,3,1)-1)</definedName>
    <definedName name="MarDim1" localSheetId="10">DATE('2027'!AnnéeCalendrier,3,1)-WEEKDAY(DATE('2027'!AnnéeCalendrier,3,1)-1)</definedName>
    <definedName name="MarDim1" localSheetId="11">DATE('2028'!AnnéeCalendrier,3,1)-WEEKDAY(DATE('2028'!AnnéeCalendrier,3,1)-1)</definedName>
    <definedName name="MarDim1" localSheetId="12">DATE('2029'!AnnéeCalendrier,3,1)-WEEKDAY(DATE('2029'!AnnéeCalendrier,3,1)-1)</definedName>
    <definedName name="MarDim1" localSheetId="13">DATE('2030'!AnnéeCalendrier,3,1)-WEEKDAY(DATE('2030'!AnnéeCalendrier,3,1)-1)</definedName>
    <definedName name="MarDim1">DATE('2017'!AnnéeCalendrier,3,1)-WEEKDAY(DATE('2017'!AnnéeCalendrier,3,1)-1)</definedName>
    <definedName name="NovDim1" localSheetId="0">DATE('2017'!AnnéeCalendrier,11,1)-WEEKDAY(DATE('2017'!AnnéeCalendrier,11,1)-1)</definedName>
    <definedName name="NovDim1" localSheetId="1">DATE('2018'!AnnéeCalendrier,11,1)-WEEKDAY(DATE('2018'!AnnéeCalendrier,11,1)-1)</definedName>
    <definedName name="NovDim1" localSheetId="2">DATE('2019'!AnnéeCalendrier,11,1)-WEEKDAY(DATE('2019'!AnnéeCalendrier,11,1)-1)</definedName>
    <definedName name="NovDim1" localSheetId="3">DATE('2020'!AnnéeCalendrier,11,1)-WEEKDAY(DATE('2020'!AnnéeCalendrier,11,1)-1)</definedName>
    <definedName name="NovDim1" localSheetId="4">DATE('2021'!AnnéeCalendrier,11,1)-WEEKDAY(DATE('2021'!AnnéeCalendrier,11,1)-1)</definedName>
    <definedName name="NovDim1" localSheetId="5">DATE('2022'!AnnéeCalendrier,11,1)-WEEKDAY(DATE('2022'!AnnéeCalendrier,11,1)-1)</definedName>
    <definedName name="NovDim1" localSheetId="6">DATE('2023'!AnnéeCalendrier,11,1)-WEEKDAY(DATE('2023'!AnnéeCalendrier,11,1)-1)</definedName>
    <definedName name="NovDim1" localSheetId="7">DATE('2024'!AnnéeCalendrier,11,1)-WEEKDAY(DATE('2024'!AnnéeCalendrier,11,1)-1)</definedName>
    <definedName name="NovDim1" localSheetId="8">DATE('2025'!AnnéeCalendrier,11,1)-WEEKDAY(DATE('2025'!AnnéeCalendrier,11,1)-1)</definedName>
    <definedName name="NovDim1" localSheetId="9">DATE('2026'!AnnéeCalendrier,11,1)-WEEKDAY(DATE('2026'!AnnéeCalendrier,11,1)-1)</definedName>
    <definedName name="NovDim1" localSheetId="10">DATE('2027'!AnnéeCalendrier,11,1)-WEEKDAY(DATE('2027'!AnnéeCalendrier,11,1)-1)</definedName>
    <definedName name="NovDim1" localSheetId="11">DATE('2028'!AnnéeCalendrier,11,1)-WEEKDAY(DATE('2028'!AnnéeCalendrier,11,1)-1)</definedName>
    <definedName name="NovDim1" localSheetId="12">DATE('2029'!AnnéeCalendrier,11,1)-WEEKDAY(DATE('2029'!AnnéeCalendrier,11,1)-1)</definedName>
    <definedName name="NovDim1" localSheetId="13">DATE('2030'!AnnéeCalendrier,11,1)-WEEKDAY(DATE('2030'!AnnéeCalendrier,11,1)-1)</definedName>
    <definedName name="NovDim1">DATE('2017'!AnnéeCalendrier,11,1)-WEEKDAY(DATE('2017'!AnnéeCalendrier,11,1)-1)</definedName>
    <definedName name="OctDim1" localSheetId="0">DATE('2017'!AnnéeCalendrier,10,1)-WEEKDAY(DATE('2017'!AnnéeCalendrier,10,1)-1)</definedName>
    <definedName name="OctDim1" localSheetId="1">DATE('2018'!AnnéeCalendrier,10,1)-WEEKDAY(DATE('2018'!AnnéeCalendrier,10,1)-1)</definedName>
    <definedName name="OctDim1" localSheetId="2">DATE('2019'!AnnéeCalendrier,10,1)-WEEKDAY(DATE('2019'!AnnéeCalendrier,10,1)-1)</definedName>
    <definedName name="OctDim1" localSheetId="3">DATE('2020'!AnnéeCalendrier,10,1)-WEEKDAY(DATE('2020'!AnnéeCalendrier,10,1)-1)</definedName>
    <definedName name="OctDim1" localSheetId="4">DATE('2021'!AnnéeCalendrier,10,1)-WEEKDAY(DATE('2021'!AnnéeCalendrier,10,1)-1)</definedName>
    <definedName name="OctDim1" localSheetId="5">DATE('2022'!AnnéeCalendrier,10,1)-WEEKDAY(DATE('2022'!AnnéeCalendrier,10,1)-1)</definedName>
    <definedName name="OctDim1" localSheetId="6">DATE('2023'!AnnéeCalendrier,10,1)-WEEKDAY(DATE('2023'!AnnéeCalendrier,10,1)-1)</definedName>
    <definedName name="OctDim1" localSheetId="7">DATE('2024'!AnnéeCalendrier,10,1)-WEEKDAY(DATE('2024'!AnnéeCalendrier,10,1)-1)</definedName>
    <definedName name="OctDim1" localSheetId="8">DATE('2025'!AnnéeCalendrier,10,1)-WEEKDAY(DATE('2025'!AnnéeCalendrier,10,1)-1)</definedName>
    <definedName name="OctDim1" localSheetId="9">DATE('2026'!AnnéeCalendrier,10,1)-WEEKDAY(DATE('2026'!AnnéeCalendrier,10,1)-1)</definedName>
    <definedName name="OctDim1" localSheetId="10">DATE('2027'!AnnéeCalendrier,10,1)-WEEKDAY(DATE('2027'!AnnéeCalendrier,10,1)-1)</definedName>
    <definedName name="OctDim1" localSheetId="11">DATE('2028'!AnnéeCalendrier,10,1)-WEEKDAY(DATE('2028'!AnnéeCalendrier,10,1)-1)</definedName>
    <definedName name="OctDim1" localSheetId="12">DATE('2029'!AnnéeCalendrier,10,1)-WEEKDAY(DATE('2029'!AnnéeCalendrier,10,1)-1)</definedName>
    <definedName name="OctDim1" localSheetId="13">DATE('2030'!AnnéeCalendrier,10,1)-WEEKDAY(DATE('2030'!AnnéeCalendrier,10,1)-1)</definedName>
    <definedName name="OctDim1">DATE('2017'!AnnéeCalendrier,10,1)-WEEKDAY(DATE('2017'!AnnéeCalendrier,10,1)-1)</definedName>
    <definedName name="Plage_Jours" localSheetId="0">'[1]2017''2017''2017''2017''2017''2017''2'!$R$26:$X$31</definedName>
    <definedName name="Plage_Jours" localSheetId="1">'[2]2018''2018''2018''2018''2018''2018''2'!$R$26:$X$31</definedName>
    <definedName name="Plage_Jours" localSheetId="2">'[3]2019''2019''2019''2019''2019''2019''2'!$R$26:$X$31</definedName>
    <definedName name="Plage_Jours" localSheetId="3">'[4]2020''2020''2020''2020''2020''2020''2'!$R$26:$X$31</definedName>
    <definedName name="Plage_Jours" localSheetId="4">'[5]2021''2021''2021''2021''2021''2021''2'!$R$26:$X$31</definedName>
    <definedName name="Plage_Jours" localSheetId="5">'[6]2022''2022''2022''2022''2022''2022''2'!$R$26:$X$31</definedName>
    <definedName name="Plage_Jours" localSheetId="6">'[7]2023''2023''2023''2023''2023''2023''2'!$R$26:$X$31</definedName>
    <definedName name="Plage_Jours" localSheetId="7">'[8]2024''2024''2024''2024''2024''2024''2'!$R$26:$X$31</definedName>
    <definedName name="Plage_Jours" localSheetId="8">'[9]2025''2025''2025''2025''2025''2025''2'!$R$26:$X$31</definedName>
    <definedName name="Plage_Jours" localSheetId="9">'[10]2026''2026''2026''2026''2026''2026''2'!$R$26:$X$31</definedName>
    <definedName name="Plage_Jours" localSheetId="10">'[11]2027''2027''2027''2027''2027''2027''2'!$R$26:$X$31</definedName>
    <definedName name="Plage_Jours" localSheetId="11">'[12]2028''2028''2028''2028''2028''2028''2'!$R$26:$X$31</definedName>
    <definedName name="Plage_Jours" localSheetId="12">'[13]2029''2029''2029''2029''2029''2029''2'!$R$26:$X$31</definedName>
    <definedName name="Plage_Jours" localSheetId="13">'[14]2030''2030''2030''2030''2030''2030''2'!$R$26:$X$31</definedName>
    <definedName name="SepDim1" localSheetId="0">DATE('2017'!AnnéeCalendrier,9,1)-WEEKDAY(DATE('2017'!AnnéeCalendrier,9,1)-1)</definedName>
    <definedName name="SepDim1" localSheetId="1">DATE('2018'!AnnéeCalendrier,9,1)-WEEKDAY(DATE('2018'!AnnéeCalendrier,9,1)-1)</definedName>
    <definedName name="SepDim1" localSheetId="2">DATE('2019'!AnnéeCalendrier,9,1)-WEEKDAY(DATE('2019'!AnnéeCalendrier,9,1)-1)</definedName>
    <definedName name="SepDim1" localSheetId="3">DATE('2020'!AnnéeCalendrier,9,1)-WEEKDAY(DATE('2020'!AnnéeCalendrier,9,1)-1)</definedName>
    <definedName name="SepDim1" localSheetId="4">DATE('2021'!AnnéeCalendrier,9,1)-WEEKDAY(DATE('2021'!AnnéeCalendrier,9,1)-1)</definedName>
    <definedName name="SepDim1" localSheetId="5">DATE('2022'!AnnéeCalendrier,9,1)-WEEKDAY(DATE('2022'!AnnéeCalendrier,9,1)-1)</definedName>
    <definedName name="SepDim1" localSheetId="6">DATE('2023'!AnnéeCalendrier,9,1)-WEEKDAY(DATE('2023'!AnnéeCalendrier,9,1)-1)</definedName>
    <definedName name="SepDim1" localSheetId="7">DATE('2024'!AnnéeCalendrier,9,1)-WEEKDAY(DATE('2024'!AnnéeCalendrier,9,1)-1)</definedName>
    <definedName name="SepDim1" localSheetId="8">DATE('2025'!AnnéeCalendrier,9,1)-WEEKDAY(DATE('2025'!AnnéeCalendrier,9,1)-1)</definedName>
    <definedName name="SepDim1" localSheetId="9">DATE('2026'!AnnéeCalendrier,9,1)-WEEKDAY(DATE('2026'!AnnéeCalendrier,9,1)-1)</definedName>
    <definedName name="SepDim1" localSheetId="10">DATE('2027'!AnnéeCalendrier,9,1)-WEEKDAY(DATE('2027'!AnnéeCalendrier,9,1)-1)</definedName>
    <definedName name="SepDim1" localSheetId="11">DATE('2028'!AnnéeCalendrier,9,1)-WEEKDAY(DATE('2028'!AnnéeCalendrier,9,1)-1)</definedName>
    <definedName name="SepDim1" localSheetId="12">DATE('2029'!AnnéeCalendrier,9,1)-WEEKDAY(DATE('2029'!AnnéeCalendrier,9,1)-1)</definedName>
    <definedName name="SepDim1" localSheetId="13">DATE('2030'!AnnéeCalendrier,9,1)-WEEKDAY(DATE('2030'!AnnéeCalendrier,9,1)-1)</definedName>
    <definedName name="SepDim1">DATE('2017'!AnnéeCalendrier,9,1)-WEEKDAY(DATE('2017'!AnnéeCalendrier,9,1)-1)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5" l="1"/>
  <c r="D8" i="5" s="1"/>
  <c r="C9" i="5"/>
  <c r="D9" i="5" s="1"/>
  <c r="C10" i="5"/>
  <c r="D10" i="5" s="1"/>
  <c r="C11" i="5"/>
  <c r="D11" i="5" s="1"/>
  <c r="C12" i="5"/>
  <c r="D12" i="5" s="1"/>
  <c r="C13" i="5"/>
  <c r="D13" i="5" s="1"/>
  <c r="C14" i="5"/>
  <c r="D14" i="5" s="1"/>
  <c r="C15" i="5"/>
  <c r="D15" i="5" s="1"/>
  <c r="C16" i="5"/>
  <c r="D16" i="5" s="1"/>
  <c r="C17" i="5"/>
  <c r="D17" i="5" s="1"/>
  <c r="C18" i="5"/>
  <c r="D18" i="5" s="1"/>
  <c r="C19" i="5"/>
  <c r="D19" i="5" s="1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C31" i="5"/>
  <c r="D31" i="5" s="1"/>
  <c r="C32" i="5"/>
  <c r="D32" i="5" s="1"/>
  <c r="C33" i="5"/>
  <c r="D33" i="5" s="1"/>
  <c r="C34" i="5"/>
  <c r="D34" i="5" s="1"/>
  <c r="C35" i="5"/>
  <c r="D35" i="5" s="1"/>
  <c r="C36" i="5"/>
  <c r="D36" i="5" s="1"/>
  <c r="C37" i="5"/>
  <c r="D37" i="5" s="1"/>
  <c r="C38" i="5"/>
  <c r="D38" i="5" s="1"/>
  <c r="C39" i="5"/>
  <c r="D39" i="5" s="1"/>
  <c r="C40" i="5"/>
  <c r="D40" i="5" s="1"/>
  <c r="C41" i="5"/>
  <c r="D41" i="5" s="1"/>
  <c r="C42" i="5"/>
  <c r="D42" i="5" s="1"/>
  <c r="C43" i="5"/>
  <c r="D43" i="5" s="1"/>
  <c r="C44" i="5"/>
  <c r="D44" i="5" s="1"/>
  <c r="C45" i="5"/>
  <c r="D45" i="5" s="1"/>
  <c r="C46" i="5"/>
  <c r="D46" i="5" s="1"/>
  <c r="C47" i="5"/>
  <c r="D47" i="5" s="1"/>
  <c r="C48" i="5"/>
  <c r="D48" i="5" s="1"/>
  <c r="C49" i="5"/>
  <c r="D49" i="5" s="1"/>
  <c r="C50" i="5"/>
  <c r="D50" i="5" s="1"/>
  <c r="C51" i="5"/>
  <c r="D51" i="5" s="1"/>
  <c r="C52" i="5"/>
  <c r="D52" i="5" s="1"/>
  <c r="C53" i="5"/>
  <c r="D53" i="5" s="1"/>
  <c r="C54" i="5"/>
  <c r="D54" i="5" s="1"/>
  <c r="C55" i="5"/>
  <c r="D55" i="5" s="1"/>
  <c r="C56" i="5"/>
  <c r="D56" i="5" s="1"/>
  <c r="C57" i="5"/>
  <c r="D57" i="5" s="1"/>
  <c r="C58" i="5"/>
  <c r="D58" i="5" s="1"/>
  <c r="C59" i="5"/>
  <c r="D59" i="5" s="1"/>
  <c r="C60" i="5"/>
  <c r="D60" i="5" s="1"/>
  <c r="C61" i="5"/>
  <c r="D61" i="5" s="1"/>
  <c r="C62" i="5"/>
  <c r="D62" i="5" s="1"/>
  <c r="C63" i="5"/>
  <c r="D63" i="5" s="1"/>
  <c r="C64" i="5"/>
  <c r="D64" i="5" s="1"/>
  <c r="C65" i="5"/>
  <c r="D65" i="5" s="1"/>
  <c r="C66" i="5"/>
  <c r="D66" i="5" s="1"/>
  <c r="C67" i="5"/>
  <c r="D67" i="5" s="1"/>
  <c r="C68" i="5"/>
  <c r="D68" i="5" s="1"/>
  <c r="C69" i="5"/>
  <c r="D69" i="5" s="1"/>
  <c r="C70" i="5"/>
  <c r="D70" i="5" s="1"/>
  <c r="C71" i="5"/>
  <c r="D71" i="5" s="1"/>
  <c r="C72" i="5"/>
  <c r="D72" i="5" s="1"/>
  <c r="C73" i="5"/>
  <c r="D73" i="5" s="1"/>
  <c r="C74" i="5"/>
  <c r="D74" i="5" s="1"/>
  <c r="C75" i="5"/>
  <c r="D75" i="5" s="1"/>
  <c r="C76" i="5"/>
  <c r="D76" i="5" s="1"/>
  <c r="C77" i="5"/>
  <c r="D77" i="5" s="1"/>
  <c r="C78" i="5"/>
  <c r="D78" i="5" s="1"/>
  <c r="C79" i="5"/>
  <c r="D79" i="5" s="1"/>
  <c r="C80" i="5"/>
  <c r="D80" i="5" s="1"/>
  <c r="C81" i="5"/>
  <c r="D81" i="5" s="1"/>
  <c r="C82" i="5"/>
  <c r="D82" i="5" s="1"/>
  <c r="C83" i="5"/>
  <c r="D83" i="5" s="1"/>
  <c r="C84" i="5"/>
  <c r="D84" i="5" s="1"/>
  <c r="C85" i="5"/>
  <c r="D85" i="5" s="1"/>
  <c r="C86" i="5"/>
  <c r="D86" i="5" s="1"/>
  <c r="C87" i="5"/>
  <c r="D87" i="5" s="1"/>
  <c r="C88" i="5"/>
  <c r="D88" i="5" s="1"/>
  <c r="C89" i="5"/>
  <c r="D89" i="5" s="1"/>
  <c r="C90" i="5"/>
  <c r="D90" i="5" s="1"/>
  <c r="C91" i="5"/>
  <c r="D91" i="5" s="1"/>
  <c r="C92" i="5"/>
  <c r="D92" i="5" s="1"/>
  <c r="C93" i="5"/>
  <c r="D93" i="5" s="1"/>
  <c r="C94" i="5"/>
  <c r="D94" i="5" s="1"/>
  <c r="C95" i="5"/>
  <c r="D95" i="5" s="1"/>
  <c r="C96" i="5"/>
  <c r="D96" i="5" s="1"/>
  <c r="C97" i="5"/>
  <c r="D97" i="5" s="1"/>
  <c r="C98" i="5"/>
  <c r="D98" i="5" s="1"/>
  <c r="C99" i="5"/>
  <c r="D99" i="5" s="1"/>
  <c r="C100" i="5"/>
  <c r="D100" i="5" s="1"/>
  <c r="C101" i="5"/>
  <c r="D101" i="5" s="1"/>
  <c r="C102" i="5"/>
  <c r="D102" i="5" s="1"/>
  <c r="C103" i="5"/>
  <c r="D103" i="5" s="1"/>
  <c r="C104" i="5"/>
  <c r="D104" i="5" s="1"/>
  <c r="C105" i="5"/>
  <c r="D105" i="5" s="1"/>
  <c r="C106" i="5"/>
  <c r="D106" i="5" s="1"/>
  <c r="C107" i="5"/>
  <c r="D107" i="5" s="1"/>
  <c r="C108" i="5"/>
  <c r="D108" i="5" s="1"/>
  <c r="C109" i="5"/>
  <c r="D109" i="5" s="1"/>
  <c r="C110" i="5"/>
  <c r="D110" i="5" s="1"/>
  <c r="C111" i="5"/>
  <c r="D111" i="5" s="1"/>
  <c r="C112" i="5"/>
  <c r="D112" i="5" s="1"/>
  <c r="C113" i="5"/>
  <c r="D113" i="5" s="1"/>
  <c r="C114" i="5"/>
  <c r="D114" i="5" s="1"/>
  <c r="C115" i="5"/>
  <c r="D115" i="5" s="1"/>
  <c r="C116" i="5"/>
  <c r="D116" i="5" s="1"/>
  <c r="C117" i="5"/>
  <c r="D117" i="5" s="1"/>
  <c r="C118" i="5"/>
  <c r="D118" i="5" s="1"/>
  <c r="C119" i="5"/>
  <c r="D119" i="5" s="1"/>
  <c r="C120" i="5"/>
  <c r="D120" i="5" s="1"/>
  <c r="C121" i="5"/>
  <c r="D121" i="5" s="1"/>
  <c r="C122" i="5"/>
  <c r="D122" i="5" s="1"/>
  <c r="C123" i="5"/>
  <c r="D123" i="5" s="1"/>
  <c r="C124" i="5"/>
  <c r="D124" i="5" s="1"/>
  <c r="C125" i="5"/>
  <c r="D125" i="5" s="1"/>
  <c r="C126" i="5"/>
  <c r="D126" i="5" s="1"/>
  <c r="C127" i="5"/>
  <c r="D127" i="5" s="1"/>
  <c r="C128" i="5"/>
  <c r="D128" i="5" s="1"/>
  <c r="C129" i="5"/>
  <c r="D129" i="5" s="1"/>
  <c r="C130" i="5"/>
  <c r="D130" i="5" s="1"/>
  <c r="C131" i="5"/>
  <c r="D131" i="5" s="1"/>
  <c r="C132" i="5"/>
  <c r="D132" i="5" s="1"/>
  <c r="C133" i="5"/>
  <c r="D133" i="5" s="1"/>
  <c r="C134" i="5"/>
  <c r="D134" i="5" s="1"/>
  <c r="C135" i="5"/>
  <c r="D135" i="5" s="1"/>
  <c r="C136" i="5"/>
  <c r="D136" i="5" s="1"/>
  <c r="C137" i="5"/>
  <c r="D137" i="5" s="1"/>
  <c r="C138" i="5"/>
  <c r="D138" i="5" s="1"/>
  <c r="C139" i="5"/>
  <c r="D139" i="5" s="1"/>
  <c r="C140" i="5"/>
  <c r="D140" i="5" s="1"/>
  <c r="C141" i="5"/>
  <c r="D141" i="5" s="1"/>
  <c r="C142" i="5"/>
  <c r="D142" i="5" s="1"/>
  <c r="C143" i="5"/>
  <c r="D143" i="5" s="1"/>
  <c r="C144" i="5"/>
  <c r="D144" i="5" s="1"/>
  <c r="C145" i="5"/>
  <c r="D145" i="5" s="1"/>
  <c r="C146" i="5"/>
  <c r="D146" i="5" s="1"/>
  <c r="C147" i="5"/>
  <c r="D147" i="5" s="1"/>
  <c r="C148" i="5"/>
  <c r="D148" i="5" s="1"/>
  <c r="C149" i="5"/>
  <c r="D149" i="5" s="1"/>
  <c r="C150" i="5"/>
  <c r="D150" i="5" s="1"/>
  <c r="C151" i="5"/>
  <c r="D151" i="5" s="1"/>
  <c r="C152" i="5"/>
  <c r="D152" i="5" s="1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3" i="5"/>
  <c r="D163" i="5" s="1"/>
  <c r="C164" i="5"/>
  <c r="D164" i="5" s="1"/>
  <c r="C165" i="5"/>
  <c r="D165" i="5" s="1"/>
  <c r="C166" i="5"/>
  <c r="D166" i="5" s="1"/>
  <c r="C167" i="5"/>
  <c r="D167" i="5" s="1"/>
  <c r="C168" i="5"/>
  <c r="D168" i="5" s="1"/>
  <c r="C169" i="5"/>
  <c r="D169" i="5" s="1"/>
  <c r="C170" i="5"/>
  <c r="D170" i="5" s="1"/>
  <c r="C171" i="5"/>
  <c r="D171" i="5" s="1"/>
  <c r="C172" i="5"/>
  <c r="D172" i="5" s="1"/>
  <c r="C173" i="5"/>
  <c r="D173" i="5" s="1"/>
  <c r="C174" i="5"/>
  <c r="D174" i="5" s="1"/>
  <c r="C175" i="5"/>
  <c r="D175" i="5" s="1"/>
  <c r="C176" i="5"/>
  <c r="D176" i="5" s="1"/>
  <c r="C177" i="5"/>
  <c r="D177" i="5" s="1"/>
  <c r="C178" i="5"/>
  <c r="D178" i="5" s="1"/>
  <c r="C179" i="5"/>
  <c r="D179" i="5" s="1"/>
  <c r="C180" i="5"/>
  <c r="D180" i="5" s="1"/>
  <c r="C181" i="5"/>
  <c r="D181" i="5" s="1"/>
  <c r="C182" i="5"/>
  <c r="D182" i="5" s="1"/>
  <c r="C183" i="5"/>
  <c r="D183" i="5" s="1"/>
  <c r="C184" i="5"/>
  <c r="D184" i="5" s="1"/>
  <c r="C185" i="5"/>
  <c r="D185" i="5" s="1"/>
  <c r="C186" i="5"/>
  <c r="D186" i="5" s="1"/>
  <c r="C187" i="5"/>
  <c r="D187" i="5" s="1"/>
  <c r="C188" i="5"/>
  <c r="D188" i="5" s="1"/>
  <c r="C189" i="5"/>
  <c r="D189" i="5" s="1"/>
  <c r="C190" i="5"/>
  <c r="D190" i="5" s="1"/>
  <c r="C191" i="5"/>
  <c r="D191" i="5" s="1"/>
  <c r="C192" i="5"/>
  <c r="D192" i="5" s="1"/>
  <c r="C193" i="5"/>
  <c r="D193" i="5" s="1"/>
  <c r="C194" i="5"/>
  <c r="D194" i="5" s="1"/>
  <c r="C195" i="5"/>
  <c r="D195" i="5" s="1"/>
  <c r="C196" i="5"/>
  <c r="D196" i="5" s="1"/>
  <c r="C197" i="5"/>
  <c r="D197" i="5" s="1"/>
  <c r="C198" i="5"/>
  <c r="D198" i="5" s="1"/>
  <c r="C199" i="5"/>
  <c r="D199" i="5" s="1"/>
  <c r="C200" i="5"/>
  <c r="D200" i="5" s="1"/>
  <c r="C201" i="5"/>
  <c r="D201" i="5" s="1"/>
  <c r="C202" i="5"/>
  <c r="D202" i="5" s="1"/>
  <c r="C203" i="5"/>
  <c r="D203" i="5" s="1"/>
  <c r="C204" i="5"/>
  <c r="D204" i="5" s="1"/>
  <c r="C205" i="5"/>
  <c r="D205" i="5" s="1"/>
  <c r="C206" i="5"/>
  <c r="D206" i="5" s="1"/>
  <c r="C207" i="5"/>
  <c r="D207" i="5" s="1"/>
  <c r="C208" i="5"/>
  <c r="D208" i="5" s="1"/>
  <c r="C209" i="5"/>
  <c r="D209" i="5" s="1"/>
  <c r="C210" i="5"/>
  <c r="D210" i="5" s="1"/>
  <c r="C211" i="5"/>
  <c r="D211" i="5" s="1"/>
  <c r="C212" i="5"/>
  <c r="D212" i="5" s="1"/>
  <c r="C213" i="5"/>
  <c r="D213" i="5" s="1"/>
  <c r="C214" i="5"/>
  <c r="D214" i="5" s="1"/>
  <c r="C215" i="5"/>
  <c r="D215" i="5" s="1"/>
  <c r="C216" i="5"/>
  <c r="D216" i="5" s="1"/>
  <c r="C217" i="5"/>
  <c r="D217" i="5" s="1"/>
  <c r="C218" i="5"/>
  <c r="D218" i="5" s="1"/>
  <c r="C219" i="5"/>
  <c r="D219" i="5" s="1"/>
  <c r="C220" i="5"/>
  <c r="D220" i="5" s="1"/>
  <c r="C221" i="5"/>
  <c r="D221" i="5" s="1"/>
  <c r="C222" i="5"/>
  <c r="D222" i="5" s="1"/>
  <c r="C223" i="5"/>
  <c r="D223" i="5" s="1"/>
  <c r="C224" i="5"/>
  <c r="D224" i="5" s="1"/>
  <c r="C225" i="5"/>
  <c r="D225" i="5" s="1"/>
  <c r="C226" i="5"/>
  <c r="D226" i="5" s="1"/>
  <c r="C227" i="5"/>
  <c r="D227" i="5" s="1"/>
  <c r="C228" i="5"/>
  <c r="D228" i="5" s="1"/>
  <c r="C229" i="5"/>
  <c r="D229" i="5" s="1"/>
  <c r="C230" i="5"/>
  <c r="D230" i="5" s="1"/>
  <c r="C231" i="5"/>
  <c r="D231" i="5" s="1"/>
  <c r="C232" i="5"/>
  <c r="D232" i="5" s="1"/>
  <c r="C233" i="5"/>
  <c r="D233" i="5" s="1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C241" i="5"/>
  <c r="D241" i="5" s="1"/>
  <c r="C242" i="5"/>
  <c r="D242" i="5" s="1"/>
  <c r="C243" i="5"/>
  <c r="D243" i="5" s="1"/>
  <c r="C244" i="5"/>
  <c r="D244" i="5" s="1"/>
  <c r="C245" i="5"/>
  <c r="D245" i="5" s="1"/>
  <c r="C246" i="5"/>
  <c r="D246" i="5" s="1"/>
  <c r="C247" i="5"/>
  <c r="D247" i="5" s="1"/>
  <c r="C248" i="5"/>
  <c r="D248" i="5" s="1"/>
  <c r="C249" i="5"/>
  <c r="D249" i="5" s="1"/>
  <c r="C250" i="5"/>
  <c r="D250" i="5" s="1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C263" i="5"/>
  <c r="D263" i="5" s="1"/>
  <c r="C264" i="5"/>
  <c r="D264" i="5" s="1"/>
  <c r="C265" i="5"/>
  <c r="D265" i="5" s="1"/>
  <c r="C266" i="5"/>
  <c r="D266" i="5" s="1"/>
  <c r="C267" i="5"/>
  <c r="D267" i="5" s="1"/>
  <c r="C268" i="5"/>
  <c r="D268" i="5" s="1"/>
  <c r="C269" i="5"/>
  <c r="D269" i="5" s="1"/>
  <c r="C270" i="5"/>
  <c r="D270" i="5" s="1"/>
  <c r="C271" i="5"/>
  <c r="D271" i="5" s="1"/>
  <c r="C272" i="5"/>
  <c r="D272" i="5" s="1"/>
  <c r="C273" i="5"/>
  <c r="D273" i="5" s="1"/>
  <c r="C274" i="5"/>
  <c r="D274" i="5" s="1"/>
  <c r="C275" i="5"/>
  <c r="D275" i="5" s="1"/>
  <c r="C276" i="5"/>
  <c r="D276" i="5" s="1"/>
  <c r="C277" i="5"/>
  <c r="D277" i="5" s="1"/>
  <c r="C278" i="5"/>
  <c r="D278" i="5" s="1"/>
  <c r="C279" i="5"/>
  <c r="D279" i="5" s="1"/>
  <c r="C280" i="5"/>
  <c r="D280" i="5" s="1"/>
  <c r="C281" i="5"/>
  <c r="D281" i="5" s="1"/>
  <c r="C282" i="5"/>
  <c r="D282" i="5" s="1"/>
  <c r="C283" i="5"/>
  <c r="D283" i="5" s="1"/>
  <c r="C284" i="5"/>
  <c r="D284" i="5" s="1"/>
  <c r="C285" i="5"/>
  <c r="D285" i="5" s="1"/>
  <c r="C286" i="5"/>
  <c r="D286" i="5" s="1"/>
  <c r="C287" i="5"/>
  <c r="D287" i="5" s="1"/>
  <c r="C288" i="5"/>
  <c r="D288" i="5" s="1"/>
  <c r="C289" i="5"/>
  <c r="D289" i="5" s="1"/>
  <c r="C290" i="5"/>
  <c r="D290" i="5" s="1"/>
  <c r="C291" i="5"/>
  <c r="D291" i="5" s="1"/>
  <c r="C292" i="5"/>
  <c r="D292" i="5" s="1"/>
  <c r="C293" i="5"/>
  <c r="D293" i="5" s="1"/>
  <c r="C294" i="5"/>
  <c r="D294" i="5" s="1"/>
  <c r="C295" i="5"/>
  <c r="D295" i="5" s="1"/>
  <c r="C296" i="5"/>
  <c r="D296" i="5" s="1"/>
  <c r="C297" i="5"/>
  <c r="D297" i="5" s="1"/>
  <c r="C298" i="5"/>
  <c r="D298" i="5" s="1"/>
  <c r="C299" i="5"/>
  <c r="D299" i="5" s="1"/>
  <c r="C300" i="5"/>
  <c r="D300" i="5" s="1"/>
  <c r="C301" i="5"/>
  <c r="D301" i="5" s="1"/>
  <c r="C302" i="5"/>
  <c r="D302" i="5" s="1"/>
  <c r="C303" i="5"/>
  <c r="D303" i="5" s="1"/>
  <c r="C304" i="5"/>
  <c r="D304" i="5" s="1"/>
  <c r="C305" i="5"/>
  <c r="D305" i="5" s="1"/>
  <c r="C306" i="5"/>
  <c r="D306" i="5" s="1"/>
  <c r="C307" i="5"/>
  <c r="D307" i="5" s="1"/>
  <c r="C308" i="5"/>
  <c r="D308" i="5" s="1"/>
  <c r="C309" i="5"/>
  <c r="D309" i="5" s="1"/>
  <c r="C310" i="5"/>
  <c r="D310" i="5" s="1"/>
  <c r="C311" i="5"/>
  <c r="D311" i="5" s="1"/>
  <c r="C312" i="5"/>
  <c r="D312" i="5" s="1"/>
  <c r="C313" i="5"/>
  <c r="D313" i="5" s="1"/>
  <c r="C314" i="5"/>
  <c r="D314" i="5" s="1"/>
  <c r="C315" i="5"/>
  <c r="D315" i="5" s="1"/>
  <c r="C316" i="5"/>
  <c r="D316" i="5" s="1"/>
  <c r="C317" i="5"/>
  <c r="D317" i="5" s="1"/>
  <c r="C318" i="5"/>
  <c r="D318" i="5" s="1"/>
  <c r="C319" i="5"/>
  <c r="D319" i="5" s="1"/>
  <c r="C320" i="5"/>
  <c r="D320" i="5" s="1"/>
  <c r="C321" i="5"/>
  <c r="D321" i="5" s="1"/>
  <c r="C322" i="5"/>
  <c r="D322" i="5" s="1"/>
  <c r="C323" i="5"/>
  <c r="D323" i="5" s="1"/>
  <c r="C324" i="5"/>
  <c r="D324" i="5" s="1"/>
  <c r="C325" i="5"/>
  <c r="D325" i="5" s="1"/>
  <c r="C326" i="5"/>
  <c r="D326" i="5" s="1"/>
  <c r="C327" i="5"/>
  <c r="D327" i="5" s="1"/>
  <c r="C328" i="5"/>
  <c r="D328" i="5" s="1"/>
  <c r="C329" i="5"/>
  <c r="D329" i="5" s="1"/>
  <c r="C330" i="5"/>
  <c r="D330" i="5" s="1"/>
  <c r="C331" i="5"/>
  <c r="D331" i="5" s="1"/>
  <c r="C332" i="5"/>
  <c r="D332" i="5" s="1"/>
  <c r="C333" i="5"/>
  <c r="D333" i="5" s="1"/>
  <c r="C334" i="5"/>
  <c r="D334" i="5" s="1"/>
  <c r="C335" i="5"/>
  <c r="D335" i="5" s="1"/>
  <c r="C336" i="5"/>
  <c r="D336" i="5" s="1"/>
  <c r="C337" i="5"/>
  <c r="D337" i="5" s="1"/>
  <c r="C338" i="5"/>
  <c r="D338" i="5" s="1"/>
  <c r="C339" i="5"/>
  <c r="D339" i="5" s="1"/>
  <c r="C340" i="5"/>
  <c r="D340" i="5" s="1"/>
  <c r="C341" i="5"/>
  <c r="D341" i="5" s="1"/>
  <c r="C342" i="5"/>
  <c r="D342" i="5" s="1"/>
  <c r="C343" i="5"/>
  <c r="D343" i="5" s="1"/>
  <c r="C344" i="5"/>
  <c r="D344" i="5" s="1"/>
  <c r="C345" i="5"/>
  <c r="D345" i="5" s="1"/>
  <c r="C346" i="5"/>
  <c r="D346" i="5" s="1"/>
  <c r="C347" i="5"/>
  <c r="D347" i="5" s="1"/>
  <c r="C348" i="5"/>
  <c r="D348" i="5" s="1"/>
  <c r="C349" i="5"/>
  <c r="D349" i="5" s="1"/>
  <c r="C350" i="5"/>
  <c r="D350" i="5" s="1"/>
  <c r="C351" i="5"/>
  <c r="D351" i="5" s="1"/>
  <c r="C352" i="5"/>
  <c r="D352" i="5" s="1"/>
  <c r="C353" i="5"/>
  <c r="D353" i="5" s="1"/>
  <c r="C354" i="5"/>
  <c r="D354" i="5" s="1"/>
  <c r="C355" i="5"/>
  <c r="D355" i="5" s="1"/>
  <c r="C356" i="5"/>
  <c r="D356" i="5" s="1"/>
  <c r="C357" i="5"/>
  <c r="D357" i="5" s="1"/>
  <c r="C358" i="5"/>
  <c r="D358" i="5" s="1"/>
  <c r="C359" i="5"/>
  <c r="D359" i="5" s="1"/>
  <c r="C360" i="5"/>
  <c r="D360" i="5" s="1"/>
  <c r="C361" i="5"/>
  <c r="D361" i="5" s="1"/>
  <c r="C362" i="5"/>
  <c r="D362" i="5" s="1"/>
  <c r="C363" i="5"/>
  <c r="D363" i="5" s="1"/>
  <c r="C364" i="5"/>
  <c r="D364" i="5" s="1"/>
  <c r="C365" i="5"/>
  <c r="D365" i="5" s="1"/>
  <c r="C366" i="5"/>
  <c r="D366" i="5" s="1"/>
  <c r="C367" i="5"/>
  <c r="D367" i="5" s="1"/>
  <c r="C368" i="5"/>
  <c r="D368" i="5" s="1"/>
  <c r="C369" i="5"/>
  <c r="D369" i="5" s="1"/>
  <c r="C370" i="5"/>
  <c r="D370" i="5" s="1"/>
  <c r="C371" i="5"/>
  <c r="D371" i="5" s="1"/>
  <c r="C372" i="5"/>
  <c r="D372" i="5" s="1"/>
  <c r="C373" i="5"/>
  <c r="D373" i="5" s="1"/>
  <c r="C374" i="5"/>
  <c r="D374" i="5" s="1"/>
  <c r="C375" i="5"/>
  <c r="D375" i="5" s="1"/>
  <c r="C376" i="5"/>
  <c r="D376" i="5" s="1"/>
  <c r="C377" i="5"/>
  <c r="D377" i="5" s="1"/>
  <c r="C378" i="5"/>
  <c r="D378" i="5" s="1"/>
  <c r="C379" i="5"/>
  <c r="D379" i="5" s="1"/>
  <c r="C380" i="5"/>
  <c r="D380" i="5" s="1"/>
  <c r="C381" i="5"/>
  <c r="D381" i="5" s="1"/>
  <c r="C382" i="5"/>
  <c r="D382" i="5" s="1"/>
  <c r="C383" i="5"/>
  <c r="D383" i="5" s="1"/>
  <c r="C384" i="5"/>
  <c r="D384" i="5" s="1"/>
  <c r="C385" i="5"/>
  <c r="D385" i="5" s="1"/>
  <c r="C386" i="5"/>
  <c r="D386" i="5" s="1"/>
  <c r="C387" i="5"/>
  <c r="D387" i="5" s="1"/>
  <c r="C388" i="5"/>
  <c r="D388" i="5" s="1"/>
  <c r="C389" i="5"/>
  <c r="D389" i="5" s="1"/>
  <c r="C390" i="5"/>
  <c r="D390" i="5" s="1"/>
  <c r="C391" i="5"/>
  <c r="D391" i="5" s="1"/>
  <c r="C392" i="5"/>
  <c r="D392" i="5" s="1"/>
  <c r="C393" i="5"/>
  <c r="D393" i="5" s="1"/>
  <c r="C394" i="5"/>
  <c r="D394" i="5" s="1"/>
  <c r="C395" i="5"/>
  <c r="D395" i="5" s="1"/>
  <c r="C396" i="5"/>
  <c r="D396" i="5" s="1"/>
  <c r="C397" i="5"/>
  <c r="D397" i="5" s="1"/>
  <c r="C398" i="5"/>
  <c r="D398" i="5" s="1"/>
  <c r="C399" i="5"/>
  <c r="D399" i="5" s="1"/>
  <c r="C400" i="5"/>
  <c r="D400" i="5" s="1"/>
  <c r="C401" i="5"/>
  <c r="D401" i="5" s="1"/>
  <c r="C402" i="5"/>
  <c r="D402" i="5" s="1"/>
  <c r="C403" i="5"/>
  <c r="D403" i="5" s="1"/>
  <c r="C404" i="5"/>
  <c r="D404" i="5" s="1"/>
  <c r="C405" i="5"/>
  <c r="D405" i="5" s="1"/>
  <c r="C406" i="5"/>
  <c r="D406" i="5" s="1"/>
  <c r="C407" i="5"/>
  <c r="D407" i="5" s="1"/>
  <c r="C408" i="5"/>
  <c r="D408" i="5" s="1"/>
  <c r="C409" i="5"/>
  <c r="D409" i="5" s="1"/>
  <c r="C410" i="5"/>
  <c r="D410" i="5" s="1"/>
  <c r="C411" i="5"/>
  <c r="D411" i="5" s="1"/>
  <c r="C412" i="5"/>
  <c r="D412" i="5" s="1"/>
  <c r="C413" i="5"/>
  <c r="D413" i="5" s="1"/>
  <c r="C414" i="5"/>
  <c r="D414" i="5" s="1"/>
  <c r="C415" i="5"/>
  <c r="D415" i="5" s="1"/>
  <c r="C416" i="5"/>
  <c r="D416" i="5" s="1"/>
  <c r="C417" i="5"/>
  <c r="D417" i="5" s="1"/>
  <c r="C418" i="5"/>
  <c r="D418" i="5" s="1"/>
  <c r="C419" i="5"/>
  <c r="D419" i="5" s="1"/>
  <c r="C420" i="5"/>
  <c r="D420" i="5" s="1"/>
  <c r="C421" i="5"/>
  <c r="D421" i="5" s="1"/>
  <c r="C422" i="5"/>
  <c r="D422" i="5" s="1"/>
  <c r="C423" i="5"/>
  <c r="D423" i="5" s="1"/>
  <c r="C424" i="5"/>
  <c r="D424" i="5" s="1"/>
  <c r="C425" i="5"/>
  <c r="D425" i="5" s="1"/>
  <c r="C426" i="5"/>
  <c r="D426" i="5" s="1"/>
  <c r="C427" i="5"/>
  <c r="D427" i="5" s="1"/>
  <c r="C428" i="5"/>
  <c r="D428" i="5" s="1"/>
  <c r="C429" i="5"/>
  <c r="D429" i="5" s="1"/>
  <c r="C430" i="5"/>
  <c r="D430" i="5" s="1"/>
  <c r="C431" i="5"/>
  <c r="D431" i="5" s="1"/>
  <c r="C432" i="5"/>
  <c r="D432" i="5" s="1"/>
  <c r="C433" i="5"/>
  <c r="D433" i="5" s="1"/>
  <c r="C434" i="5"/>
  <c r="D434" i="5" s="1"/>
  <c r="C435" i="5"/>
  <c r="D435" i="5" s="1"/>
  <c r="C436" i="5"/>
  <c r="D436" i="5" s="1"/>
  <c r="C437" i="5"/>
  <c r="D437" i="5" s="1"/>
  <c r="C438" i="5"/>
  <c r="D438" i="5" s="1"/>
  <c r="C439" i="5"/>
  <c r="D439" i="5" s="1"/>
  <c r="C440" i="5"/>
  <c r="D440" i="5" s="1"/>
  <c r="C441" i="5"/>
  <c r="D441" i="5" s="1"/>
  <c r="C442" i="5"/>
  <c r="D442" i="5" s="1"/>
  <c r="C443" i="5"/>
  <c r="D443" i="5" s="1"/>
  <c r="C444" i="5"/>
  <c r="D444" i="5" s="1"/>
  <c r="C445" i="5"/>
  <c r="D445" i="5" s="1"/>
  <c r="C446" i="5"/>
  <c r="D446" i="5" s="1"/>
  <c r="C447" i="5"/>
  <c r="D447" i="5" s="1"/>
  <c r="C448" i="5"/>
  <c r="D448" i="5" s="1"/>
  <c r="C449" i="5"/>
  <c r="D449" i="5" s="1"/>
  <c r="C450" i="5"/>
  <c r="D450" i="5" s="1"/>
  <c r="C451" i="5"/>
  <c r="D451" i="5" s="1"/>
  <c r="C452" i="5"/>
  <c r="D452" i="5" s="1"/>
  <c r="C453" i="5"/>
  <c r="D453" i="5" s="1"/>
  <c r="C454" i="5"/>
  <c r="D454" i="5" s="1"/>
  <c r="C455" i="5"/>
  <c r="D455" i="5" s="1"/>
  <c r="C456" i="5"/>
  <c r="D456" i="5" s="1"/>
  <c r="C457" i="5"/>
  <c r="D457" i="5" s="1"/>
  <c r="C458" i="5"/>
  <c r="D458" i="5" s="1"/>
  <c r="C459" i="5"/>
  <c r="D459" i="5" s="1"/>
  <c r="C460" i="5"/>
  <c r="D460" i="5" s="1"/>
  <c r="C461" i="5"/>
  <c r="D461" i="5" s="1"/>
  <c r="C462" i="5"/>
  <c r="D462" i="5" s="1"/>
  <c r="C463" i="5"/>
  <c r="D463" i="5" s="1"/>
  <c r="C464" i="5"/>
  <c r="D464" i="5" s="1"/>
  <c r="C465" i="5"/>
  <c r="D465" i="5" s="1"/>
  <c r="C466" i="5"/>
  <c r="D466" i="5" s="1"/>
  <c r="C467" i="5"/>
  <c r="D467" i="5" s="1"/>
  <c r="C468" i="5"/>
  <c r="D468" i="5" s="1"/>
  <c r="C469" i="5"/>
  <c r="D469" i="5" s="1"/>
  <c r="C470" i="5"/>
  <c r="D470" i="5" s="1"/>
  <c r="C471" i="5"/>
  <c r="D471" i="5" s="1"/>
  <c r="C472" i="5"/>
  <c r="D472" i="5" s="1"/>
  <c r="C473" i="5"/>
  <c r="D473" i="5" s="1"/>
  <c r="C474" i="5"/>
  <c r="D474" i="5" s="1"/>
  <c r="C475" i="5"/>
  <c r="D475" i="5" s="1"/>
  <c r="C476" i="5"/>
  <c r="D476" i="5" s="1"/>
  <c r="C477" i="5"/>
  <c r="D477" i="5" s="1"/>
  <c r="C478" i="5"/>
  <c r="D478" i="5" s="1"/>
  <c r="C479" i="5"/>
  <c r="D479" i="5" s="1"/>
  <c r="C480" i="5"/>
  <c r="D480" i="5" s="1"/>
  <c r="C481" i="5"/>
  <c r="D481" i="5" s="1"/>
  <c r="C482" i="5"/>
  <c r="D482" i="5" s="1"/>
  <c r="C483" i="5"/>
  <c r="D483" i="5" s="1"/>
  <c r="C484" i="5"/>
  <c r="D484" i="5" s="1"/>
  <c r="C485" i="5"/>
  <c r="D485" i="5" s="1"/>
  <c r="C486" i="5"/>
  <c r="D486" i="5" s="1"/>
  <c r="C487" i="5"/>
  <c r="D487" i="5" s="1"/>
  <c r="C488" i="5"/>
  <c r="D488" i="5" s="1"/>
  <c r="C489" i="5"/>
  <c r="D489" i="5" s="1"/>
  <c r="C490" i="5"/>
  <c r="D490" i="5" s="1"/>
  <c r="C491" i="5"/>
  <c r="D491" i="5" s="1"/>
  <c r="C492" i="5"/>
  <c r="D492" i="5" s="1"/>
  <c r="C493" i="5"/>
  <c r="D493" i="5" s="1"/>
  <c r="C494" i="5"/>
  <c r="D494" i="5" s="1"/>
  <c r="C495" i="5"/>
  <c r="D495" i="5" s="1"/>
  <c r="C496" i="5"/>
  <c r="D496" i="5" s="1"/>
  <c r="C497" i="5"/>
  <c r="D497" i="5" s="1"/>
  <c r="C498" i="5"/>
  <c r="D498" i="5" s="1"/>
  <c r="C499" i="5"/>
  <c r="D499" i="5" s="1"/>
  <c r="C500" i="5"/>
  <c r="D500" i="5" s="1"/>
  <c r="C501" i="5"/>
  <c r="D501" i="5" s="1"/>
  <c r="C502" i="5"/>
  <c r="D502" i="5" s="1"/>
  <c r="C503" i="5"/>
  <c r="D503" i="5" s="1"/>
  <c r="C504" i="5"/>
  <c r="D504" i="5" s="1"/>
  <c r="C505" i="5"/>
  <c r="D505" i="5" s="1"/>
  <c r="C506" i="5"/>
  <c r="D506" i="5" s="1"/>
  <c r="C507" i="5"/>
  <c r="D507" i="5" s="1"/>
  <c r="C508" i="5"/>
  <c r="D508" i="5" s="1"/>
  <c r="C509" i="5"/>
  <c r="D509" i="5" s="1"/>
  <c r="C510" i="5"/>
  <c r="D510" i="5" s="1"/>
  <c r="C511" i="5"/>
  <c r="D511" i="5" s="1"/>
  <c r="C512" i="5"/>
  <c r="D512" i="5" s="1"/>
  <c r="C513" i="5"/>
  <c r="D513" i="5" s="1"/>
  <c r="C514" i="5"/>
  <c r="D514" i="5" s="1"/>
  <c r="C515" i="5"/>
  <c r="D515" i="5" s="1"/>
  <c r="C516" i="5"/>
  <c r="D516" i="5" s="1"/>
  <c r="C517" i="5"/>
  <c r="D517" i="5" s="1"/>
  <c r="C518" i="5"/>
  <c r="D518" i="5" s="1"/>
  <c r="C519" i="5"/>
  <c r="D519" i="5" s="1"/>
  <c r="C520" i="5"/>
  <c r="D520" i="5" s="1"/>
  <c r="C521" i="5"/>
  <c r="D521" i="5" s="1"/>
  <c r="C522" i="5"/>
  <c r="D522" i="5" s="1"/>
  <c r="C523" i="5"/>
  <c r="D523" i="5" s="1"/>
  <c r="C524" i="5"/>
  <c r="D524" i="5" s="1"/>
  <c r="C525" i="5"/>
  <c r="D525" i="5" s="1"/>
  <c r="C526" i="5"/>
  <c r="D526" i="5" s="1"/>
  <c r="C527" i="5"/>
  <c r="D527" i="5" s="1"/>
  <c r="C528" i="5"/>
  <c r="D528" i="5" s="1"/>
  <c r="C529" i="5"/>
  <c r="D529" i="5" s="1"/>
  <c r="C530" i="5"/>
  <c r="D530" i="5" s="1"/>
  <c r="C531" i="5"/>
  <c r="D531" i="5" s="1"/>
  <c r="C532" i="5"/>
  <c r="D532" i="5" s="1"/>
  <c r="C533" i="5"/>
  <c r="D533" i="5" s="1"/>
  <c r="C534" i="5"/>
  <c r="D534" i="5" s="1"/>
  <c r="C535" i="5"/>
  <c r="D535" i="5" s="1"/>
  <c r="C536" i="5"/>
  <c r="D536" i="5" s="1"/>
  <c r="C537" i="5"/>
  <c r="D537" i="5" s="1"/>
  <c r="C538" i="5"/>
  <c r="D538" i="5" s="1"/>
  <c r="C539" i="5"/>
  <c r="D539" i="5" s="1"/>
  <c r="C540" i="5"/>
  <c r="D540" i="5" s="1"/>
  <c r="C541" i="5"/>
  <c r="D541" i="5" s="1"/>
  <c r="C542" i="5"/>
  <c r="D542" i="5" s="1"/>
  <c r="C543" i="5"/>
  <c r="D543" i="5" s="1"/>
  <c r="C544" i="5"/>
  <c r="D544" i="5" s="1"/>
  <c r="C545" i="5"/>
  <c r="D545" i="5" s="1"/>
  <c r="C546" i="5"/>
  <c r="D546" i="5" s="1"/>
  <c r="C547" i="5"/>
  <c r="D547" i="5" s="1"/>
  <c r="C548" i="5"/>
  <c r="D548" i="5" s="1"/>
  <c r="C549" i="5"/>
  <c r="D549" i="5" s="1"/>
  <c r="C550" i="5"/>
  <c r="D550" i="5" s="1"/>
  <c r="C551" i="5"/>
  <c r="D551" i="5" s="1"/>
  <c r="C552" i="5"/>
  <c r="D552" i="5" s="1"/>
  <c r="C553" i="5"/>
  <c r="D553" i="5" s="1"/>
  <c r="C554" i="5"/>
  <c r="D554" i="5" s="1"/>
  <c r="C555" i="5"/>
  <c r="D555" i="5" s="1"/>
  <c r="C556" i="5"/>
  <c r="D556" i="5" s="1"/>
  <c r="C557" i="5"/>
  <c r="D557" i="5" s="1"/>
  <c r="C558" i="5"/>
  <c r="D558" i="5" s="1"/>
  <c r="C559" i="5"/>
  <c r="D559" i="5" s="1"/>
  <c r="C560" i="5"/>
  <c r="D560" i="5" s="1"/>
  <c r="C561" i="5"/>
  <c r="D561" i="5" s="1"/>
  <c r="C562" i="5"/>
  <c r="D562" i="5" s="1"/>
  <c r="C563" i="5"/>
  <c r="D563" i="5" s="1"/>
  <c r="C564" i="5"/>
  <c r="D564" i="5" s="1"/>
  <c r="C565" i="5"/>
  <c r="D565" i="5" s="1"/>
  <c r="C566" i="5"/>
  <c r="D566" i="5" s="1"/>
  <c r="C567" i="5"/>
  <c r="D567" i="5" s="1"/>
  <c r="C568" i="5"/>
  <c r="D568" i="5" s="1"/>
  <c r="C569" i="5"/>
  <c r="D569" i="5" s="1"/>
  <c r="C570" i="5"/>
  <c r="D570" i="5" s="1"/>
  <c r="C571" i="5"/>
  <c r="D571" i="5" s="1"/>
  <c r="C572" i="5"/>
  <c r="D572" i="5" s="1"/>
  <c r="C573" i="5"/>
  <c r="D573" i="5" s="1"/>
  <c r="C574" i="5"/>
  <c r="D574" i="5" s="1"/>
  <c r="C575" i="5"/>
  <c r="D575" i="5" s="1"/>
  <c r="C576" i="5"/>
  <c r="D576" i="5" s="1"/>
  <c r="C577" i="5"/>
  <c r="D577" i="5" s="1"/>
  <c r="C578" i="5"/>
  <c r="D578" i="5" s="1"/>
  <c r="C579" i="5"/>
  <c r="D579" i="5" s="1"/>
  <c r="C580" i="5"/>
  <c r="D580" i="5" s="1"/>
  <c r="C581" i="5"/>
  <c r="D581" i="5" s="1"/>
  <c r="C582" i="5"/>
  <c r="D582" i="5" s="1"/>
  <c r="C583" i="5"/>
  <c r="D583" i="5" s="1"/>
  <c r="C584" i="5"/>
  <c r="D584" i="5" s="1"/>
  <c r="C585" i="5"/>
  <c r="D585" i="5" s="1"/>
  <c r="C586" i="5"/>
  <c r="D586" i="5" s="1"/>
  <c r="C587" i="5"/>
  <c r="D587" i="5" s="1"/>
  <c r="C588" i="5"/>
  <c r="D588" i="5" s="1"/>
  <c r="C589" i="5"/>
  <c r="D589" i="5" s="1"/>
  <c r="C590" i="5"/>
  <c r="D590" i="5" s="1"/>
  <c r="C591" i="5"/>
  <c r="D591" i="5" s="1"/>
  <c r="C592" i="5"/>
  <c r="D592" i="5" s="1"/>
  <c r="C593" i="5"/>
  <c r="D593" i="5" s="1"/>
  <c r="C594" i="5"/>
  <c r="D594" i="5" s="1"/>
  <c r="C595" i="5"/>
  <c r="D595" i="5" s="1"/>
  <c r="C596" i="5"/>
  <c r="D596" i="5" s="1"/>
  <c r="C597" i="5"/>
  <c r="D597" i="5" s="1"/>
  <c r="C598" i="5"/>
  <c r="D598" i="5" s="1"/>
  <c r="C599" i="5"/>
  <c r="D599" i="5" s="1"/>
  <c r="C600" i="5"/>
  <c r="D600" i="5" s="1"/>
  <c r="C601" i="5"/>
  <c r="D601" i="5" s="1"/>
  <c r="C602" i="5"/>
  <c r="D602" i="5" s="1"/>
  <c r="C603" i="5"/>
  <c r="D603" i="5" s="1"/>
  <c r="C604" i="5"/>
  <c r="D604" i="5" s="1"/>
  <c r="C605" i="5"/>
  <c r="D605" i="5" s="1"/>
  <c r="C606" i="5"/>
  <c r="D606" i="5" s="1"/>
  <c r="C607" i="5"/>
  <c r="D607" i="5" s="1"/>
  <c r="C608" i="5"/>
  <c r="D608" i="5" s="1"/>
  <c r="C609" i="5"/>
  <c r="D609" i="5" s="1"/>
  <c r="C610" i="5"/>
  <c r="D610" i="5" s="1"/>
  <c r="C611" i="5"/>
  <c r="D611" i="5" s="1"/>
  <c r="C612" i="5"/>
  <c r="D612" i="5" s="1"/>
  <c r="C613" i="5"/>
  <c r="D613" i="5" s="1"/>
  <c r="C614" i="5"/>
  <c r="D614" i="5" s="1"/>
  <c r="C615" i="5"/>
  <c r="D615" i="5" s="1"/>
  <c r="C616" i="5"/>
  <c r="D616" i="5" s="1"/>
  <c r="C617" i="5"/>
  <c r="D617" i="5" s="1"/>
  <c r="C618" i="5"/>
  <c r="D618" i="5" s="1"/>
  <c r="C619" i="5"/>
  <c r="D619" i="5" s="1"/>
  <c r="C620" i="5"/>
  <c r="D620" i="5" s="1"/>
  <c r="C621" i="5"/>
  <c r="D621" i="5" s="1"/>
  <c r="C622" i="5"/>
  <c r="D622" i="5" s="1"/>
  <c r="C623" i="5"/>
  <c r="D623" i="5" s="1"/>
  <c r="C624" i="5"/>
  <c r="D624" i="5" s="1"/>
  <c r="C625" i="5"/>
  <c r="D625" i="5" s="1"/>
  <c r="C626" i="5"/>
  <c r="D626" i="5" s="1"/>
  <c r="C627" i="5"/>
  <c r="D627" i="5" s="1"/>
  <c r="C628" i="5"/>
  <c r="D628" i="5" s="1"/>
  <c r="C629" i="5"/>
  <c r="D629" i="5" s="1"/>
  <c r="C630" i="5"/>
  <c r="D630" i="5" s="1"/>
  <c r="C631" i="5"/>
  <c r="D631" i="5" s="1"/>
  <c r="C632" i="5"/>
  <c r="D632" i="5" s="1"/>
  <c r="C633" i="5"/>
  <c r="D633" i="5" s="1"/>
  <c r="C634" i="5"/>
  <c r="D634" i="5" s="1"/>
  <c r="C635" i="5"/>
  <c r="D635" i="5" s="1"/>
  <c r="C636" i="5"/>
  <c r="D636" i="5" s="1"/>
  <c r="C637" i="5"/>
  <c r="D637" i="5" s="1"/>
  <c r="C638" i="5"/>
  <c r="D638" i="5" s="1"/>
  <c r="C639" i="5"/>
  <c r="D639" i="5" s="1"/>
  <c r="C640" i="5"/>
  <c r="D640" i="5" s="1"/>
  <c r="C641" i="5"/>
  <c r="D641" i="5" s="1"/>
  <c r="C642" i="5"/>
  <c r="D642" i="5" s="1"/>
  <c r="C643" i="5"/>
  <c r="D643" i="5" s="1"/>
  <c r="C644" i="5"/>
  <c r="D644" i="5" s="1"/>
  <c r="C645" i="5"/>
  <c r="D645" i="5" s="1"/>
  <c r="C646" i="5"/>
  <c r="D646" i="5" s="1"/>
  <c r="C647" i="5"/>
  <c r="D647" i="5" s="1"/>
  <c r="C648" i="5"/>
  <c r="D648" i="5" s="1"/>
  <c r="C649" i="5"/>
  <c r="D649" i="5" s="1"/>
  <c r="C650" i="5"/>
  <c r="D650" i="5" s="1"/>
  <c r="C651" i="5"/>
  <c r="D651" i="5" s="1"/>
  <c r="C652" i="5"/>
  <c r="D652" i="5" s="1"/>
  <c r="C653" i="5"/>
  <c r="D653" i="5" s="1"/>
  <c r="C654" i="5"/>
  <c r="D654" i="5" s="1"/>
  <c r="C655" i="5"/>
  <c r="D655" i="5" s="1"/>
  <c r="C656" i="5"/>
  <c r="D656" i="5" s="1"/>
  <c r="C657" i="5"/>
  <c r="D657" i="5" s="1"/>
  <c r="C658" i="5"/>
  <c r="D658" i="5" s="1"/>
  <c r="C659" i="5"/>
  <c r="D659" i="5" s="1"/>
  <c r="C660" i="5"/>
  <c r="D660" i="5" s="1"/>
  <c r="C661" i="5"/>
  <c r="D661" i="5" s="1"/>
  <c r="C662" i="5"/>
  <c r="D662" i="5" s="1"/>
  <c r="C663" i="5"/>
  <c r="D663" i="5" s="1"/>
  <c r="C664" i="5"/>
  <c r="D664" i="5" s="1"/>
  <c r="C665" i="5"/>
  <c r="D665" i="5" s="1"/>
  <c r="C666" i="5"/>
  <c r="D666" i="5" s="1"/>
  <c r="C667" i="5"/>
  <c r="D667" i="5" s="1"/>
  <c r="C668" i="5"/>
  <c r="D668" i="5" s="1"/>
  <c r="C669" i="5"/>
  <c r="D669" i="5" s="1"/>
  <c r="C670" i="5"/>
  <c r="D670" i="5" s="1"/>
  <c r="C671" i="5"/>
  <c r="D671" i="5" s="1"/>
  <c r="C672" i="5"/>
  <c r="D672" i="5" s="1"/>
  <c r="C673" i="5"/>
  <c r="D673" i="5" s="1"/>
  <c r="C674" i="5"/>
  <c r="D674" i="5" s="1"/>
  <c r="C675" i="5"/>
  <c r="D675" i="5" s="1"/>
  <c r="C676" i="5"/>
  <c r="D676" i="5" s="1"/>
  <c r="C677" i="5"/>
  <c r="D677" i="5" s="1"/>
  <c r="C678" i="5"/>
  <c r="D678" i="5" s="1"/>
  <c r="C679" i="5"/>
  <c r="D679" i="5" s="1"/>
  <c r="C680" i="5"/>
  <c r="D680" i="5" s="1"/>
  <c r="C681" i="5"/>
  <c r="D681" i="5" s="1"/>
  <c r="C682" i="5"/>
  <c r="D682" i="5" s="1"/>
  <c r="C683" i="5"/>
  <c r="D683" i="5" s="1"/>
  <c r="C684" i="5"/>
  <c r="D684" i="5" s="1"/>
  <c r="C685" i="5"/>
  <c r="D685" i="5" s="1"/>
  <c r="C686" i="5"/>
  <c r="D686" i="5" s="1"/>
  <c r="C687" i="5"/>
  <c r="D687" i="5" s="1"/>
  <c r="C688" i="5"/>
  <c r="D688" i="5" s="1"/>
  <c r="C689" i="5"/>
  <c r="D689" i="5" s="1"/>
  <c r="C690" i="5"/>
  <c r="D690" i="5" s="1"/>
  <c r="C691" i="5"/>
  <c r="D691" i="5" s="1"/>
  <c r="C692" i="5"/>
  <c r="D692" i="5" s="1"/>
  <c r="C693" i="5"/>
  <c r="D693" i="5" s="1"/>
  <c r="C694" i="5"/>
  <c r="D694" i="5" s="1"/>
  <c r="C695" i="5"/>
  <c r="D695" i="5" s="1"/>
  <c r="C696" i="5"/>
  <c r="D696" i="5" s="1"/>
  <c r="C697" i="5"/>
  <c r="D697" i="5" s="1"/>
  <c r="C698" i="5"/>
  <c r="D698" i="5" s="1"/>
  <c r="C699" i="5"/>
  <c r="D699" i="5" s="1"/>
  <c r="C7" i="5" l="1"/>
  <c r="X40" i="134"/>
  <c r="W40" i="134"/>
  <c r="V40" i="134"/>
  <c r="U40" i="134"/>
  <c r="T40" i="134"/>
  <c r="S40" i="134"/>
  <c r="R40" i="134"/>
  <c r="P40" i="134"/>
  <c r="O40" i="134"/>
  <c r="N40" i="134"/>
  <c r="M40" i="134"/>
  <c r="L40" i="134"/>
  <c r="K40" i="134"/>
  <c r="J40" i="134"/>
  <c r="H40" i="134"/>
  <c r="G40" i="134"/>
  <c r="F40" i="134"/>
  <c r="E40" i="134"/>
  <c r="D40" i="134"/>
  <c r="C40" i="134"/>
  <c r="B40" i="134"/>
  <c r="X39" i="134"/>
  <c r="W39" i="134"/>
  <c r="V39" i="134"/>
  <c r="U39" i="134"/>
  <c r="T39" i="134"/>
  <c r="S39" i="134"/>
  <c r="R39" i="134"/>
  <c r="P39" i="134"/>
  <c r="O39" i="134"/>
  <c r="N39" i="134"/>
  <c r="M39" i="134"/>
  <c r="L39" i="134"/>
  <c r="K39" i="134"/>
  <c r="J39" i="134"/>
  <c r="H39" i="134"/>
  <c r="G39" i="134"/>
  <c r="F39" i="134"/>
  <c r="E39" i="134"/>
  <c r="D39" i="134"/>
  <c r="C39" i="134"/>
  <c r="B39" i="134"/>
  <c r="X38" i="134"/>
  <c r="W38" i="134"/>
  <c r="V38" i="134"/>
  <c r="U38" i="134"/>
  <c r="T38" i="134"/>
  <c r="S38" i="134"/>
  <c r="R38" i="134"/>
  <c r="P38" i="134"/>
  <c r="O38" i="134"/>
  <c r="N38" i="134"/>
  <c r="M38" i="134"/>
  <c r="L38" i="134"/>
  <c r="K38" i="134"/>
  <c r="J38" i="134"/>
  <c r="H38" i="134"/>
  <c r="G38" i="134"/>
  <c r="F38" i="134"/>
  <c r="E38" i="134"/>
  <c r="D38" i="134"/>
  <c r="C38" i="134"/>
  <c r="B38" i="134"/>
  <c r="X37" i="134"/>
  <c r="W37" i="134"/>
  <c r="V37" i="134"/>
  <c r="U37" i="134"/>
  <c r="T37" i="134"/>
  <c r="S37" i="134"/>
  <c r="R37" i="134"/>
  <c r="P37" i="134"/>
  <c r="O37" i="134"/>
  <c r="N37" i="134"/>
  <c r="M37" i="134"/>
  <c r="L37" i="134"/>
  <c r="K37" i="134"/>
  <c r="J37" i="134"/>
  <c r="H37" i="134"/>
  <c r="G37" i="134"/>
  <c r="F37" i="134"/>
  <c r="E37" i="134"/>
  <c r="D37" i="134"/>
  <c r="C37" i="134"/>
  <c r="B37" i="134"/>
  <c r="X36" i="134"/>
  <c r="W36" i="134"/>
  <c r="V36" i="134"/>
  <c r="U36" i="134"/>
  <c r="T36" i="134"/>
  <c r="S36" i="134"/>
  <c r="R36" i="134"/>
  <c r="P36" i="134"/>
  <c r="O36" i="134"/>
  <c r="N36" i="134"/>
  <c r="M36" i="134"/>
  <c r="L36" i="134"/>
  <c r="K36" i="134"/>
  <c r="J36" i="134"/>
  <c r="H36" i="134"/>
  <c r="G36" i="134"/>
  <c r="F36" i="134"/>
  <c r="E36" i="134"/>
  <c r="D36" i="134"/>
  <c r="C36" i="134"/>
  <c r="B36" i="134"/>
  <c r="X35" i="134"/>
  <c r="W35" i="134"/>
  <c r="V35" i="134"/>
  <c r="U35" i="134"/>
  <c r="T35" i="134"/>
  <c r="S35" i="134"/>
  <c r="R35" i="134"/>
  <c r="P35" i="134"/>
  <c r="O35" i="134"/>
  <c r="N35" i="134"/>
  <c r="M35" i="134"/>
  <c r="L35" i="134"/>
  <c r="K35" i="134"/>
  <c r="J35" i="134"/>
  <c r="H35" i="134"/>
  <c r="G35" i="134"/>
  <c r="F35" i="134"/>
  <c r="E35" i="134"/>
  <c r="D35" i="134"/>
  <c r="C35" i="134"/>
  <c r="B35" i="134"/>
  <c r="X31" i="134"/>
  <c r="W31" i="134"/>
  <c r="V31" i="134"/>
  <c r="U31" i="134"/>
  <c r="T31" i="134"/>
  <c r="S31" i="134"/>
  <c r="R31" i="134"/>
  <c r="P31" i="134"/>
  <c r="O31" i="134"/>
  <c r="N31" i="134"/>
  <c r="M31" i="134"/>
  <c r="L31" i="134"/>
  <c r="K31" i="134"/>
  <c r="J31" i="134"/>
  <c r="H31" i="134"/>
  <c r="G31" i="134"/>
  <c r="F31" i="134"/>
  <c r="E31" i="134"/>
  <c r="D31" i="134"/>
  <c r="C31" i="134"/>
  <c r="B31" i="134"/>
  <c r="X30" i="134"/>
  <c r="W30" i="134"/>
  <c r="V30" i="134"/>
  <c r="U30" i="134"/>
  <c r="T30" i="134"/>
  <c r="S30" i="134"/>
  <c r="R30" i="134"/>
  <c r="P30" i="134"/>
  <c r="O30" i="134"/>
  <c r="N30" i="134"/>
  <c r="M30" i="134"/>
  <c r="L30" i="134"/>
  <c r="K30" i="134"/>
  <c r="J30" i="134"/>
  <c r="H30" i="134"/>
  <c r="G30" i="134"/>
  <c r="F30" i="134"/>
  <c r="E30" i="134"/>
  <c r="D30" i="134"/>
  <c r="C30" i="134"/>
  <c r="B30" i="134"/>
  <c r="X29" i="134"/>
  <c r="W29" i="134"/>
  <c r="V29" i="134"/>
  <c r="U29" i="134"/>
  <c r="T29" i="134"/>
  <c r="S29" i="134"/>
  <c r="R29" i="134"/>
  <c r="P29" i="134"/>
  <c r="O29" i="134"/>
  <c r="N29" i="134"/>
  <c r="M29" i="134"/>
  <c r="L29" i="134"/>
  <c r="K29" i="134"/>
  <c r="J29" i="134"/>
  <c r="H29" i="134"/>
  <c r="G29" i="134"/>
  <c r="F29" i="134"/>
  <c r="E29" i="134"/>
  <c r="D29" i="134"/>
  <c r="C29" i="134"/>
  <c r="B29" i="134"/>
  <c r="X28" i="134"/>
  <c r="W28" i="134"/>
  <c r="V28" i="134"/>
  <c r="U28" i="134"/>
  <c r="T28" i="134"/>
  <c r="S28" i="134"/>
  <c r="R28" i="134"/>
  <c r="P28" i="134"/>
  <c r="O28" i="134"/>
  <c r="N28" i="134"/>
  <c r="M28" i="134"/>
  <c r="L28" i="134"/>
  <c r="K28" i="134"/>
  <c r="J28" i="134"/>
  <c r="H28" i="134"/>
  <c r="G28" i="134"/>
  <c r="F28" i="134"/>
  <c r="E28" i="134"/>
  <c r="D28" i="134"/>
  <c r="C28" i="134"/>
  <c r="B28" i="134"/>
  <c r="X27" i="134"/>
  <c r="W27" i="134"/>
  <c r="V27" i="134"/>
  <c r="U27" i="134"/>
  <c r="T27" i="134"/>
  <c r="S27" i="134"/>
  <c r="R27" i="134"/>
  <c r="P27" i="134"/>
  <c r="O27" i="134"/>
  <c r="N27" i="134"/>
  <c r="M27" i="134"/>
  <c r="L27" i="134"/>
  <c r="K27" i="134"/>
  <c r="J27" i="134"/>
  <c r="H27" i="134"/>
  <c r="G27" i="134"/>
  <c r="F27" i="134"/>
  <c r="E27" i="134"/>
  <c r="D27" i="134"/>
  <c r="C27" i="134"/>
  <c r="B27" i="134"/>
  <c r="X26" i="134"/>
  <c r="W26" i="134"/>
  <c r="V26" i="134"/>
  <c r="U26" i="134"/>
  <c r="T26" i="134"/>
  <c r="S26" i="134"/>
  <c r="R26" i="134"/>
  <c r="P26" i="134"/>
  <c r="O26" i="134"/>
  <c r="N26" i="134"/>
  <c r="M26" i="134"/>
  <c r="L26" i="134"/>
  <c r="K26" i="134"/>
  <c r="J26" i="134"/>
  <c r="H26" i="134"/>
  <c r="G26" i="134"/>
  <c r="F26" i="134"/>
  <c r="E26" i="134"/>
  <c r="D26" i="134"/>
  <c r="C26" i="134"/>
  <c r="B26" i="134"/>
  <c r="X22" i="134"/>
  <c r="W22" i="134"/>
  <c r="V22" i="134"/>
  <c r="U22" i="134"/>
  <c r="T22" i="134"/>
  <c r="S22" i="134"/>
  <c r="R22" i="134"/>
  <c r="P22" i="134"/>
  <c r="O22" i="134"/>
  <c r="N22" i="134"/>
  <c r="M22" i="134"/>
  <c r="L22" i="134"/>
  <c r="K22" i="134"/>
  <c r="J22" i="134"/>
  <c r="H22" i="134"/>
  <c r="G22" i="134"/>
  <c r="F22" i="134"/>
  <c r="E22" i="134"/>
  <c r="D22" i="134"/>
  <c r="C22" i="134"/>
  <c r="B22" i="134"/>
  <c r="X21" i="134"/>
  <c r="W21" i="134"/>
  <c r="V21" i="134"/>
  <c r="U21" i="134"/>
  <c r="T21" i="134"/>
  <c r="S21" i="134"/>
  <c r="R21" i="134"/>
  <c r="P21" i="134"/>
  <c r="O21" i="134"/>
  <c r="N21" i="134"/>
  <c r="M21" i="134"/>
  <c r="L21" i="134"/>
  <c r="K21" i="134"/>
  <c r="J21" i="134"/>
  <c r="H21" i="134"/>
  <c r="G21" i="134"/>
  <c r="F21" i="134"/>
  <c r="E21" i="134"/>
  <c r="D21" i="134"/>
  <c r="C21" i="134"/>
  <c r="B21" i="134"/>
  <c r="X20" i="134"/>
  <c r="W20" i="134"/>
  <c r="V20" i="134"/>
  <c r="U20" i="134"/>
  <c r="T20" i="134"/>
  <c r="S20" i="134"/>
  <c r="R20" i="134"/>
  <c r="P20" i="134"/>
  <c r="O20" i="134"/>
  <c r="N20" i="134"/>
  <c r="M20" i="134"/>
  <c r="L20" i="134"/>
  <c r="K20" i="134"/>
  <c r="J20" i="134"/>
  <c r="H20" i="134"/>
  <c r="G20" i="134"/>
  <c r="F20" i="134"/>
  <c r="E20" i="134"/>
  <c r="D20" i="134"/>
  <c r="C20" i="134"/>
  <c r="B20" i="134"/>
  <c r="X19" i="134"/>
  <c r="W19" i="134"/>
  <c r="V19" i="134"/>
  <c r="U19" i="134"/>
  <c r="T19" i="134"/>
  <c r="S19" i="134"/>
  <c r="R19" i="134"/>
  <c r="P19" i="134"/>
  <c r="O19" i="134"/>
  <c r="N19" i="134"/>
  <c r="M19" i="134"/>
  <c r="L19" i="134"/>
  <c r="K19" i="134"/>
  <c r="J19" i="134"/>
  <c r="H19" i="134"/>
  <c r="G19" i="134"/>
  <c r="F19" i="134"/>
  <c r="E19" i="134"/>
  <c r="D19" i="134"/>
  <c r="C19" i="134"/>
  <c r="B19" i="134"/>
  <c r="X18" i="134"/>
  <c r="W18" i="134"/>
  <c r="V18" i="134"/>
  <c r="U18" i="134"/>
  <c r="T18" i="134"/>
  <c r="S18" i="134"/>
  <c r="R18" i="134"/>
  <c r="P18" i="134"/>
  <c r="O18" i="134"/>
  <c r="N18" i="134"/>
  <c r="M18" i="134"/>
  <c r="L18" i="134"/>
  <c r="K18" i="134"/>
  <c r="J18" i="134"/>
  <c r="H18" i="134"/>
  <c r="G18" i="134"/>
  <c r="F18" i="134"/>
  <c r="E18" i="134"/>
  <c r="D18" i="134"/>
  <c r="C18" i="134"/>
  <c r="B18" i="134"/>
  <c r="X17" i="134"/>
  <c r="W17" i="134"/>
  <c r="V17" i="134"/>
  <c r="U17" i="134"/>
  <c r="T17" i="134"/>
  <c r="S17" i="134"/>
  <c r="R17" i="134"/>
  <c r="P17" i="134"/>
  <c r="O17" i="134"/>
  <c r="N17" i="134"/>
  <c r="M17" i="134"/>
  <c r="L17" i="134"/>
  <c r="K17" i="134"/>
  <c r="J17" i="134"/>
  <c r="H17" i="134"/>
  <c r="G17" i="134"/>
  <c r="F17" i="134"/>
  <c r="E17" i="134"/>
  <c r="D17" i="134"/>
  <c r="C17" i="134"/>
  <c r="B17" i="134"/>
  <c r="X13" i="134"/>
  <c r="W13" i="134"/>
  <c r="V13" i="134"/>
  <c r="U13" i="134"/>
  <c r="T13" i="134"/>
  <c r="S13" i="134"/>
  <c r="R13" i="134"/>
  <c r="P13" i="134"/>
  <c r="O13" i="134"/>
  <c r="N13" i="134"/>
  <c r="M13" i="134"/>
  <c r="L13" i="134"/>
  <c r="K13" i="134"/>
  <c r="J13" i="134"/>
  <c r="H13" i="134"/>
  <c r="G13" i="134"/>
  <c r="F13" i="134"/>
  <c r="E13" i="134"/>
  <c r="D13" i="134"/>
  <c r="C13" i="134"/>
  <c r="B13" i="134"/>
  <c r="X12" i="134"/>
  <c r="W12" i="134"/>
  <c r="V12" i="134"/>
  <c r="U12" i="134"/>
  <c r="T12" i="134"/>
  <c r="S12" i="134"/>
  <c r="R12" i="134"/>
  <c r="P12" i="134"/>
  <c r="O12" i="134"/>
  <c r="N12" i="134"/>
  <c r="M12" i="134"/>
  <c r="L12" i="134"/>
  <c r="K12" i="134"/>
  <c r="J12" i="134"/>
  <c r="H12" i="134"/>
  <c r="G12" i="134"/>
  <c r="F12" i="134"/>
  <c r="E12" i="134"/>
  <c r="D12" i="134"/>
  <c r="C12" i="134"/>
  <c r="B12" i="134"/>
  <c r="X11" i="134"/>
  <c r="W11" i="134"/>
  <c r="V11" i="134"/>
  <c r="U11" i="134"/>
  <c r="T11" i="134"/>
  <c r="S11" i="134"/>
  <c r="R11" i="134"/>
  <c r="P11" i="134"/>
  <c r="O11" i="134"/>
  <c r="N11" i="134"/>
  <c r="M11" i="134"/>
  <c r="L11" i="134"/>
  <c r="K11" i="134"/>
  <c r="J11" i="134"/>
  <c r="H11" i="134"/>
  <c r="G11" i="134"/>
  <c r="F11" i="134"/>
  <c r="E11" i="134"/>
  <c r="D11" i="134"/>
  <c r="C11" i="134"/>
  <c r="B11" i="134"/>
  <c r="X10" i="134"/>
  <c r="W10" i="134"/>
  <c r="V10" i="134"/>
  <c r="U10" i="134"/>
  <c r="T10" i="134"/>
  <c r="S10" i="134"/>
  <c r="R10" i="134"/>
  <c r="P10" i="134"/>
  <c r="O10" i="134"/>
  <c r="N10" i="134"/>
  <c r="M10" i="134"/>
  <c r="L10" i="134"/>
  <c r="K10" i="134"/>
  <c r="J10" i="134"/>
  <c r="H10" i="134"/>
  <c r="G10" i="134"/>
  <c r="F10" i="134"/>
  <c r="E10" i="134"/>
  <c r="D10" i="134"/>
  <c r="C10" i="134"/>
  <c r="B10" i="134"/>
  <c r="X9" i="134"/>
  <c r="W9" i="134"/>
  <c r="V9" i="134"/>
  <c r="U9" i="134"/>
  <c r="T9" i="134"/>
  <c r="S9" i="134"/>
  <c r="R9" i="134"/>
  <c r="P9" i="134"/>
  <c r="O9" i="134"/>
  <c r="N9" i="134"/>
  <c r="M9" i="134"/>
  <c r="L9" i="134"/>
  <c r="K9" i="134"/>
  <c r="J9" i="134"/>
  <c r="H9" i="134"/>
  <c r="G9" i="134"/>
  <c r="F9" i="134"/>
  <c r="E9" i="134"/>
  <c r="D9" i="134"/>
  <c r="C9" i="134"/>
  <c r="B9" i="134"/>
  <c r="X8" i="134"/>
  <c r="W8" i="134"/>
  <c r="V8" i="134"/>
  <c r="U8" i="134"/>
  <c r="T8" i="134"/>
  <c r="S8" i="134"/>
  <c r="R8" i="134"/>
  <c r="P8" i="134"/>
  <c r="O8" i="134"/>
  <c r="N8" i="134"/>
  <c r="M8" i="134"/>
  <c r="L8" i="134"/>
  <c r="K8" i="134"/>
  <c r="J8" i="134"/>
  <c r="H8" i="134"/>
  <c r="G8" i="134"/>
  <c r="F8" i="134"/>
  <c r="E8" i="134"/>
  <c r="D8" i="134"/>
  <c r="C8" i="134"/>
  <c r="B8" i="134"/>
  <c r="X40" i="133"/>
  <c r="W40" i="133"/>
  <c r="V40" i="133"/>
  <c r="U40" i="133"/>
  <c r="T40" i="133"/>
  <c r="S40" i="133"/>
  <c r="R40" i="133"/>
  <c r="P40" i="133"/>
  <c r="O40" i="133"/>
  <c r="N40" i="133"/>
  <c r="M40" i="133"/>
  <c r="L40" i="133"/>
  <c r="K40" i="133"/>
  <c r="J40" i="133"/>
  <c r="H40" i="133"/>
  <c r="G40" i="133"/>
  <c r="F40" i="133"/>
  <c r="E40" i="133"/>
  <c r="D40" i="133"/>
  <c r="C40" i="133"/>
  <c r="B40" i="133"/>
  <c r="X39" i="133"/>
  <c r="W39" i="133"/>
  <c r="V39" i="133"/>
  <c r="U39" i="133"/>
  <c r="T39" i="133"/>
  <c r="S39" i="133"/>
  <c r="R39" i="133"/>
  <c r="P39" i="133"/>
  <c r="O39" i="133"/>
  <c r="N39" i="133"/>
  <c r="M39" i="133"/>
  <c r="L39" i="133"/>
  <c r="K39" i="133"/>
  <c r="J39" i="133"/>
  <c r="H39" i="133"/>
  <c r="G39" i="133"/>
  <c r="F39" i="133"/>
  <c r="E39" i="133"/>
  <c r="D39" i="133"/>
  <c r="C39" i="133"/>
  <c r="B39" i="133"/>
  <c r="X38" i="133"/>
  <c r="W38" i="133"/>
  <c r="V38" i="133"/>
  <c r="U38" i="133"/>
  <c r="T38" i="133"/>
  <c r="S38" i="133"/>
  <c r="R38" i="133"/>
  <c r="P38" i="133"/>
  <c r="O38" i="133"/>
  <c r="N38" i="133"/>
  <c r="M38" i="133"/>
  <c r="L38" i="133"/>
  <c r="K38" i="133"/>
  <c r="J38" i="133"/>
  <c r="H38" i="133"/>
  <c r="G38" i="133"/>
  <c r="F38" i="133"/>
  <c r="E38" i="133"/>
  <c r="D38" i="133"/>
  <c r="C38" i="133"/>
  <c r="B38" i="133"/>
  <c r="X37" i="133"/>
  <c r="W37" i="133"/>
  <c r="V37" i="133"/>
  <c r="U37" i="133"/>
  <c r="T37" i="133"/>
  <c r="S37" i="133"/>
  <c r="R37" i="133"/>
  <c r="P37" i="133"/>
  <c r="O37" i="133"/>
  <c r="N37" i="133"/>
  <c r="M37" i="133"/>
  <c r="L37" i="133"/>
  <c r="K37" i="133"/>
  <c r="J37" i="133"/>
  <c r="H37" i="133"/>
  <c r="G37" i="133"/>
  <c r="F37" i="133"/>
  <c r="E37" i="133"/>
  <c r="D37" i="133"/>
  <c r="C37" i="133"/>
  <c r="B37" i="133"/>
  <c r="X36" i="133"/>
  <c r="W36" i="133"/>
  <c r="V36" i="133"/>
  <c r="U36" i="133"/>
  <c r="T36" i="133"/>
  <c r="S36" i="133"/>
  <c r="R36" i="133"/>
  <c r="P36" i="133"/>
  <c r="O36" i="133"/>
  <c r="N36" i="133"/>
  <c r="M36" i="133"/>
  <c r="L36" i="133"/>
  <c r="K36" i="133"/>
  <c r="J36" i="133"/>
  <c r="H36" i="133"/>
  <c r="G36" i="133"/>
  <c r="F36" i="133"/>
  <c r="E36" i="133"/>
  <c r="D36" i="133"/>
  <c r="C36" i="133"/>
  <c r="B36" i="133"/>
  <c r="X35" i="133"/>
  <c r="W35" i="133"/>
  <c r="V35" i="133"/>
  <c r="U35" i="133"/>
  <c r="T35" i="133"/>
  <c r="S35" i="133"/>
  <c r="R35" i="133"/>
  <c r="P35" i="133"/>
  <c r="O35" i="133"/>
  <c r="N35" i="133"/>
  <c r="M35" i="133"/>
  <c r="L35" i="133"/>
  <c r="K35" i="133"/>
  <c r="J35" i="133"/>
  <c r="H35" i="133"/>
  <c r="G35" i="133"/>
  <c r="F35" i="133"/>
  <c r="E35" i="133"/>
  <c r="D35" i="133"/>
  <c r="C35" i="133"/>
  <c r="B35" i="133"/>
  <c r="X31" i="133"/>
  <c r="W31" i="133"/>
  <c r="V31" i="133"/>
  <c r="U31" i="133"/>
  <c r="T31" i="133"/>
  <c r="S31" i="133"/>
  <c r="R31" i="133"/>
  <c r="P31" i="133"/>
  <c r="O31" i="133"/>
  <c r="N31" i="133"/>
  <c r="M31" i="133"/>
  <c r="L31" i="133"/>
  <c r="K31" i="133"/>
  <c r="J31" i="133"/>
  <c r="H31" i="133"/>
  <c r="G31" i="133"/>
  <c r="F31" i="133"/>
  <c r="E31" i="133"/>
  <c r="D31" i="133"/>
  <c r="C31" i="133"/>
  <c r="B31" i="133"/>
  <c r="X30" i="133"/>
  <c r="W30" i="133"/>
  <c r="V30" i="133"/>
  <c r="U30" i="133"/>
  <c r="T30" i="133"/>
  <c r="S30" i="133"/>
  <c r="R30" i="133"/>
  <c r="P30" i="133"/>
  <c r="O30" i="133"/>
  <c r="N30" i="133"/>
  <c r="M30" i="133"/>
  <c r="L30" i="133"/>
  <c r="K30" i="133"/>
  <c r="J30" i="133"/>
  <c r="H30" i="133"/>
  <c r="G30" i="133"/>
  <c r="F30" i="133"/>
  <c r="E30" i="133"/>
  <c r="D30" i="133"/>
  <c r="C30" i="133"/>
  <c r="B30" i="133"/>
  <c r="X29" i="133"/>
  <c r="W29" i="133"/>
  <c r="V29" i="133"/>
  <c r="U29" i="133"/>
  <c r="T29" i="133"/>
  <c r="S29" i="133"/>
  <c r="R29" i="133"/>
  <c r="P29" i="133"/>
  <c r="O29" i="133"/>
  <c r="N29" i="133"/>
  <c r="M29" i="133"/>
  <c r="L29" i="133"/>
  <c r="K29" i="133"/>
  <c r="J29" i="133"/>
  <c r="H29" i="133"/>
  <c r="G29" i="133"/>
  <c r="F29" i="133"/>
  <c r="E29" i="133"/>
  <c r="D29" i="133"/>
  <c r="C29" i="133"/>
  <c r="B29" i="133"/>
  <c r="X28" i="133"/>
  <c r="W28" i="133"/>
  <c r="V28" i="133"/>
  <c r="U28" i="133"/>
  <c r="T28" i="133"/>
  <c r="S28" i="133"/>
  <c r="R28" i="133"/>
  <c r="P28" i="133"/>
  <c r="O28" i="133"/>
  <c r="N28" i="133"/>
  <c r="M28" i="133"/>
  <c r="L28" i="133"/>
  <c r="K28" i="133"/>
  <c r="J28" i="133"/>
  <c r="H28" i="133"/>
  <c r="G28" i="133"/>
  <c r="F28" i="133"/>
  <c r="E28" i="133"/>
  <c r="D28" i="133"/>
  <c r="C28" i="133"/>
  <c r="B28" i="133"/>
  <c r="X27" i="133"/>
  <c r="W27" i="133"/>
  <c r="V27" i="133"/>
  <c r="U27" i="133"/>
  <c r="T27" i="133"/>
  <c r="S27" i="133"/>
  <c r="R27" i="133"/>
  <c r="P27" i="133"/>
  <c r="O27" i="133"/>
  <c r="N27" i="133"/>
  <c r="M27" i="133"/>
  <c r="L27" i="133"/>
  <c r="K27" i="133"/>
  <c r="J27" i="133"/>
  <c r="H27" i="133"/>
  <c r="G27" i="133"/>
  <c r="F27" i="133"/>
  <c r="E27" i="133"/>
  <c r="D27" i="133"/>
  <c r="C27" i="133"/>
  <c r="B27" i="133"/>
  <c r="X26" i="133"/>
  <c r="W26" i="133"/>
  <c r="V26" i="133"/>
  <c r="U26" i="133"/>
  <c r="T26" i="133"/>
  <c r="S26" i="133"/>
  <c r="R26" i="133"/>
  <c r="P26" i="133"/>
  <c r="O26" i="133"/>
  <c r="N26" i="133"/>
  <c r="M26" i="133"/>
  <c r="L26" i="133"/>
  <c r="K26" i="133"/>
  <c r="J26" i="133"/>
  <c r="H26" i="133"/>
  <c r="G26" i="133"/>
  <c r="F26" i="133"/>
  <c r="E26" i="133"/>
  <c r="D26" i="133"/>
  <c r="C26" i="133"/>
  <c r="B26" i="133"/>
  <c r="X22" i="133"/>
  <c r="W22" i="133"/>
  <c r="V22" i="133"/>
  <c r="U22" i="133"/>
  <c r="T22" i="133"/>
  <c r="S22" i="133"/>
  <c r="R22" i="133"/>
  <c r="P22" i="133"/>
  <c r="O22" i="133"/>
  <c r="N22" i="133"/>
  <c r="M22" i="133"/>
  <c r="L22" i="133"/>
  <c r="K22" i="133"/>
  <c r="J22" i="133"/>
  <c r="H22" i="133"/>
  <c r="G22" i="133"/>
  <c r="F22" i="133"/>
  <c r="E22" i="133"/>
  <c r="D22" i="133"/>
  <c r="C22" i="133"/>
  <c r="B22" i="133"/>
  <c r="X21" i="133"/>
  <c r="W21" i="133"/>
  <c r="V21" i="133"/>
  <c r="U21" i="133"/>
  <c r="T21" i="133"/>
  <c r="S21" i="133"/>
  <c r="R21" i="133"/>
  <c r="P21" i="133"/>
  <c r="O21" i="133"/>
  <c r="N21" i="133"/>
  <c r="M21" i="133"/>
  <c r="L21" i="133"/>
  <c r="K21" i="133"/>
  <c r="J21" i="133"/>
  <c r="H21" i="133"/>
  <c r="G21" i="133"/>
  <c r="F21" i="133"/>
  <c r="E21" i="133"/>
  <c r="D21" i="133"/>
  <c r="C21" i="133"/>
  <c r="B21" i="133"/>
  <c r="X20" i="133"/>
  <c r="W20" i="133"/>
  <c r="V20" i="133"/>
  <c r="U20" i="133"/>
  <c r="T20" i="133"/>
  <c r="S20" i="133"/>
  <c r="R20" i="133"/>
  <c r="P20" i="133"/>
  <c r="O20" i="133"/>
  <c r="N20" i="133"/>
  <c r="M20" i="133"/>
  <c r="L20" i="133"/>
  <c r="K20" i="133"/>
  <c r="J20" i="133"/>
  <c r="H20" i="133"/>
  <c r="G20" i="133"/>
  <c r="F20" i="133"/>
  <c r="E20" i="133"/>
  <c r="D20" i="133"/>
  <c r="C20" i="133"/>
  <c r="B20" i="133"/>
  <c r="X19" i="133"/>
  <c r="W19" i="133"/>
  <c r="V19" i="133"/>
  <c r="U19" i="133"/>
  <c r="T19" i="133"/>
  <c r="S19" i="133"/>
  <c r="R19" i="133"/>
  <c r="P19" i="133"/>
  <c r="O19" i="133"/>
  <c r="N19" i="133"/>
  <c r="M19" i="133"/>
  <c r="L19" i="133"/>
  <c r="K19" i="133"/>
  <c r="J19" i="133"/>
  <c r="H19" i="133"/>
  <c r="G19" i="133"/>
  <c r="F19" i="133"/>
  <c r="E19" i="133"/>
  <c r="D19" i="133"/>
  <c r="C19" i="133"/>
  <c r="B19" i="133"/>
  <c r="X18" i="133"/>
  <c r="W18" i="133"/>
  <c r="V18" i="133"/>
  <c r="U18" i="133"/>
  <c r="T18" i="133"/>
  <c r="S18" i="133"/>
  <c r="R18" i="133"/>
  <c r="P18" i="133"/>
  <c r="O18" i="133"/>
  <c r="N18" i="133"/>
  <c r="M18" i="133"/>
  <c r="L18" i="133"/>
  <c r="K18" i="133"/>
  <c r="J18" i="133"/>
  <c r="H18" i="133"/>
  <c r="G18" i="133"/>
  <c r="F18" i="133"/>
  <c r="E18" i="133"/>
  <c r="D18" i="133"/>
  <c r="C18" i="133"/>
  <c r="B18" i="133"/>
  <c r="X17" i="133"/>
  <c r="W17" i="133"/>
  <c r="V17" i="133"/>
  <c r="U17" i="133"/>
  <c r="T17" i="133"/>
  <c r="S17" i="133"/>
  <c r="R17" i="133"/>
  <c r="P17" i="133"/>
  <c r="O17" i="133"/>
  <c r="N17" i="133"/>
  <c r="M17" i="133"/>
  <c r="L17" i="133"/>
  <c r="K17" i="133"/>
  <c r="J17" i="133"/>
  <c r="H17" i="133"/>
  <c r="G17" i="133"/>
  <c r="F17" i="133"/>
  <c r="E17" i="133"/>
  <c r="D17" i="133"/>
  <c r="C17" i="133"/>
  <c r="B17" i="133"/>
  <c r="X13" i="133"/>
  <c r="W13" i="133"/>
  <c r="V13" i="133"/>
  <c r="U13" i="133"/>
  <c r="T13" i="133"/>
  <c r="S13" i="133"/>
  <c r="R13" i="133"/>
  <c r="P13" i="133"/>
  <c r="O13" i="133"/>
  <c r="N13" i="133"/>
  <c r="M13" i="133"/>
  <c r="L13" i="133"/>
  <c r="K13" i="133"/>
  <c r="J13" i="133"/>
  <c r="H13" i="133"/>
  <c r="G13" i="133"/>
  <c r="F13" i="133"/>
  <c r="E13" i="133"/>
  <c r="D13" i="133"/>
  <c r="C13" i="133"/>
  <c r="B13" i="133"/>
  <c r="X12" i="133"/>
  <c r="W12" i="133"/>
  <c r="V12" i="133"/>
  <c r="U12" i="133"/>
  <c r="T12" i="133"/>
  <c r="S12" i="133"/>
  <c r="R12" i="133"/>
  <c r="P12" i="133"/>
  <c r="O12" i="133"/>
  <c r="N12" i="133"/>
  <c r="M12" i="133"/>
  <c r="L12" i="133"/>
  <c r="K12" i="133"/>
  <c r="J12" i="133"/>
  <c r="H12" i="133"/>
  <c r="G12" i="133"/>
  <c r="F12" i="133"/>
  <c r="E12" i="133"/>
  <c r="D12" i="133"/>
  <c r="C12" i="133"/>
  <c r="B12" i="133"/>
  <c r="X11" i="133"/>
  <c r="W11" i="133"/>
  <c r="V11" i="133"/>
  <c r="U11" i="133"/>
  <c r="T11" i="133"/>
  <c r="S11" i="133"/>
  <c r="R11" i="133"/>
  <c r="P11" i="133"/>
  <c r="O11" i="133"/>
  <c r="N11" i="133"/>
  <c r="M11" i="133"/>
  <c r="L11" i="133"/>
  <c r="K11" i="133"/>
  <c r="J11" i="133"/>
  <c r="H11" i="133"/>
  <c r="G11" i="133"/>
  <c r="F11" i="133"/>
  <c r="E11" i="133"/>
  <c r="D11" i="133"/>
  <c r="C11" i="133"/>
  <c r="B11" i="133"/>
  <c r="X10" i="133"/>
  <c r="W10" i="133"/>
  <c r="V10" i="133"/>
  <c r="U10" i="133"/>
  <c r="T10" i="133"/>
  <c r="S10" i="133"/>
  <c r="R10" i="133"/>
  <c r="P10" i="133"/>
  <c r="O10" i="133"/>
  <c r="N10" i="133"/>
  <c r="M10" i="133"/>
  <c r="L10" i="133"/>
  <c r="K10" i="133"/>
  <c r="J10" i="133"/>
  <c r="H10" i="133"/>
  <c r="G10" i="133"/>
  <c r="F10" i="133"/>
  <c r="E10" i="133"/>
  <c r="D10" i="133"/>
  <c r="C10" i="133"/>
  <c r="B10" i="133"/>
  <c r="X9" i="133"/>
  <c r="W9" i="133"/>
  <c r="V9" i="133"/>
  <c r="U9" i="133"/>
  <c r="T9" i="133"/>
  <c r="S9" i="133"/>
  <c r="R9" i="133"/>
  <c r="P9" i="133"/>
  <c r="O9" i="133"/>
  <c r="N9" i="133"/>
  <c r="M9" i="133"/>
  <c r="L9" i="133"/>
  <c r="K9" i="133"/>
  <c r="J9" i="133"/>
  <c r="H9" i="133"/>
  <c r="G9" i="133"/>
  <c r="F9" i="133"/>
  <c r="E9" i="133"/>
  <c r="D9" i="133"/>
  <c r="C9" i="133"/>
  <c r="B9" i="133"/>
  <c r="X8" i="133"/>
  <c r="W8" i="133"/>
  <c r="V8" i="133"/>
  <c r="U8" i="133"/>
  <c r="T8" i="133"/>
  <c r="S8" i="133"/>
  <c r="R8" i="133"/>
  <c r="P8" i="133"/>
  <c r="O8" i="133"/>
  <c r="N8" i="133"/>
  <c r="M8" i="133"/>
  <c r="L8" i="133"/>
  <c r="K8" i="133"/>
  <c r="J8" i="133"/>
  <c r="H8" i="133"/>
  <c r="G8" i="133"/>
  <c r="F8" i="133"/>
  <c r="E8" i="133"/>
  <c r="D8" i="133"/>
  <c r="C8" i="133"/>
  <c r="B8" i="133"/>
  <c r="X40" i="132"/>
  <c r="W40" i="132"/>
  <c r="V40" i="132"/>
  <c r="U40" i="132"/>
  <c r="T40" i="132"/>
  <c r="S40" i="132"/>
  <c r="R40" i="132"/>
  <c r="P40" i="132"/>
  <c r="O40" i="132"/>
  <c r="N40" i="132"/>
  <c r="M40" i="132"/>
  <c r="L40" i="132"/>
  <c r="K40" i="132"/>
  <c r="J40" i="132"/>
  <c r="H40" i="132"/>
  <c r="G40" i="132"/>
  <c r="F40" i="132"/>
  <c r="E40" i="132"/>
  <c r="D40" i="132"/>
  <c r="C40" i="132"/>
  <c r="B40" i="132"/>
  <c r="X39" i="132"/>
  <c r="W39" i="132"/>
  <c r="V39" i="132"/>
  <c r="U39" i="132"/>
  <c r="T39" i="132"/>
  <c r="S39" i="132"/>
  <c r="R39" i="132"/>
  <c r="P39" i="132"/>
  <c r="O39" i="132"/>
  <c r="N39" i="132"/>
  <c r="M39" i="132"/>
  <c r="L39" i="132"/>
  <c r="K39" i="132"/>
  <c r="J39" i="132"/>
  <c r="H39" i="132"/>
  <c r="G39" i="132"/>
  <c r="F39" i="132"/>
  <c r="E39" i="132"/>
  <c r="D39" i="132"/>
  <c r="C39" i="132"/>
  <c r="B39" i="132"/>
  <c r="X38" i="132"/>
  <c r="W38" i="132"/>
  <c r="V38" i="132"/>
  <c r="U38" i="132"/>
  <c r="T38" i="132"/>
  <c r="S38" i="132"/>
  <c r="R38" i="132"/>
  <c r="P38" i="132"/>
  <c r="O38" i="132"/>
  <c r="N38" i="132"/>
  <c r="M38" i="132"/>
  <c r="L38" i="132"/>
  <c r="K38" i="132"/>
  <c r="J38" i="132"/>
  <c r="H38" i="132"/>
  <c r="G38" i="132"/>
  <c r="F38" i="132"/>
  <c r="E38" i="132"/>
  <c r="D38" i="132"/>
  <c r="C38" i="132"/>
  <c r="B38" i="132"/>
  <c r="X37" i="132"/>
  <c r="W37" i="132"/>
  <c r="V37" i="132"/>
  <c r="U37" i="132"/>
  <c r="T37" i="132"/>
  <c r="S37" i="132"/>
  <c r="R37" i="132"/>
  <c r="P37" i="132"/>
  <c r="O37" i="132"/>
  <c r="N37" i="132"/>
  <c r="M37" i="132"/>
  <c r="L37" i="132"/>
  <c r="K37" i="132"/>
  <c r="J37" i="132"/>
  <c r="H37" i="132"/>
  <c r="G37" i="132"/>
  <c r="F37" i="132"/>
  <c r="E37" i="132"/>
  <c r="D37" i="132"/>
  <c r="C37" i="132"/>
  <c r="B37" i="132"/>
  <c r="X36" i="132"/>
  <c r="W36" i="132"/>
  <c r="V36" i="132"/>
  <c r="U36" i="132"/>
  <c r="T36" i="132"/>
  <c r="S36" i="132"/>
  <c r="R36" i="132"/>
  <c r="P36" i="132"/>
  <c r="O36" i="132"/>
  <c r="N36" i="132"/>
  <c r="M36" i="132"/>
  <c r="L36" i="132"/>
  <c r="K36" i="132"/>
  <c r="J36" i="132"/>
  <c r="H36" i="132"/>
  <c r="G36" i="132"/>
  <c r="F36" i="132"/>
  <c r="E36" i="132"/>
  <c r="D36" i="132"/>
  <c r="C36" i="132"/>
  <c r="B36" i="132"/>
  <c r="X35" i="132"/>
  <c r="W35" i="132"/>
  <c r="V35" i="132"/>
  <c r="U35" i="132"/>
  <c r="T35" i="132"/>
  <c r="S35" i="132"/>
  <c r="R35" i="132"/>
  <c r="P35" i="132"/>
  <c r="O35" i="132"/>
  <c r="N35" i="132"/>
  <c r="M35" i="132"/>
  <c r="L35" i="132"/>
  <c r="K35" i="132"/>
  <c r="J35" i="132"/>
  <c r="H35" i="132"/>
  <c r="G35" i="132"/>
  <c r="F35" i="132"/>
  <c r="E35" i="132"/>
  <c r="D35" i="132"/>
  <c r="C35" i="132"/>
  <c r="B35" i="132"/>
  <c r="X31" i="132"/>
  <c r="W31" i="132"/>
  <c r="V31" i="132"/>
  <c r="U31" i="132"/>
  <c r="T31" i="132"/>
  <c r="S31" i="132"/>
  <c r="R31" i="132"/>
  <c r="P31" i="132"/>
  <c r="O31" i="132"/>
  <c r="N31" i="132"/>
  <c r="M31" i="132"/>
  <c r="L31" i="132"/>
  <c r="K31" i="132"/>
  <c r="J31" i="132"/>
  <c r="H31" i="132"/>
  <c r="G31" i="132"/>
  <c r="F31" i="132"/>
  <c r="E31" i="132"/>
  <c r="D31" i="132"/>
  <c r="C31" i="132"/>
  <c r="B31" i="132"/>
  <c r="X30" i="132"/>
  <c r="W30" i="132"/>
  <c r="V30" i="132"/>
  <c r="U30" i="132"/>
  <c r="T30" i="132"/>
  <c r="S30" i="132"/>
  <c r="R30" i="132"/>
  <c r="P30" i="132"/>
  <c r="O30" i="132"/>
  <c r="N30" i="132"/>
  <c r="M30" i="132"/>
  <c r="L30" i="132"/>
  <c r="K30" i="132"/>
  <c r="J30" i="132"/>
  <c r="H30" i="132"/>
  <c r="G30" i="132"/>
  <c r="F30" i="132"/>
  <c r="E30" i="132"/>
  <c r="D30" i="132"/>
  <c r="C30" i="132"/>
  <c r="B30" i="132"/>
  <c r="X29" i="132"/>
  <c r="W29" i="132"/>
  <c r="V29" i="132"/>
  <c r="U29" i="132"/>
  <c r="T29" i="132"/>
  <c r="S29" i="132"/>
  <c r="R29" i="132"/>
  <c r="P29" i="132"/>
  <c r="O29" i="132"/>
  <c r="N29" i="132"/>
  <c r="M29" i="132"/>
  <c r="L29" i="132"/>
  <c r="K29" i="132"/>
  <c r="J29" i="132"/>
  <c r="H29" i="132"/>
  <c r="G29" i="132"/>
  <c r="F29" i="132"/>
  <c r="E29" i="132"/>
  <c r="D29" i="132"/>
  <c r="C29" i="132"/>
  <c r="B29" i="132"/>
  <c r="X28" i="132"/>
  <c r="W28" i="132"/>
  <c r="V28" i="132"/>
  <c r="U28" i="132"/>
  <c r="T28" i="132"/>
  <c r="S28" i="132"/>
  <c r="R28" i="132"/>
  <c r="P28" i="132"/>
  <c r="O28" i="132"/>
  <c r="N28" i="132"/>
  <c r="M28" i="132"/>
  <c r="L28" i="132"/>
  <c r="K28" i="132"/>
  <c r="J28" i="132"/>
  <c r="H28" i="132"/>
  <c r="G28" i="132"/>
  <c r="F28" i="132"/>
  <c r="E28" i="132"/>
  <c r="D28" i="132"/>
  <c r="C28" i="132"/>
  <c r="B28" i="132"/>
  <c r="X27" i="132"/>
  <c r="W27" i="132"/>
  <c r="V27" i="132"/>
  <c r="U27" i="132"/>
  <c r="T27" i="132"/>
  <c r="S27" i="132"/>
  <c r="R27" i="132"/>
  <c r="P27" i="132"/>
  <c r="O27" i="132"/>
  <c r="N27" i="132"/>
  <c r="M27" i="132"/>
  <c r="L27" i="132"/>
  <c r="K27" i="132"/>
  <c r="J27" i="132"/>
  <c r="H27" i="132"/>
  <c r="G27" i="132"/>
  <c r="F27" i="132"/>
  <c r="E27" i="132"/>
  <c r="D27" i="132"/>
  <c r="C27" i="132"/>
  <c r="B27" i="132"/>
  <c r="X26" i="132"/>
  <c r="W26" i="132"/>
  <c r="V26" i="132"/>
  <c r="U26" i="132"/>
  <c r="T26" i="132"/>
  <c r="S26" i="132"/>
  <c r="R26" i="132"/>
  <c r="P26" i="132"/>
  <c r="O26" i="132"/>
  <c r="N26" i="132"/>
  <c r="M26" i="132"/>
  <c r="L26" i="132"/>
  <c r="K26" i="132"/>
  <c r="J26" i="132"/>
  <c r="H26" i="132"/>
  <c r="G26" i="132"/>
  <c r="F26" i="132"/>
  <c r="E26" i="132"/>
  <c r="D26" i="132"/>
  <c r="C26" i="132"/>
  <c r="B26" i="132"/>
  <c r="X22" i="132"/>
  <c r="W22" i="132"/>
  <c r="V22" i="132"/>
  <c r="U22" i="132"/>
  <c r="T22" i="132"/>
  <c r="S22" i="132"/>
  <c r="R22" i="132"/>
  <c r="P22" i="132"/>
  <c r="O22" i="132"/>
  <c r="N22" i="132"/>
  <c r="M22" i="132"/>
  <c r="L22" i="132"/>
  <c r="K22" i="132"/>
  <c r="J22" i="132"/>
  <c r="H22" i="132"/>
  <c r="G22" i="132"/>
  <c r="F22" i="132"/>
  <c r="E22" i="132"/>
  <c r="D22" i="132"/>
  <c r="C22" i="132"/>
  <c r="B22" i="132"/>
  <c r="X21" i="132"/>
  <c r="W21" i="132"/>
  <c r="V21" i="132"/>
  <c r="U21" i="132"/>
  <c r="T21" i="132"/>
  <c r="S21" i="132"/>
  <c r="R21" i="132"/>
  <c r="P21" i="132"/>
  <c r="O21" i="132"/>
  <c r="N21" i="132"/>
  <c r="M21" i="132"/>
  <c r="L21" i="132"/>
  <c r="K21" i="132"/>
  <c r="J21" i="132"/>
  <c r="H21" i="132"/>
  <c r="G21" i="132"/>
  <c r="F21" i="132"/>
  <c r="E21" i="132"/>
  <c r="D21" i="132"/>
  <c r="C21" i="132"/>
  <c r="B21" i="132"/>
  <c r="X20" i="132"/>
  <c r="W20" i="132"/>
  <c r="V20" i="132"/>
  <c r="U20" i="132"/>
  <c r="T20" i="132"/>
  <c r="S20" i="132"/>
  <c r="R20" i="132"/>
  <c r="P20" i="132"/>
  <c r="O20" i="132"/>
  <c r="N20" i="132"/>
  <c r="M20" i="132"/>
  <c r="L20" i="132"/>
  <c r="K20" i="132"/>
  <c r="J20" i="132"/>
  <c r="H20" i="132"/>
  <c r="G20" i="132"/>
  <c r="F20" i="132"/>
  <c r="E20" i="132"/>
  <c r="D20" i="132"/>
  <c r="C20" i="132"/>
  <c r="B20" i="132"/>
  <c r="X19" i="132"/>
  <c r="W19" i="132"/>
  <c r="V19" i="132"/>
  <c r="U19" i="132"/>
  <c r="T19" i="132"/>
  <c r="S19" i="132"/>
  <c r="R19" i="132"/>
  <c r="P19" i="132"/>
  <c r="O19" i="132"/>
  <c r="N19" i="132"/>
  <c r="M19" i="132"/>
  <c r="L19" i="132"/>
  <c r="K19" i="132"/>
  <c r="J19" i="132"/>
  <c r="H19" i="132"/>
  <c r="G19" i="132"/>
  <c r="F19" i="132"/>
  <c r="E19" i="132"/>
  <c r="D19" i="132"/>
  <c r="C19" i="132"/>
  <c r="B19" i="132"/>
  <c r="X18" i="132"/>
  <c r="W18" i="132"/>
  <c r="V18" i="132"/>
  <c r="U18" i="132"/>
  <c r="T18" i="132"/>
  <c r="S18" i="132"/>
  <c r="R18" i="132"/>
  <c r="P18" i="132"/>
  <c r="O18" i="132"/>
  <c r="N18" i="132"/>
  <c r="M18" i="132"/>
  <c r="L18" i="132"/>
  <c r="K18" i="132"/>
  <c r="J18" i="132"/>
  <c r="H18" i="132"/>
  <c r="G18" i="132"/>
  <c r="F18" i="132"/>
  <c r="E18" i="132"/>
  <c r="D18" i="132"/>
  <c r="C18" i="132"/>
  <c r="B18" i="132"/>
  <c r="X17" i="132"/>
  <c r="W17" i="132"/>
  <c r="V17" i="132"/>
  <c r="U17" i="132"/>
  <c r="T17" i="132"/>
  <c r="S17" i="132"/>
  <c r="R17" i="132"/>
  <c r="P17" i="132"/>
  <c r="O17" i="132"/>
  <c r="N17" i="132"/>
  <c r="M17" i="132"/>
  <c r="L17" i="132"/>
  <c r="K17" i="132"/>
  <c r="J17" i="132"/>
  <c r="H17" i="132"/>
  <c r="G17" i="132"/>
  <c r="F17" i="132"/>
  <c r="E17" i="132"/>
  <c r="D17" i="132"/>
  <c r="C17" i="132"/>
  <c r="B17" i="132"/>
  <c r="X13" i="132"/>
  <c r="W13" i="132"/>
  <c r="V13" i="132"/>
  <c r="U13" i="132"/>
  <c r="T13" i="132"/>
  <c r="S13" i="132"/>
  <c r="R13" i="132"/>
  <c r="P13" i="132"/>
  <c r="O13" i="132"/>
  <c r="N13" i="132"/>
  <c r="M13" i="132"/>
  <c r="L13" i="132"/>
  <c r="K13" i="132"/>
  <c r="J13" i="132"/>
  <c r="H13" i="132"/>
  <c r="G13" i="132"/>
  <c r="F13" i="132"/>
  <c r="E13" i="132"/>
  <c r="D13" i="132"/>
  <c r="C13" i="132"/>
  <c r="B13" i="132"/>
  <c r="X12" i="132"/>
  <c r="W12" i="132"/>
  <c r="V12" i="132"/>
  <c r="U12" i="132"/>
  <c r="T12" i="132"/>
  <c r="S12" i="132"/>
  <c r="R12" i="132"/>
  <c r="P12" i="132"/>
  <c r="O12" i="132"/>
  <c r="N12" i="132"/>
  <c r="M12" i="132"/>
  <c r="L12" i="132"/>
  <c r="K12" i="132"/>
  <c r="J12" i="132"/>
  <c r="H12" i="132"/>
  <c r="G12" i="132"/>
  <c r="F12" i="132"/>
  <c r="E12" i="132"/>
  <c r="D12" i="132"/>
  <c r="C12" i="132"/>
  <c r="B12" i="132"/>
  <c r="X11" i="132"/>
  <c r="W11" i="132"/>
  <c r="V11" i="132"/>
  <c r="U11" i="132"/>
  <c r="T11" i="132"/>
  <c r="S11" i="132"/>
  <c r="R11" i="132"/>
  <c r="P11" i="132"/>
  <c r="O11" i="132"/>
  <c r="N11" i="132"/>
  <c r="M11" i="132"/>
  <c r="L11" i="132"/>
  <c r="K11" i="132"/>
  <c r="J11" i="132"/>
  <c r="H11" i="132"/>
  <c r="G11" i="132"/>
  <c r="F11" i="132"/>
  <c r="E11" i="132"/>
  <c r="D11" i="132"/>
  <c r="C11" i="132"/>
  <c r="B11" i="132"/>
  <c r="X10" i="132"/>
  <c r="W10" i="132"/>
  <c r="V10" i="132"/>
  <c r="U10" i="132"/>
  <c r="T10" i="132"/>
  <c r="S10" i="132"/>
  <c r="R10" i="132"/>
  <c r="P10" i="132"/>
  <c r="O10" i="132"/>
  <c r="N10" i="132"/>
  <c r="M10" i="132"/>
  <c r="L10" i="132"/>
  <c r="K10" i="132"/>
  <c r="J10" i="132"/>
  <c r="H10" i="132"/>
  <c r="G10" i="132"/>
  <c r="F10" i="132"/>
  <c r="E10" i="132"/>
  <c r="D10" i="132"/>
  <c r="C10" i="132"/>
  <c r="B10" i="132"/>
  <c r="X9" i="132"/>
  <c r="W9" i="132"/>
  <c r="V9" i="132"/>
  <c r="U9" i="132"/>
  <c r="T9" i="132"/>
  <c r="S9" i="132"/>
  <c r="R9" i="132"/>
  <c r="P9" i="132"/>
  <c r="O9" i="132"/>
  <c r="N9" i="132"/>
  <c r="M9" i="132"/>
  <c r="L9" i="132"/>
  <c r="K9" i="132"/>
  <c r="J9" i="132"/>
  <c r="H9" i="132"/>
  <c r="G9" i="132"/>
  <c r="F9" i="132"/>
  <c r="E9" i="132"/>
  <c r="D9" i="132"/>
  <c r="C9" i="132"/>
  <c r="B9" i="132"/>
  <c r="X8" i="132"/>
  <c r="W8" i="132"/>
  <c r="V8" i="132"/>
  <c r="U8" i="132"/>
  <c r="T8" i="132"/>
  <c r="S8" i="132"/>
  <c r="R8" i="132"/>
  <c r="P8" i="132"/>
  <c r="O8" i="132"/>
  <c r="N8" i="132"/>
  <c r="M8" i="132"/>
  <c r="L8" i="132"/>
  <c r="K8" i="132"/>
  <c r="J8" i="132"/>
  <c r="H8" i="132"/>
  <c r="G8" i="132"/>
  <c r="F8" i="132"/>
  <c r="E8" i="132"/>
  <c r="D8" i="132"/>
  <c r="C8" i="132"/>
  <c r="B8" i="132"/>
  <c r="X40" i="131"/>
  <c r="W40" i="131"/>
  <c r="V40" i="131"/>
  <c r="U40" i="131"/>
  <c r="T40" i="131"/>
  <c r="S40" i="131"/>
  <c r="R40" i="131"/>
  <c r="P40" i="131"/>
  <c r="O40" i="131"/>
  <c r="N40" i="131"/>
  <c r="M40" i="131"/>
  <c r="L40" i="131"/>
  <c r="K40" i="131"/>
  <c r="J40" i="131"/>
  <c r="H40" i="131"/>
  <c r="G40" i="131"/>
  <c r="F40" i="131"/>
  <c r="E40" i="131"/>
  <c r="D40" i="131"/>
  <c r="C40" i="131"/>
  <c r="B40" i="131"/>
  <c r="X39" i="131"/>
  <c r="W39" i="131"/>
  <c r="V39" i="131"/>
  <c r="U39" i="131"/>
  <c r="T39" i="131"/>
  <c r="S39" i="131"/>
  <c r="R39" i="131"/>
  <c r="P39" i="131"/>
  <c r="O39" i="131"/>
  <c r="N39" i="131"/>
  <c r="M39" i="131"/>
  <c r="L39" i="131"/>
  <c r="K39" i="131"/>
  <c r="J39" i="131"/>
  <c r="H39" i="131"/>
  <c r="G39" i="131"/>
  <c r="F39" i="131"/>
  <c r="E39" i="131"/>
  <c r="D39" i="131"/>
  <c r="C39" i="131"/>
  <c r="B39" i="131"/>
  <c r="X38" i="131"/>
  <c r="W38" i="131"/>
  <c r="V38" i="131"/>
  <c r="U38" i="131"/>
  <c r="T38" i="131"/>
  <c r="S38" i="131"/>
  <c r="R38" i="131"/>
  <c r="P38" i="131"/>
  <c r="O38" i="131"/>
  <c r="N38" i="131"/>
  <c r="M38" i="131"/>
  <c r="L38" i="131"/>
  <c r="K38" i="131"/>
  <c r="J38" i="131"/>
  <c r="H38" i="131"/>
  <c r="G38" i="131"/>
  <c r="F38" i="131"/>
  <c r="E38" i="131"/>
  <c r="D38" i="131"/>
  <c r="C38" i="131"/>
  <c r="B38" i="131"/>
  <c r="X37" i="131"/>
  <c r="W37" i="131"/>
  <c r="V37" i="131"/>
  <c r="U37" i="131"/>
  <c r="T37" i="131"/>
  <c r="S37" i="131"/>
  <c r="R37" i="131"/>
  <c r="P37" i="131"/>
  <c r="O37" i="131"/>
  <c r="N37" i="131"/>
  <c r="M37" i="131"/>
  <c r="L37" i="131"/>
  <c r="K37" i="131"/>
  <c r="J37" i="131"/>
  <c r="H37" i="131"/>
  <c r="G37" i="131"/>
  <c r="F37" i="131"/>
  <c r="E37" i="131"/>
  <c r="D37" i="131"/>
  <c r="C37" i="131"/>
  <c r="B37" i="131"/>
  <c r="X36" i="131"/>
  <c r="W36" i="131"/>
  <c r="V36" i="131"/>
  <c r="U36" i="131"/>
  <c r="T36" i="131"/>
  <c r="S36" i="131"/>
  <c r="R36" i="131"/>
  <c r="P36" i="131"/>
  <c r="O36" i="131"/>
  <c r="N36" i="131"/>
  <c r="M36" i="131"/>
  <c r="L36" i="131"/>
  <c r="K36" i="131"/>
  <c r="J36" i="131"/>
  <c r="H36" i="131"/>
  <c r="G36" i="131"/>
  <c r="F36" i="131"/>
  <c r="E36" i="131"/>
  <c r="D36" i="131"/>
  <c r="C36" i="131"/>
  <c r="B36" i="131"/>
  <c r="X35" i="131"/>
  <c r="W35" i="131"/>
  <c r="V35" i="131"/>
  <c r="U35" i="131"/>
  <c r="T35" i="131"/>
  <c r="S35" i="131"/>
  <c r="R35" i="131"/>
  <c r="P35" i="131"/>
  <c r="O35" i="131"/>
  <c r="N35" i="131"/>
  <c r="M35" i="131"/>
  <c r="L35" i="131"/>
  <c r="K35" i="131"/>
  <c r="J35" i="131"/>
  <c r="H35" i="131"/>
  <c r="G35" i="131"/>
  <c r="F35" i="131"/>
  <c r="E35" i="131"/>
  <c r="D35" i="131"/>
  <c r="C35" i="131"/>
  <c r="B35" i="131"/>
  <c r="X31" i="131"/>
  <c r="W31" i="131"/>
  <c r="V31" i="131"/>
  <c r="U31" i="131"/>
  <c r="T31" i="131"/>
  <c r="S31" i="131"/>
  <c r="R31" i="131"/>
  <c r="P31" i="131"/>
  <c r="O31" i="131"/>
  <c r="N31" i="131"/>
  <c r="M31" i="131"/>
  <c r="L31" i="131"/>
  <c r="K31" i="131"/>
  <c r="J31" i="131"/>
  <c r="H31" i="131"/>
  <c r="G31" i="131"/>
  <c r="F31" i="131"/>
  <c r="E31" i="131"/>
  <c r="D31" i="131"/>
  <c r="C31" i="131"/>
  <c r="B31" i="131"/>
  <c r="X30" i="131"/>
  <c r="W30" i="131"/>
  <c r="V30" i="131"/>
  <c r="U30" i="131"/>
  <c r="T30" i="131"/>
  <c r="S30" i="131"/>
  <c r="R30" i="131"/>
  <c r="P30" i="131"/>
  <c r="O30" i="131"/>
  <c r="N30" i="131"/>
  <c r="M30" i="131"/>
  <c r="L30" i="131"/>
  <c r="K30" i="131"/>
  <c r="J30" i="131"/>
  <c r="H30" i="131"/>
  <c r="G30" i="131"/>
  <c r="F30" i="131"/>
  <c r="E30" i="131"/>
  <c r="D30" i="131"/>
  <c r="C30" i="131"/>
  <c r="B30" i="131"/>
  <c r="X29" i="131"/>
  <c r="W29" i="131"/>
  <c r="V29" i="131"/>
  <c r="U29" i="131"/>
  <c r="T29" i="131"/>
  <c r="S29" i="131"/>
  <c r="R29" i="131"/>
  <c r="P29" i="131"/>
  <c r="O29" i="131"/>
  <c r="N29" i="131"/>
  <c r="M29" i="131"/>
  <c r="L29" i="131"/>
  <c r="K29" i="131"/>
  <c r="J29" i="131"/>
  <c r="H29" i="131"/>
  <c r="G29" i="131"/>
  <c r="F29" i="131"/>
  <c r="E29" i="131"/>
  <c r="D29" i="131"/>
  <c r="C29" i="131"/>
  <c r="B29" i="131"/>
  <c r="X28" i="131"/>
  <c r="W28" i="131"/>
  <c r="V28" i="131"/>
  <c r="U28" i="131"/>
  <c r="T28" i="131"/>
  <c r="S28" i="131"/>
  <c r="R28" i="131"/>
  <c r="P28" i="131"/>
  <c r="O28" i="131"/>
  <c r="N28" i="131"/>
  <c r="M28" i="131"/>
  <c r="L28" i="131"/>
  <c r="K28" i="131"/>
  <c r="J28" i="131"/>
  <c r="H28" i="131"/>
  <c r="G28" i="131"/>
  <c r="F28" i="131"/>
  <c r="E28" i="131"/>
  <c r="D28" i="131"/>
  <c r="C28" i="131"/>
  <c r="B28" i="131"/>
  <c r="X27" i="131"/>
  <c r="W27" i="131"/>
  <c r="V27" i="131"/>
  <c r="U27" i="131"/>
  <c r="T27" i="131"/>
  <c r="S27" i="131"/>
  <c r="R27" i="131"/>
  <c r="P27" i="131"/>
  <c r="O27" i="131"/>
  <c r="N27" i="131"/>
  <c r="M27" i="131"/>
  <c r="L27" i="131"/>
  <c r="K27" i="131"/>
  <c r="J27" i="131"/>
  <c r="H27" i="131"/>
  <c r="G27" i="131"/>
  <c r="F27" i="131"/>
  <c r="E27" i="131"/>
  <c r="D27" i="131"/>
  <c r="C27" i="131"/>
  <c r="B27" i="131"/>
  <c r="X26" i="131"/>
  <c r="W26" i="131"/>
  <c r="V26" i="131"/>
  <c r="U26" i="131"/>
  <c r="T26" i="131"/>
  <c r="S26" i="131"/>
  <c r="R26" i="131"/>
  <c r="P26" i="131"/>
  <c r="O26" i="131"/>
  <c r="N26" i="131"/>
  <c r="M26" i="131"/>
  <c r="L26" i="131"/>
  <c r="K26" i="131"/>
  <c r="J26" i="131"/>
  <c r="H26" i="131"/>
  <c r="G26" i="131"/>
  <c r="F26" i="131"/>
  <c r="E26" i="131"/>
  <c r="D26" i="131"/>
  <c r="C26" i="131"/>
  <c r="B26" i="131"/>
  <c r="X22" i="131"/>
  <c r="W22" i="131"/>
  <c r="V22" i="131"/>
  <c r="U22" i="131"/>
  <c r="T22" i="131"/>
  <c r="S22" i="131"/>
  <c r="R22" i="131"/>
  <c r="P22" i="131"/>
  <c r="O22" i="131"/>
  <c r="N22" i="131"/>
  <c r="M22" i="131"/>
  <c r="L22" i="131"/>
  <c r="K22" i="131"/>
  <c r="J22" i="131"/>
  <c r="H22" i="131"/>
  <c r="G22" i="131"/>
  <c r="F22" i="131"/>
  <c r="E22" i="131"/>
  <c r="D22" i="131"/>
  <c r="C22" i="131"/>
  <c r="B22" i="131"/>
  <c r="X21" i="131"/>
  <c r="W21" i="131"/>
  <c r="V21" i="131"/>
  <c r="U21" i="131"/>
  <c r="T21" i="131"/>
  <c r="S21" i="131"/>
  <c r="R21" i="131"/>
  <c r="P21" i="131"/>
  <c r="O21" i="131"/>
  <c r="N21" i="131"/>
  <c r="M21" i="131"/>
  <c r="L21" i="131"/>
  <c r="K21" i="131"/>
  <c r="J21" i="131"/>
  <c r="H21" i="131"/>
  <c r="G21" i="131"/>
  <c r="F21" i="131"/>
  <c r="E21" i="131"/>
  <c r="D21" i="131"/>
  <c r="C21" i="131"/>
  <c r="B21" i="131"/>
  <c r="X20" i="131"/>
  <c r="W20" i="131"/>
  <c r="V20" i="131"/>
  <c r="U20" i="131"/>
  <c r="T20" i="131"/>
  <c r="S20" i="131"/>
  <c r="R20" i="131"/>
  <c r="P20" i="131"/>
  <c r="O20" i="131"/>
  <c r="N20" i="131"/>
  <c r="M20" i="131"/>
  <c r="L20" i="131"/>
  <c r="K20" i="131"/>
  <c r="J20" i="131"/>
  <c r="H20" i="131"/>
  <c r="G20" i="131"/>
  <c r="F20" i="131"/>
  <c r="E20" i="131"/>
  <c r="D20" i="131"/>
  <c r="C20" i="131"/>
  <c r="B20" i="131"/>
  <c r="X19" i="131"/>
  <c r="W19" i="131"/>
  <c r="V19" i="131"/>
  <c r="U19" i="131"/>
  <c r="T19" i="131"/>
  <c r="S19" i="131"/>
  <c r="R19" i="131"/>
  <c r="P19" i="131"/>
  <c r="O19" i="131"/>
  <c r="N19" i="131"/>
  <c r="M19" i="131"/>
  <c r="L19" i="131"/>
  <c r="K19" i="131"/>
  <c r="J19" i="131"/>
  <c r="H19" i="131"/>
  <c r="G19" i="131"/>
  <c r="F19" i="131"/>
  <c r="E19" i="131"/>
  <c r="D19" i="131"/>
  <c r="C19" i="131"/>
  <c r="B19" i="131"/>
  <c r="X18" i="131"/>
  <c r="W18" i="131"/>
  <c r="V18" i="131"/>
  <c r="U18" i="131"/>
  <c r="T18" i="131"/>
  <c r="S18" i="131"/>
  <c r="R18" i="131"/>
  <c r="P18" i="131"/>
  <c r="O18" i="131"/>
  <c r="N18" i="131"/>
  <c r="M18" i="131"/>
  <c r="L18" i="131"/>
  <c r="K18" i="131"/>
  <c r="J18" i="131"/>
  <c r="H18" i="131"/>
  <c r="G18" i="131"/>
  <c r="F18" i="131"/>
  <c r="E18" i="131"/>
  <c r="D18" i="131"/>
  <c r="C18" i="131"/>
  <c r="B18" i="131"/>
  <c r="X17" i="131"/>
  <c r="W17" i="131"/>
  <c r="V17" i="131"/>
  <c r="U17" i="131"/>
  <c r="T17" i="131"/>
  <c r="S17" i="131"/>
  <c r="R17" i="131"/>
  <c r="P17" i="131"/>
  <c r="O17" i="131"/>
  <c r="N17" i="131"/>
  <c r="M17" i="131"/>
  <c r="L17" i="131"/>
  <c r="K17" i="131"/>
  <c r="J17" i="131"/>
  <c r="H17" i="131"/>
  <c r="G17" i="131"/>
  <c r="F17" i="131"/>
  <c r="E17" i="131"/>
  <c r="D17" i="131"/>
  <c r="C17" i="131"/>
  <c r="B17" i="131"/>
  <c r="X13" i="131"/>
  <c r="W13" i="131"/>
  <c r="V13" i="131"/>
  <c r="U13" i="131"/>
  <c r="T13" i="131"/>
  <c r="S13" i="131"/>
  <c r="R13" i="131"/>
  <c r="P13" i="131"/>
  <c r="O13" i="131"/>
  <c r="N13" i="131"/>
  <c r="M13" i="131"/>
  <c r="L13" i="131"/>
  <c r="K13" i="131"/>
  <c r="J13" i="131"/>
  <c r="H13" i="131"/>
  <c r="G13" i="131"/>
  <c r="F13" i="131"/>
  <c r="E13" i="131"/>
  <c r="D13" i="131"/>
  <c r="C13" i="131"/>
  <c r="B13" i="131"/>
  <c r="X12" i="131"/>
  <c r="W12" i="131"/>
  <c r="V12" i="131"/>
  <c r="U12" i="131"/>
  <c r="T12" i="131"/>
  <c r="S12" i="131"/>
  <c r="R12" i="131"/>
  <c r="P12" i="131"/>
  <c r="O12" i="131"/>
  <c r="N12" i="131"/>
  <c r="M12" i="131"/>
  <c r="L12" i="131"/>
  <c r="K12" i="131"/>
  <c r="J12" i="131"/>
  <c r="H12" i="131"/>
  <c r="G12" i="131"/>
  <c r="F12" i="131"/>
  <c r="E12" i="131"/>
  <c r="D12" i="131"/>
  <c r="C12" i="131"/>
  <c r="B12" i="131"/>
  <c r="X11" i="131"/>
  <c r="W11" i="131"/>
  <c r="V11" i="131"/>
  <c r="U11" i="131"/>
  <c r="T11" i="131"/>
  <c r="S11" i="131"/>
  <c r="R11" i="131"/>
  <c r="P11" i="131"/>
  <c r="O11" i="131"/>
  <c r="N11" i="131"/>
  <c r="M11" i="131"/>
  <c r="L11" i="131"/>
  <c r="K11" i="131"/>
  <c r="J11" i="131"/>
  <c r="H11" i="131"/>
  <c r="G11" i="131"/>
  <c r="F11" i="131"/>
  <c r="E11" i="131"/>
  <c r="D11" i="131"/>
  <c r="C11" i="131"/>
  <c r="B11" i="131"/>
  <c r="X10" i="131"/>
  <c r="W10" i="131"/>
  <c r="V10" i="131"/>
  <c r="U10" i="131"/>
  <c r="T10" i="131"/>
  <c r="S10" i="131"/>
  <c r="R10" i="131"/>
  <c r="P10" i="131"/>
  <c r="O10" i="131"/>
  <c r="N10" i="131"/>
  <c r="M10" i="131"/>
  <c r="L10" i="131"/>
  <c r="K10" i="131"/>
  <c r="J10" i="131"/>
  <c r="H10" i="131"/>
  <c r="G10" i="131"/>
  <c r="F10" i="131"/>
  <c r="E10" i="131"/>
  <c r="D10" i="131"/>
  <c r="C10" i="131"/>
  <c r="B10" i="131"/>
  <c r="X9" i="131"/>
  <c r="W9" i="131"/>
  <c r="V9" i="131"/>
  <c r="U9" i="131"/>
  <c r="T9" i="131"/>
  <c r="S9" i="131"/>
  <c r="R9" i="131"/>
  <c r="P9" i="131"/>
  <c r="O9" i="131"/>
  <c r="N9" i="131"/>
  <c r="M9" i="131"/>
  <c r="L9" i="131"/>
  <c r="K9" i="131"/>
  <c r="J9" i="131"/>
  <c r="H9" i="131"/>
  <c r="G9" i="131"/>
  <c r="F9" i="131"/>
  <c r="E9" i="131"/>
  <c r="D9" i="131"/>
  <c r="C9" i="131"/>
  <c r="B9" i="131"/>
  <c r="X8" i="131"/>
  <c r="W8" i="131"/>
  <c r="V8" i="131"/>
  <c r="U8" i="131"/>
  <c r="T8" i="131"/>
  <c r="S8" i="131"/>
  <c r="R8" i="131"/>
  <c r="P8" i="131"/>
  <c r="O8" i="131"/>
  <c r="N8" i="131"/>
  <c r="M8" i="131"/>
  <c r="L8" i="131"/>
  <c r="K8" i="131"/>
  <c r="J8" i="131"/>
  <c r="H8" i="131"/>
  <c r="G8" i="131"/>
  <c r="F8" i="131"/>
  <c r="E8" i="131"/>
  <c r="D8" i="131"/>
  <c r="C8" i="131"/>
  <c r="B8" i="131"/>
  <c r="X40" i="130"/>
  <c r="W40" i="130"/>
  <c r="V40" i="130"/>
  <c r="U40" i="130"/>
  <c r="T40" i="130"/>
  <c r="S40" i="130"/>
  <c r="R40" i="130"/>
  <c r="P40" i="130"/>
  <c r="O40" i="130"/>
  <c r="N40" i="130"/>
  <c r="M40" i="130"/>
  <c r="L40" i="130"/>
  <c r="K40" i="130"/>
  <c r="J40" i="130"/>
  <c r="H40" i="130"/>
  <c r="G40" i="130"/>
  <c r="F40" i="130"/>
  <c r="E40" i="130"/>
  <c r="D40" i="130"/>
  <c r="C40" i="130"/>
  <c r="B40" i="130"/>
  <c r="X39" i="130"/>
  <c r="W39" i="130"/>
  <c r="V39" i="130"/>
  <c r="U39" i="130"/>
  <c r="T39" i="130"/>
  <c r="S39" i="130"/>
  <c r="R39" i="130"/>
  <c r="P39" i="130"/>
  <c r="O39" i="130"/>
  <c r="N39" i="130"/>
  <c r="M39" i="130"/>
  <c r="L39" i="130"/>
  <c r="K39" i="130"/>
  <c r="J39" i="130"/>
  <c r="H39" i="130"/>
  <c r="G39" i="130"/>
  <c r="F39" i="130"/>
  <c r="E39" i="130"/>
  <c r="D39" i="130"/>
  <c r="C39" i="130"/>
  <c r="B39" i="130"/>
  <c r="X38" i="130"/>
  <c r="W38" i="130"/>
  <c r="V38" i="130"/>
  <c r="U38" i="130"/>
  <c r="T38" i="130"/>
  <c r="S38" i="130"/>
  <c r="R38" i="130"/>
  <c r="P38" i="130"/>
  <c r="O38" i="130"/>
  <c r="N38" i="130"/>
  <c r="M38" i="130"/>
  <c r="L38" i="130"/>
  <c r="K38" i="130"/>
  <c r="J38" i="130"/>
  <c r="H38" i="130"/>
  <c r="G38" i="130"/>
  <c r="F38" i="130"/>
  <c r="E38" i="130"/>
  <c r="D38" i="130"/>
  <c r="C38" i="130"/>
  <c r="B38" i="130"/>
  <c r="X37" i="130"/>
  <c r="W37" i="130"/>
  <c r="V37" i="130"/>
  <c r="U37" i="130"/>
  <c r="T37" i="130"/>
  <c r="S37" i="130"/>
  <c r="R37" i="130"/>
  <c r="P37" i="130"/>
  <c r="O37" i="130"/>
  <c r="N37" i="130"/>
  <c r="M37" i="130"/>
  <c r="L37" i="130"/>
  <c r="K37" i="130"/>
  <c r="J37" i="130"/>
  <c r="H37" i="130"/>
  <c r="G37" i="130"/>
  <c r="F37" i="130"/>
  <c r="E37" i="130"/>
  <c r="D37" i="130"/>
  <c r="C37" i="130"/>
  <c r="B37" i="130"/>
  <c r="X36" i="130"/>
  <c r="W36" i="130"/>
  <c r="V36" i="130"/>
  <c r="U36" i="130"/>
  <c r="T36" i="130"/>
  <c r="S36" i="130"/>
  <c r="R36" i="130"/>
  <c r="P36" i="130"/>
  <c r="O36" i="130"/>
  <c r="N36" i="130"/>
  <c r="M36" i="130"/>
  <c r="L36" i="130"/>
  <c r="K36" i="130"/>
  <c r="J36" i="130"/>
  <c r="H36" i="130"/>
  <c r="G36" i="130"/>
  <c r="F36" i="130"/>
  <c r="E36" i="130"/>
  <c r="D36" i="130"/>
  <c r="C36" i="130"/>
  <c r="B36" i="130"/>
  <c r="X35" i="130"/>
  <c r="W35" i="130"/>
  <c r="V35" i="130"/>
  <c r="U35" i="130"/>
  <c r="T35" i="130"/>
  <c r="S35" i="130"/>
  <c r="R35" i="130"/>
  <c r="P35" i="130"/>
  <c r="O35" i="130"/>
  <c r="N35" i="130"/>
  <c r="M35" i="130"/>
  <c r="L35" i="130"/>
  <c r="K35" i="130"/>
  <c r="J35" i="130"/>
  <c r="H35" i="130"/>
  <c r="G35" i="130"/>
  <c r="F35" i="130"/>
  <c r="E35" i="130"/>
  <c r="D35" i="130"/>
  <c r="C35" i="130"/>
  <c r="B35" i="130"/>
  <c r="X31" i="130"/>
  <c r="W31" i="130"/>
  <c r="V31" i="130"/>
  <c r="U31" i="130"/>
  <c r="T31" i="130"/>
  <c r="S31" i="130"/>
  <c r="R31" i="130"/>
  <c r="P31" i="130"/>
  <c r="O31" i="130"/>
  <c r="N31" i="130"/>
  <c r="M31" i="130"/>
  <c r="L31" i="130"/>
  <c r="K31" i="130"/>
  <c r="J31" i="130"/>
  <c r="H31" i="130"/>
  <c r="G31" i="130"/>
  <c r="F31" i="130"/>
  <c r="E31" i="130"/>
  <c r="D31" i="130"/>
  <c r="C31" i="130"/>
  <c r="B31" i="130"/>
  <c r="X30" i="130"/>
  <c r="W30" i="130"/>
  <c r="V30" i="130"/>
  <c r="U30" i="130"/>
  <c r="T30" i="130"/>
  <c r="S30" i="130"/>
  <c r="R30" i="130"/>
  <c r="P30" i="130"/>
  <c r="O30" i="130"/>
  <c r="N30" i="130"/>
  <c r="M30" i="130"/>
  <c r="L30" i="130"/>
  <c r="K30" i="130"/>
  <c r="J30" i="130"/>
  <c r="H30" i="130"/>
  <c r="G30" i="130"/>
  <c r="F30" i="130"/>
  <c r="E30" i="130"/>
  <c r="D30" i="130"/>
  <c r="C30" i="130"/>
  <c r="B30" i="130"/>
  <c r="X29" i="130"/>
  <c r="W29" i="130"/>
  <c r="V29" i="130"/>
  <c r="U29" i="130"/>
  <c r="T29" i="130"/>
  <c r="S29" i="130"/>
  <c r="R29" i="130"/>
  <c r="P29" i="130"/>
  <c r="O29" i="130"/>
  <c r="N29" i="130"/>
  <c r="M29" i="130"/>
  <c r="L29" i="130"/>
  <c r="K29" i="130"/>
  <c r="J29" i="130"/>
  <c r="H29" i="130"/>
  <c r="G29" i="130"/>
  <c r="F29" i="130"/>
  <c r="E29" i="130"/>
  <c r="D29" i="130"/>
  <c r="C29" i="130"/>
  <c r="B29" i="130"/>
  <c r="X28" i="130"/>
  <c r="W28" i="130"/>
  <c r="V28" i="130"/>
  <c r="U28" i="130"/>
  <c r="T28" i="130"/>
  <c r="S28" i="130"/>
  <c r="R28" i="130"/>
  <c r="P28" i="130"/>
  <c r="O28" i="130"/>
  <c r="N28" i="130"/>
  <c r="M28" i="130"/>
  <c r="L28" i="130"/>
  <c r="K28" i="130"/>
  <c r="J28" i="130"/>
  <c r="H28" i="130"/>
  <c r="G28" i="130"/>
  <c r="F28" i="130"/>
  <c r="E28" i="130"/>
  <c r="D28" i="130"/>
  <c r="C28" i="130"/>
  <c r="B28" i="130"/>
  <c r="X27" i="130"/>
  <c r="W27" i="130"/>
  <c r="V27" i="130"/>
  <c r="U27" i="130"/>
  <c r="T27" i="130"/>
  <c r="S27" i="130"/>
  <c r="R27" i="130"/>
  <c r="P27" i="130"/>
  <c r="O27" i="130"/>
  <c r="N27" i="130"/>
  <c r="M27" i="130"/>
  <c r="L27" i="130"/>
  <c r="K27" i="130"/>
  <c r="J27" i="130"/>
  <c r="H27" i="130"/>
  <c r="G27" i="130"/>
  <c r="F27" i="130"/>
  <c r="E27" i="130"/>
  <c r="D27" i="130"/>
  <c r="C27" i="130"/>
  <c r="B27" i="130"/>
  <c r="X26" i="130"/>
  <c r="W26" i="130"/>
  <c r="V26" i="130"/>
  <c r="U26" i="130"/>
  <c r="T26" i="130"/>
  <c r="S26" i="130"/>
  <c r="R26" i="130"/>
  <c r="P26" i="130"/>
  <c r="O26" i="130"/>
  <c r="N26" i="130"/>
  <c r="M26" i="130"/>
  <c r="L26" i="130"/>
  <c r="K26" i="130"/>
  <c r="J26" i="130"/>
  <c r="H26" i="130"/>
  <c r="G26" i="130"/>
  <c r="F26" i="130"/>
  <c r="E26" i="130"/>
  <c r="D26" i="130"/>
  <c r="C26" i="130"/>
  <c r="B26" i="130"/>
  <c r="X22" i="130"/>
  <c r="W22" i="130"/>
  <c r="V22" i="130"/>
  <c r="U22" i="130"/>
  <c r="T22" i="130"/>
  <c r="S22" i="130"/>
  <c r="R22" i="130"/>
  <c r="P22" i="130"/>
  <c r="O22" i="130"/>
  <c r="N22" i="130"/>
  <c r="M22" i="130"/>
  <c r="L22" i="130"/>
  <c r="K22" i="130"/>
  <c r="J22" i="130"/>
  <c r="H22" i="130"/>
  <c r="G22" i="130"/>
  <c r="F22" i="130"/>
  <c r="E22" i="130"/>
  <c r="D22" i="130"/>
  <c r="C22" i="130"/>
  <c r="B22" i="130"/>
  <c r="X21" i="130"/>
  <c r="W21" i="130"/>
  <c r="V21" i="130"/>
  <c r="U21" i="130"/>
  <c r="T21" i="130"/>
  <c r="S21" i="130"/>
  <c r="R21" i="130"/>
  <c r="P21" i="130"/>
  <c r="O21" i="130"/>
  <c r="N21" i="130"/>
  <c r="M21" i="130"/>
  <c r="L21" i="130"/>
  <c r="K21" i="130"/>
  <c r="J21" i="130"/>
  <c r="H21" i="130"/>
  <c r="G21" i="130"/>
  <c r="F21" i="130"/>
  <c r="E21" i="130"/>
  <c r="D21" i="130"/>
  <c r="C21" i="130"/>
  <c r="B21" i="130"/>
  <c r="X20" i="130"/>
  <c r="W20" i="130"/>
  <c r="V20" i="130"/>
  <c r="U20" i="130"/>
  <c r="T20" i="130"/>
  <c r="S20" i="130"/>
  <c r="R20" i="130"/>
  <c r="P20" i="130"/>
  <c r="O20" i="130"/>
  <c r="N20" i="130"/>
  <c r="M20" i="130"/>
  <c r="L20" i="130"/>
  <c r="K20" i="130"/>
  <c r="J20" i="130"/>
  <c r="H20" i="130"/>
  <c r="G20" i="130"/>
  <c r="F20" i="130"/>
  <c r="E20" i="130"/>
  <c r="D20" i="130"/>
  <c r="C20" i="130"/>
  <c r="B20" i="130"/>
  <c r="X19" i="130"/>
  <c r="W19" i="130"/>
  <c r="V19" i="130"/>
  <c r="U19" i="130"/>
  <c r="T19" i="130"/>
  <c r="S19" i="130"/>
  <c r="R19" i="130"/>
  <c r="P19" i="130"/>
  <c r="O19" i="130"/>
  <c r="N19" i="130"/>
  <c r="M19" i="130"/>
  <c r="L19" i="130"/>
  <c r="K19" i="130"/>
  <c r="J19" i="130"/>
  <c r="H19" i="130"/>
  <c r="G19" i="130"/>
  <c r="F19" i="130"/>
  <c r="E19" i="130"/>
  <c r="D19" i="130"/>
  <c r="C19" i="130"/>
  <c r="B19" i="130"/>
  <c r="X18" i="130"/>
  <c r="W18" i="130"/>
  <c r="V18" i="130"/>
  <c r="U18" i="130"/>
  <c r="T18" i="130"/>
  <c r="S18" i="130"/>
  <c r="R18" i="130"/>
  <c r="P18" i="130"/>
  <c r="O18" i="130"/>
  <c r="N18" i="130"/>
  <c r="M18" i="130"/>
  <c r="L18" i="130"/>
  <c r="K18" i="130"/>
  <c r="J18" i="130"/>
  <c r="H18" i="130"/>
  <c r="G18" i="130"/>
  <c r="F18" i="130"/>
  <c r="E18" i="130"/>
  <c r="D18" i="130"/>
  <c r="C18" i="130"/>
  <c r="B18" i="130"/>
  <c r="X17" i="130"/>
  <c r="W17" i="130"/>
  <c r="V17" i="130"/>
  <c r="U17" i="130"/>
  <c r="T17" i="130"/>
  <c r="S17" i="130"/>
  <c r="R17" i="130"/>
  <c r="P17" i="130"/>
  <c r="O17" i="130"/>
  <c r="N17" i="130"/>
  <c r="M17" i="130"/>
  <c r="L17" i="130"/>
  <c r="K17" i="130"/>
  <c r="J17" i="130"/>
  <c r="H17" i="130"/>
  <c r="G17" i="130"/>
  <c r="F17" i="130"/>
  <c r="E17" i="130"/>
  <c r="D17" i="130"/>
  <c r="C17" i="130"/>
  <c r="B17" i="130"/>
  <c r="X13" i="130"/>
  <c r="W13" i="130"/>
  <c r="V13" i="130"/>
  <c r="U13" i="130"/>
  <c r="T13" i="130"/>
  <c r="S13" i="130"/>
  <c r="R13" i="130"/>
  <c r="P13" i="130"/>
  <c r="O13" i="130"/>
  <c r="N13" i="130"/>
  <c r="M13" i="130"/>
  <c r="L13" i="130"/>
  <c r="K13" i="130"/>
  <c r="J13" i="130"/>
  <c r="H13" i="130"/>
  <c r="G13" i="130"/>
  <c r="F13" i="130"/>
  <c r="E13" i="130"/>
  <c r="D13" i="130"/>
  <c r="C13" i="130"/>
  <c r="B13" i="130"/>
  <c r="X12" i="130"/>
  <c r="W12" i="130"/>
  <c r="V12" i="130"/>
  <c r="U12" i="130"/>
  <c r="T12" i="130"/>
  <c r="S12" i="130"/>
  <c r="R12" i="130"/>
  <c r="P12" i="130"/>
  <c r="O12" i="130"/>
  <c r="N12" i="130"/>
  <c r="M12" i="130"/>
  <c r="L12" i="130"/>
  <c r="K12" i="130"/>
  <c r="J12" i="130"/>
  <c r="H12" i="130"/>
  <c r="G12" i="130"/>
  <c r="F12" i="130"/>
  <c r="E12" i="130"/>
  <c r="D12" i="130"/>
  <c r="C12" i="130"/>
  <c r="B12" i="130"/>
  <c r="X11" i="130"/>
  <c r="W11" i="130"/>
  <c r="V11" i="130"/>
  <c r="U11" i="130"/>
  <c r="T11" i="130"/>
  <c r="S11" i="130"/>
  <c r="R11" i="130"/>
  <c r="P11" i="130"/>
  <c r="O11" i="130"/>
  <c r="N11" i="130"/>
  <c r="M11" i="130"/>
  <c r="L11" i="130"/>
  <c r="K11" i="130"/>
  <c r="J11" i="130"/>
  <c r="H11" i="130"/>
  <c r="G11" i="130"/>
  <c r="F11" i="130"/>
  <c r="E11" i="130"/>
  <c r="D11" i="130"/>
  <c r="C11" i="130"/>
  <c r="B11" i="130"/>
  <c r="X10" i="130"/>
  <c r="W10" i="130"/>
  <c r="V10" i="130"/>
  <c r="U10" i="130"/>
  <c r="T10" i="130"/>
  <c r="S10" i="130"/>
  <c r="R10" i="130"/>
  <c r="P10" i="130"/>
  <c r="O10" i="130"/>
  <c r="N10" i="130"/>
  <c r="M10" i="130"/>
  <c r="L10" i="130"/>
  <c r="K10" i="130"/>
  <c r="J10" i="130"/>
  <c r="H10" i="130"/>
  <c r="G10" i="130"/>
  <c r="F10" i="130"/>
  <c r="E10" i="130"/>
  <c r="D10" i="130"/>
  <c r="C10" i="130"/>
  <c r="B10" i="130"/>
  <c r="X9" i="130"/>
  <c r="W9" i="130"/>
  <c r="V9" i="130"/>
  <c r="U9" i="130"/>
  <c r="T9" i="130"/>
  <c r="S9" i="130"/>
  <c r="R9" i="130"/>
  <c r="P9" i="130"/>
  <c r="O9" i="130"/>
  <c r="N9" i="130"/>
  <c r="M9" i="130"/>
  <c r="L9" i="130"/>
  <c r="K9" i="130"/>
  <c r="J9" i="130"/>
  <c r="H9" i="130"/>
  <c r="G9" i="130"/>
  <c r="F9" i="130"/>
  <c r="E9" i="130"/>
  <c r="D9" i="130"/>
  <c r="C9" i="130"/>
  <c r="B9" i="130"/>
  <c r="X8" i="130"/>
  <c r="W8" i="130"/>
  <c r="V8" i="130"/>
  <c r="U8" i="130"/>
  <c r="T8" i="130"/>
  <c r="S8" i="130"/>
  <c r="R8" i="130"/>
  <c r="P8" i="130"/>
  <c r="O8" i="130"/>
  <c r="N8" i="130"/>
  <c r="M8" i="130"/>
  <c r="L8" i="130"/>
  <c r="K8" i="130"/>
  <c r="J8" i="130"/>
  <c r="H8" i="130"/>
  <c r="G8" i="130"/>
  <c r="F8" i="130"/>
  <c r="E8" i="130"/>
  <c r="D8" i="130"/>
  <c r="C8" i="130"/>
  <c r="B8" i="130"/>
  <c r="X40" i="129"/>
  <c r="W40" i="129"/>
  <c r="V40" i="129"/>
  <c r="U40" i="129"/>
  <c r="T40" i="129"/>
  <c r="S40" i="129"/>
  <c r="R40" i="129"/>
  <c r="P40" i="129"/>
  <c r="O40" i="129"/>
  <c r="N40" i="129"/>
  <c r="M40" i="129"/>
  <c r="L40" i="129"/>
  <c r="K40" i="129"/>
  <c r="J40" i="129"/>
  <c r="H40" i="129"/>
  <c r="G40" i="129"/>
  <c r="F40" i="129"/>
  <c r="E40" i="129"/>
  <c r="D40" i="129"/>
  <c r="C40" i="129"/>
  <c r="B40" i="129"/>
  <c r="X39" i="129"/>
  <c r="W39" i="129"/>
  <c r="V39" i="129"/>
  <c r="U39" i="129"/>
  <c r="T39" i="129"/>
  <c r="S39" i="129"/>
  <c r="R39" i="129"/>
  <c r="P39" i="129"/>
  <c r="O39" i="129"/>
  <c r="N39" i="129"/>
  <c r="M39" i="129"/>
  <c r="L39" i="129"/>
  <c r="K39" i="129"/>
  <c r="J39" i="129"/>
  <c r="H39" i="129"/>
  <c r="G39" i="129"/>
  <c r="F39" i="129"/>
  <c r="E39" i="129"/>
  <c r="D39" i="129"/>
  <c r="C39" i="129"/>
  <c r="B39" i="129"/>
  <c r="X38" i="129"/>
  <c r="W38" i="129"/>
  <c r="V38" i="129"/>
  <c r="U38" i="129"/>
  <c r="T38" i="129"/>
  <c r="S38" i="129"/>
  <c r="R38" i="129"/>
  <c r="P38" i="129"/>
  <c r="O38" i="129"/>
  <c r="N38" i="129"/>
  <c r="M38" i="129"/>
  <c r="L38" i="129"/>
  <c r="K38" i="129"/>
  <c r="J38" i="129"/>
  <c r="H38" i="129"/>
  <c r="G38" i="129"/>
  <c r="F38" i="129"/>
  <c r="E38" i="129"/>
  <c r="D38" i="129"/>
  <c r="C38" i="129"/>
  <c r="B38" i="129"/>
  <c r="X37" i="129"/>
  <c r="W37" i="129"/>
  <c r="V37" i="129"/>
  <c r="U37" i="129"/>
  <c r="T37" i="129"/>
  <c r="S37" i="129"/>
  <c r="R37" i="129"/>
  <c r="P37" i="129"/>
  <c r="O37" i="129"/>
  <c r="N37" i="129"/>
  <c r="M37" i="129"/>
  <c r="L37" i="129"/>
  <c r="K37" i="129"/>
  <c r="J37" i="129"/>
  <c r="H37" i="129"/>
  <c r="G37" i="129"/>
  <c r="F37" i="129"/>
  <c r="E37" i="129"/>
  <c r="D37" i="129"/>
  <c r="C37" i="129"/>
  <c r="B37" i="129"/>
  <c r="X36" i="129"/>
  <c r="W36" i="129"/>
  <c r="V36" i="129"/>
  <c r="U36" i="129"/>
  <c r="T36" i="129"/>
  <c r="S36" i="129"/>
  <c r="R36" i="129"/>
  <c r="P36" i="129"/>
  <c r="O36" i="129"/>
  <c r="N36" i="129"/>
  <c r="M36" i="129"/>
  <c r="L36" i="129"/>
  <c r="K36" i="129"/>
  <c r="J36" i="129"/>
  <c r="H36" i="129"/>
  <c r="G36" i="129"/>
  <c r="F36" i="129"/>
  <c r="E36" i="129"/>
  <c r="D36" i="129"/>
  <c r="C36" i="129"/>
  <c r="B36" i="129"/>
  <c r="X35" i="129"/>
  <c r="W35" i="129"/>
  <c r="V35" i="129"/>
  <c r="U35" i="129"/>
  <c r="T35" i="129"/>
  <c r="S35" i="129"/>
  <c r="R35" i="129"/>
  <c r="P35" i="129"/>
  <c r="O35" i="129"/>
  <c r="N35" i="129"/>
  <c r="M35" i="129"/>
  <c r="L35" i="129"/>
  <c r="K35" i="129"/>
  <c r="J35" i="129"/>
  <c r="H35" i="129"/>
  <c r="G35" i="129"/>
  <c r="F35" i="129"/>
  <c r="E35" i="129"/>
  <c r="D35" i="129"/>
  <c r="C35" i="129"/>
  <c r="B35" i="129"/>
  <c r="X31" i="129"/>
  <c r="W31" i="129"/>
  <c r="V31" i="129"/>
  <c r="U31" i="129"/>
  <c r="T31" i="129"/>
  <c r="S31" i="129"/>
  <c r="R31" i="129"/>
  <c r="P31" i="129"/>
  <c r="O31" i="129"/>
  <c r="N31" i="129"/>
  <c r="M31" i="129"/>
  <c r="L31" i="129"/>
  <c r="K31" i="129"/>
  <c r="J31" i="129"/>
  <c r="H31" i="129"/>
  <c r="G31" i="129"/>
  <c r="F31" i="129"/>
  <c r="E31" i="129"/>
  <c r="D31" i="129"/>
  <c r="C31" i="129"/>
  <c r="B31" i="129"/>
  <c r="X30" i="129"/>
  <c r="W30" i="129"/>
  <c r="V30" i="129"/>
  <c r="U30" i="129"/>
  <c r="T30" i="129"/>
  <c r="S30" i="129"/>
  <c r="R30" i="129"/>
  <c r="P30" i="129"/>
  <c r="O30" i="129"/>
  <c r="N30" i="129"/>
  <c r="M30" i="129"/>
  <c r="L30" i="129"/>
  <c r="K30" i="129"/>
  <c r="J30" i="129"/>
  <c r="H30" i="129"/>
  <c r="G30" i="129"/>
  <c r="F30" i="129"/>
  <c r="E30" i="129"/>
  <c r="D30" i="129"/>
  <c r="C30" i="129"/>
  <c r="B30" i="129"/>
  <c r="X29" i="129"/>
  <c r="W29" i="129"/>
  <c r="V29" i="129"/>
  <c r="U29" i="129"/>
  <c r="T29" i="129"/>
  <c r="S29" i="129"/>
  <c r="R29" i="129"/>
  <c r="P29" i="129"/>
  <c r="O29" i="129"/>
  <c r="N29" i="129"/>
  <c r="M29" i="129"/>
  <c r="L29" i="129"/>
  <c r="K29" i="129"/>
  <c r="J29" i="129"/>
  <c r="H29" i="129"/>
  <c r="G29" i="129"/>
  <c r="F29" i="129"/>
  <c r="E29" i="129"/>
  <c r="D29" i="129"/>
  <c r="C29" i="129"/>
  <c r="B29" i="129"/>
  <c r="X28" i="129"/>
  <c r="W28" i="129"/>
  <c r="V28" i="129"/>
  <c r="U28" i="129"/>
  <c r="T28" i="129"/>
  <c r="S28" i="129"/>
  <c r="R28" i="129"/>
  <c r="P28" i="129"/>
  <c r="O28" i="129"/>
  <c r="N28" i="129"/>
  <c r="M28" i="129"/>
  <c r="L28" i="129"/>
  <c r="K28" i="129"/>
  <c r="J28" i="129"/>
  <c r="H28" i="129"/>
  <c r="G28" i="129"/>
  <c r="F28" i="129"/>
  <c r="E28" i="129"/>
  <c r="D28" i="129"/>
  <c r="C28" i="129"/>
  <c r="B28" i="129"/>
  <c r="X27" i="129"/>
  <c r="W27" i="129"/>
  <c r="V27" i="129"/>
  <c r="U27" i="129"/>
  <c r="T27" i="129"/>
  <c r="S27" i="129"/>
  <c r="R27" i="129"/>
  <c r="P27" i="129"/>
  <c r="O27" i="129"/>
  <c r="N27" i="129"/>
  <c r="M27" i="129"/>
  <c r="L27" i="129"/>
  <c r="K27" i="129"/>
  <c r="J27" i="129"/>
  <c r="H27" i="129"/>
  <c r="G27" i="129"/>
  <c r="F27" i="129"/>
  <c r="E27" i="129"/>
  <c r="D27" i="129"/>
  <c r="C27" i="129"/>
  <c r="B27" i="129"/>
  <c r="X26" i="129"/>
  <c r="W26" i="129"/>
  <c r="V26" i="129"/>
  <c r="U26" i="129"/>
  <c r="T26" i="129"/>
  <c r="S26" i="129"/>
  <c r="R26" i="129"/>
  <c r="P26" i="129"/>
  <c r="O26" i="129"/>
  <c r="N26" i="129"/>
  <c r="M26" i="129"/>
  <c r="L26" i="129"/>
  <c r="K26" i="129"/>
  <c r="J26" i="129"/>
  <c r="H26" i="129"/>
  <c r="G26" i="129"/>
  <c r="F26" i="129"/>
  <c r="E26" i="129"/>
  <c r="D26" i="129"/>
  <c r="C26" i="129"/>
  <c r="B26" i="129"/>
  <c r="X22" i="129"/>
  <c r="W22" i="129"/>
  <c r="V22" i="129"/>
  <c r="U22" i="129"/>
  <c r="T22" i="129"/>
  <c r="S22" i="129"/>
  <c r="R22" i="129"/>
  <c r="P22" i="129"/>
  <c r="O22" i="129"/>
  <c r="N22" i="129"/>
  <c r="M22" i="129"/>
  <c r="L22" i="129"/>
  <c r="K22" i="129"/>
  <c r="J22" i="129"/>
  <c r="H22" i="129"/>
  <c r="G22" i="129"/>
  <c r="F22" i="129"/>
  <c r="E22" i="129"/>
  <c r="D22" i="129"/>
  <c r="C22" i="129"/>
  <c r="B22" i="129"/>
  <c r="X21" i="129"/>
  <c r="W21" i="129"/>
  <c r="V21" i="129"/>
  <c r="U21" i="129"/>
  <c r="T21" i="129"/>
  <c r="S21" i="129"/>
  <c r="R21" i="129"/>
  <c r="P21" i="129"/>
  <c r="O21" i="129"/>
  <c r="N21" i="129"/>
  <c r="M21" i="129"/>
  <c r="L21" i="129"/>
  <c r="K21" i="129"/>
  <c r="J21" i="129"/>
  <c r="H21" i="129"/>
  <c r="G21" i="129"/>
  <c r="F21" i="129"/>
  <c r="E21" i="129"/>
  <c r="D21" i="129"/>
  <c r="C21" i="129"/>
  <c r="B21" i="129"/>
  <c r="X20" i="129"/>
  <c r="W20" i="129"/>
  <c r="V20" i="129"/>
  <c r="U20" i="129"/>
  <c r="T20" i="129"/>
  <c r="S20" i="129"/>
  <c r="R20" i="129"/>
  <c r="P20" i="129"/>
  <c r="O20" i="129"/>
  <c r="N20" i="129"/>
  <c r="M20" i="129"/>
  <c r="L20" i="129"/>
  <c r="K20" i="129"/>
  <c r="J20" i="129"/>
  <c r="H20" i="129"/>
  <c r="G20" i="129"/>
  <c r="F20" i="129"/>
  <c r="E20" i="129"/>
  <c r="D20" i="129"/>
  <c r="C20" i="129"/>
  <c r="B20" i="129"/>
  <c r="X19" i="129"/>
  <c r="W19" i="129"/>
  <c r="V19" i="129"/>
  <c r="U19" i="129"/>
  <c r="T19" i="129"/>
  <c r="S19" i="129"/>
  <c r="R19" i="129"/>
  <c r="P19" i="129"/>
  <c r="O19" i="129"/>
  <c r="N19" i="129"/>
  <c r="M19" i="129"/>
  <c r="L19" i="129"/>
  <c r="K19" i="129"/>
  <c r="J19" i="129"/>
  <c r="H19" i="129"/>
  <c r="G19" i="129"/>
  <c r="F19" i="129"/>
  <c r="E19" i="129"/>
  <c r="D19" i="129"/>
  <c r="C19" i="129"/>
  <c r="B19" i="129"/>
  <c r="X18" i="129"/>
  <c r="W18" i="129"/>
  <c r="V18" i="129"/>
  <c r="U18" i="129"/>
  <c r="T18" i="129"/>
  <c r="S18" i="129"/>
  <c r="R18" i="129"/>
  <c r="P18" i="129"/>
  <c r="O18" i="129"/>
  <c r="N18" i="129"/>
  <c r="M18" i="129"/>
  <c r="L18" i="129"/>
  <c r="K18" i="129"/>
  <c r="J18" i="129"/>
  <c r="H18" i="129"/>
  <c r="G18" i="129"/>
  <c r="F18" i="129"/>
  <c r="E18" i="129"/>
  <c r="D18" i="129"/>
  <c r="C18" i="129"/>
  <c r="B18" i="129"/>
  <c r="X17" i="129"/>
  <c r="W17" i="129"/>
  <c r="V17" i="129"/>
  <c r="U17" i="129"/>
  <c r="T17" i="129"/>
  <c r="S17" i="129"/>
  <c r="R17" i="129"/>
  <c r="P17" i="129"/>
  <c r="O17" i="129"/>
  <c r="N17" i="129"/>
  <c r="M17" i="129"/>
  <c r="L17" i="129"/>
  <c r="K17" i="129"/>
  <c r="J17" i="129"/>
  <c r="H17" i="129"/>
  <c r="G17" i="129"/>
  <c r="F17" i="129"/>
  <c r="E17" i="129"/>
  <c r="D17" i="129"/>
  <c r="C17" i="129"/>
  <c r="B17" i="129"/>
  <c r="X13" i="129"/>
  <c r="W13" i="129"/>
  <c r="V13" i="129"/>
  <c r="U13" i="129"/>
  <c r="T13" i="129"/>
  <c r="S13" i="129"/>
  <c r="R13" i="129"/>
  <c r="P13" i="129"/>
  <c r="O13" i="129"/>
  <c r="N13" i="129"/>
  <c r="M13" i="129"/>
  <c r="L13" i="129"/>
  <c r="K13" i="129"/>
  <c r="J13" i="129"/>
  <c r="H13" i="129"/>
  <c r="G13" i="129"/>
  <c r="F13" i="129"/>
  <c r="E13" i="129"/>
  <c r="D13" i="129"/>
  <c r="C13" i="129"/>
  <c r="B13" i="129"/>
  <c r="X12" i="129"/>
  <c r="W12" i="129"/>
  <c r="V12" i="129"/>
  <c r="U12" i="129"/>
  <c r="T12" i="129"/>
  <c r="S12" i="129"/>
  <c r="R12" i="129"/>
  <c r="P12" i="129"/>
  <c r="O12" i="129"/>
  <c r="N12" i="129"/>
  <c r="M12" i="129"/>
  <c r="L12" i="129"/>
  <c r="K12" i="129"/>
  <c r="J12" i="129"/>
  <c r="H12" i="129"/>
  <c r="G12" i="129"/>
  <c r="F12" i="129"/>
  <c r="E12" i="129"/>
  <c r="D12" i="129"/>
  <c r="C12" i="129"/>
  <c r="B12" i="129"/>
  <c r="X11" i="129"/>
  <c r="W11" i="129"/>
  <c r="V11" i="129"/>
  <c r="U11" i="129"/>
  <c r="T11" i="129"/>
  <c r="S11" i="129"/>
  <c r="R11" i="129"/>
  <c r="P11" i="129"/>
  <c r="O11" i="129"/>
  <c r="N11" i="129"/>
  <c r="M11" i="129"/>
  <c r="L11" i="129"/>
  <c r="K11" i="129"/>
  <c r="J11" i="129"/>
  <c r="H11" i="129"/>
  <c r="G11" i="129"/>
  <c r="F11" i="129"/>
  <c r="E11" i="129"/>
  <c r="D11" i="129"/>
  <c r="C11" i="129"/>
  <c r="B11" i="129"/>
  <c r="X10" i="129"/>
  <c r="W10" i="129"/>
  <c r="V10" i="129"/>
  <c r="U10" i="129"/>
  <c r="T10" i="129"/>
  <c r="S10" i="129"/>
  <c r="R10" i="129"/>
  <c r="P10" i="129"/>
  <c r="O10" i="129"/>
  <c r="N10" i="129"/>
  <c r="M10" i="129"/>
  <c r="L10" i="129"/>
  <c r="K10" i="129"/>
  <c r="J10" i="129"/>
  <c r="H10" i="129"/>
  <c r="G10" i="129"/>
  <c r="F10" i="129"/>
  <c r="E10" i="129"/>
  <c r="D10" i="129"/>
  <c r="C10" i="129"/>
  <c r="B10" i="129"/>
  <c r="X9" i="129"/>
  <c r="W9" i="129"/>
  <c r="V9" i="129"/>
  <c r="U9" i="129"/>
  <c r="T9" i="129"/>
  <c r="S9" i="129"/>
  <c r="R9" i="129"/>
  <c r="P9" i="129"/>
  <c r="O9" i="129"/>
  <c r="N9" i="129"/>
  <c r="M9" i="129"/>
  <c r="L9" i="129"/>
  <c r="K9" i="129"/>
  <c r="J9" i="129"/>
  <c r="H9" i="129"/>
  <c r="G9" i="129"/>
  <c r="F9" i="129"/>
  <c r="E9" i="129"/>
  <c r="D9" i="129"/>
  <c r="C9" i="129"/>
  <c r="B9" i="129"/>
  <c r="X8" i="129"/>
  <c r="W8" i="129"/>
  <c r="V8" i="129"/>
  <c r="U8" i="129"/>
  <c r="T8" i="129"/>
  <c r="S8" i="129"/>
  <c r="R8" i="129"/>
  <c r="P8" i="129"/>
  <c r="O8" i="129"/>
  <c r="N8" i="129"/>
  <c r="M8" i="129"/>
  <c r="L8" i="129"/>
  <c r="K8" i="129"/>
  <c r="J8" i="129"/>
  <c r="H8" i="129"/>
  <c r="G8" i="129"/>
  <c r="F8" i="129"/>
  <c r="E8" i="129"/>
  <c r="D8" i="129"/>
  <c r="C8" i="129"/>
  <c r="B8" i="129"/>
  <c r="X40" i="128"/>
  <c r="W40" i="128"/>
  <c r="V40" i="128"/>
  <c r="U40" i="128"/>
  <c r="T40" i="128"/>
  <c r="S40" i="128"/>
  <c r="R40" i="128"/>
  <c r="P40" i="128"/>
  <c r="O40" i="128"/>
  <c r="N40" i="128"/>
  <c r="M40" i="128"/>
  <c r="L40" i="128"/>
  <c r="K40" i="128"/>
  <c r="J40" i="128"/>
  <c r="H40" i="128"/>
  <c r="G40" i="128"/>
  <c r="F40" i="128"/>
  <c r="E40" i="128"/>
  <c r="D40" i="128"/>
  <c r="C40" i="128"/>
  <c r="B40" i="128"/>
  <c r="X39" i="128"/>
  <c r="W39" i="128"/>
  <c r="V39" i="128"/>
  <c r="U39" i="128"/>
  <c r="T39" i="128"/>
  <c r="S39" i="128"/>
  <c r="R39" i="128"/>
  <c r="P39" i="128"/>
  <c r="O39" i="128"/>
  <c r="N39" i="128"/>
  <c r="M39" i="128"/>
  <c r="L39" i="128"/>
  <c r="K39" i="128"/>
  <c r="J39" i="128"/>
  <c r="H39" i="128"/>
  <c r="G39" i="128"/>
  <c r="F39" i="128"/>
  <c r="E39" i="128"/>
  <c r="D39" i="128"/>
  <c r="C39" i="128"/>
  <c r="B39" i="128"/>
  <c r="X38" i="128"/>
  <c r="W38" i="128"/>
  <c r="V38" i="128"/>
  <c r="U38" i="128"/>
  <c r="T38" i="128"/>
  <c r="S38" i="128"/>
  <c r="R38" i="128"/>
  <c r="P38" i="128"/>
  <c r="O38" i="128"/>
  <c r="N38" i="128"/>
  <c r="M38" i="128"/>
  <c r="L38" i="128"/>
  <c r="K38" i="128"/>
  <c r="J38" i="128"/>
  <c r="H38" i="128"/>
  <c r="G38" i="128"/>
  <c r="F38" i="128"/>
  <c r="E38" i="128"/>
  <c r="D38" i="128"/>
  <c r="C38" i="128"/>
  <c r="B38" i="128"/>
  <c r="X37" i="128"/>
  <c r="W37" i="128"/>
  <c r="V37" i="128"/>
  <c r="U37" i="128"/>
  <c r="T37" i="128"/>
  <c r="S37" i="128"/>
  <c r="R37" i="128"/>
  <c r="P37" i="128"/>
  <c r="O37" i="128"/>
  <c r="N37" i="128"/>
  <c r="M37" i="128"/>
  <c r="L37" i="128"/>
  <c r="K37" i="128"/>
  <c r="J37" i="128"/>
  <c r="H37" i="128"/>
  <c r="G37" i="128"/>
  <c r="F37" i="128"/>
  <c r="E37" i="128"/>
  <c r="D37" i="128"/>
  <c r="C37" i="128"/>
  <c r="B37" i="128"/>
  <c r="X36" i="128"/>
  <c r="W36" i="128"/>
  <c r="V36" i="128"/>
  <c r="U36" i="128"/>
  <c r="T36" i="128"/>
  <c r="S36" i="128"/>
  <c r="R36" i="128"/>
  <c r="P36" i="128"/>
  <c r="O36" i="128"/>
  <c r="N36" i="128"/>
  <c r="M36" i="128"/>
  <c r="L36" i="128"/>
  <c r="K36" i="128"/>
  <c r="J36" i="128"/>
  <c r="H36" i="128"/>
  <c r="G36" i="128"/>
  <c r="F36" i="128"/>
  <c r="E36" i="128"/>
  <c r="D36" i="128"/>
  <c r="C36" i="128"/>
  <c r="B36" i="128"/>
  <c r="X35" i="128"/>
  <c r="W35" i="128"/>
  <c r="V35" i="128"/>
  <c r="U35" i="128"/>
  <c r="T35" i="128"/>
  <c r="S35" i="128"/>
  <c r="R35" i="128"/>
  <c r="P35" i="128"/>
  <c r="O35" i="128"/>
  <c r="N35" i="128"/>
  <c r="M35" i="128"/>
  <c r="L35" i="128"/>
  <c r="K35" i="128"/>
  <c r="J35" i="128"/>
  <c r="H35" i="128"/>
  <c r="G35" i="128"/>
  <c r="F35" i="128"/>
  <c r="E35" i="128"/>
  <c r="D35" i="128"/>
  <c r="C35" i="128"/>
  <c r="B35" i="128"/>
  <c r="X31" i="128"/>
  <c r="W31" i="128"/>
  <c r="V31" i="128"/>
  <c r="U31" i="128"/>
  <c r="T31" i="128"/>
  <c r="S31" i="128"/>
  <c r="R31" i="128"/>
  <c r="P31" i="128"/>
  <c r="O31" i="128"/>
  <c r="N31" i="128"/>
  <c r="M31" i="128"/>
  <c r="L31" i="128"/>
  <c r="K31" i="128"/>
  <c r="J31" i="128"/>
  <c r="H31" i="128"/>
  <c r="G31" i="128"/>
  <c r="F31" i="128"/>
  <c r="E31" i="128"/>
  <c r="D31" i="128"/>
  <c r="C31" i="128"/>
  <c r="B31" i="128"/>
  <c r="X30" i="128"/>
  <c r="W30" i="128"/>
  <c r="V30" i="128"/>
  <c r="U30" i="128"/>
  <c r="T30" i="128"/>
  <c r="S30" i="128"/>
  <c r="R30" i="128"/>
  <c r="P30" i="128"/>
  <c r="O30" i="128"/>
  <c r="N30" i="128"/>
  <c r="M30" i="128"/>
  <c r="L30" i="128"/>
  <c r="K30" i="128"/>
  <c r="J30" i="128"/>
  <c r="H30" i="128"/>
  <c r="G30" i="128"/>
  <c r="F30" i="128"/>
  <c r="E30" i="128"/>
  <c r="D30" i="128"/>
  <c r="C30" i="128"/>
  <c r="B30" i="128"/>
  <c r="X29" i="128"/>
  <c r="W29" i="128"/>
  <c r="V29" i="128"/>
  <c r="U29" i="128"/>
  <c r="T29" i="128"/>
  <c r="S29" i="128"/>
  <c r="R29" i="128"/>
  <c r="P29" i="128"/>
  <c r="O29" i="128"/>
  <c r="N29" i="128"/>
  <c r="M29" i="128"/>
  <c r="L29" i="128"/>
  <c r="K29" i="128"/>
  <c r="J29" i="128"/>
  <c r="H29" i="128"/>
  <c r="G29" i="128"/>
  <c r="F29" i="128"/>
  <c r="E29" i="128"/>
  <c r="D29" i="128"/>
  <c r="C29" i="128"/>
  <c r="B29" i="128"/>
  <c r="X28" i="128"/>
  <c r="W28" i="128"/>
  <c r="V28" i="128"/>
  <c r="U28" i="128"/>
  <c r="T28" i="128"/>
  <c r="S28" i="128"/>
  <c r="R28" i="128"/>
  <c r="P28" i="128"/>
  <c r="O28" i="128"/>
  <c r="N28" i="128"/>
  <c r="M28" i="128"/>
  <c r="L28" i="128"/>
  <c r="K28" i="128"/>
  <c r="J28" i="128"/>
  <c r="H28" i="128"/>
  <c r="G28" i="128"/>
  <c r="F28" i="128"/>
  <c r="E28" i="128"/>
  <c r="D28" i="128"/>
  <c r="C28" i="128"/>
  <c r="B28" i="128"/>
  <c r="X27" i="128"/>
  <c r="W27" i="128"/>
  <c r="V27" i="128"/>
  <c r="U27" i="128"/>
  <c r="T27" i="128"/>
  <c r="S27" i="128"/>
  <c r="R27" i="128"/>
  <c r="P27" i="128"/>
  <c r="O27" i="128"/>
  <c r="N27" i="128"/>
  <c r="M27" i="128"/>
  <c r="L27" i="128"/>
  <c r="K27" i="128"/>
  <c r="J27" i="128"/>
  <c r="H27" i="128"/>
  <c r="G27" i="128"/>
  <c r="F27" i="128"/>
  <c r="E27" i="128"/>
  <c r="D27" i="128"/>
  <c r="C27" i="128"/>
  <c r="B27" i="128"/>
  <c r="X26" i="128"/>
  <c r="W26" i="128"/>
  <c r="V26" i="128"/>
  <c r="U26" i="128"/>
  <c r="T26" i="128"/>
  <c r="S26" i="128"/>
  <c r="R26" i="128"/>
  <c r="P26" i="128"/>
  <c r="O26" i="128"/>
  <c r="N26" i="128"/>
  <c r="M26" i="128"/>
  <c r="L26" i="128"/>
  <c r="K26" i="128"/>
  <c r="J26" i="128"/>
  <c r="H26" i="128"/>
  <c r="G26" i="128"/>
  <c r="F26" i="128"/>
  <c r="E26" i="128"/>
  <c r="D26" i="128"/>
  <c r="C26" i="128"/>
  <c r="B26" i="128"/>
  <c r="X22" i="128"/>
  <c r="W22" i="128"/>
  <c r="V22" i="128"/>
  <c r="U22" i="128"/>
  <c r="T22" i="128"/>
  <c r="S22" i="128"/>
  <c r="R22" i="128"/>
  <c r="P22" i="128"/>
  <c r="O22" i="128"/>
  <c r="N22" i="128"/>
  <c r="M22" i="128"/>
  <c r="L22" i="128"/>
  <c r="K22" i="128"/>
  <c r="J22" i="128"/>
  <c r="H22" i="128"/>
  <c r="G22" i="128"/>
  <c r="F22" i="128"/>
  <c r="E22" i="128"/>
  <c r="D22" i="128"/>
  <c r="C22" i="128"/>
  <c r="B22" i="128"/>
  <c r="X21" i="128"/>
  <c r="W21" i="128"/>
  <c r="V21" i="128"/>
  <c r="U21" i="128"/>
  <c r="T21" i="128"/>
  <c r="S21" i="128"/>
  <c r="R21" i="128"/>
  <c r="P21" i="128"/>
  <c r="O21" i="128"/>
  <c r="N21" i="128"/>
  <c r="M21" i="128"/>
  <c r="L21" i="128"/>
  <c r="K21" i="128"/>
  <c r="J21" i="128"/>
  <c r="H21" i="128"/>
  <c r="G21" i="128"/>
  <c r="F21" i="128"/>
  <c r="E21" i="128"/>
  <c r="D21" i="128"/>
  <c r="C21" i="128"/>
  <c r="B21" i="128"/>
  <c r="X20" i="128"/>
  <c r="W20" i="128"/>
  <c r="V20" i="128"/>
  <c r="U20" i="128"/>
  <c r="T20" i="128"/>
  <c r="S20" i="128"/>
  <c r="R20" i="128"/>
  <c r="P20" i="128"/>
  <c r="O20" i="128"/>
  <c r="N20" i="128"/>
  <c r="M20" i="128"/>
  <c r="L20" i="128"/>
  <c r="K20" i="128"/>
  <c r="J20" i="128"/>
  <c r="H20" i="128"/>
  <c r="G20" i="128"/>
  <c r="F20" i="128"/>
  <c r="E20" i="128"/>
  <c r="D20" i="128"/>
  <c r="C20" i="128"/>
  <c r="B20" i="128"/>
  <c r="X19" i="128"/>
  <c r="W19" i="128"/>
  <c r="V19" i="128"/>
  <c r="U19" i="128"/>
  <c r="T19" i="128"/>
  <c r="S19" i="128"/>
  <c r="R19" i="128"/>
  <c r="P19" i="128"/>
  <c r="O19" i="128"/>
  <c r="N19" i="128"/>
  <c r="M19" i="128"/>
  <c r="L19" i="128"/>
  <c r="K19" i="128"/>
  <c r="J19" i="128"/>
  <c r="H19" i="128"/>
  <c r="G19" i="128"/>
  <c r="F19" i="128"/>
  <c r="E19" i="128"/>
  <c r="D19" i="128"/>
  <c r="C19" i="128"/>
  <c r="B19" i="128"/>
  <c r="X18" i="128"/>
  <c r="W18" i="128"/>
  <c r="V18" i="128"/>
  <c r="U18" i="128"/>
  <c r="T18" i="128"/>
  <c r="S18" i="128"/>
  <c r="R18" i="128"/>
  <c r="P18" i="128"/>
  <c r="O18" i="128"/>
  <c r="N18" i="128"/>
  <c r="M18" i="128"/>
  <c r="L18" i="128"/>
  <c r="K18" i="128"/>
  <c r="J18" i="128"/>
  <c r="H18" i="128"/>
  <c r="G18" i="128"/>
  <c r="F18" i="128"/>
  <c r="E18" i="128"/>
  <c r="D18" i="128"/>
  <c r="C18" i="128"/>
  <c r="B18" i="128"/>
  <c r="X17" i="128"/>
  <c r="W17" i="128"/>
  <c r="V17" i="128"/>
  <c r="U17" i="128"/>
  <c r="T17" i="128"/>
  <c r="S17" i="128"/>
  <c r="R17" i="128"/>
  <c r="P17" i="128"/>
  <c r="O17" i="128"/>
  <c r="N17" i="128"/>
  <c r="M17" i="128"/>
  <c r="L17" i="128"/>
  <c r="K17" i="128"/>
  <c r="J17" i="128"/>
  <c r="H17" i="128"/>
  <c r="G17" i="128"/>
  <c r="F17" i="128"/>
  <c r="E17" i="128"/>
  <c r="D17" i="128"/>
  <c r="C17" i="128"/>
  <c r="B17" i="128"/>
  <c r="X13" i="128"/>
  <c r="W13" i="128"/>
  <c r="V13" i="128"/>
  <c r="U13" i="128"/>
  <c r="T13" i="128"/>
  <c r="S13" i="128"/>
  <c r="R13" i="128"/>
  <c r="P13" i="128"/>
  <c r="O13" i="128"/>
  <c r="N13" i="128"/>
  <c r="M13" i="128"/>
  <c r="L13" i="128"/>
  <c r="K13" i="128"/>
  <c r="J13" i="128"/>
  <c r="H13" i="128"/>
  <c r="G13" i="128"/>
  <c r="F13" i="128"/>
  <c r="E13" i="128"/>
  <c r="D13" i="128"/>
  <c r="C13" i="128"/>
  <c r="B13" i="128"/>
  <c r="X12" i="128"/>
  <c r="W12" i="128"/>
  <c r="V12" i="128"/>
  <c r="U12" i="128"/>
  <c r="T12" i="128"/>
  <c r="S12" i="128"/>
  <c r="R12" i="128"/>
  <c r="P12" i="128"/>
  <c r="O12" i="128"/>
  <c r="N12" i="128"/>
  <c r="M12" i="128"/>
  <c r="L12" i="128"/>
  <c r="K12" i="128"/>
  <c r="J12" i="128"/>
  <c r="H12" i="128"/>
  <c r="G12" i="128"/>
  <c r="F12" i="128"/>
  <c r="E12" i="128"/>
  <c r="D12" i="128"/>
  <c r="C12" i="128"/>
  <c r="B12" i="128"/>
  <c r="X11" i="128"/>
  <c r="W11" i="128"/>
  <c r="V11" i="128"/>
  <c r="U11" i="128"/>
  <c r="T11" i="128"/>
  <c r="S11" i="128"/>
  <c r="R11" i="128"/>
  <c r="P11" i="128"/>
  <c r="O11" i="128"/>
  <c r="N11" i="128"/>
  <c r="M11" i="128"/>
  <c r="L11" i="128"/>
  <c r="K11" i="128"/>
  <c r="J11" i="128"/>
  <c r="H11" i="128"/>
  <c r="G11" i="128"/>
  <c r="F11" i="128"/>
  <c r="E11" i="128"/>
  <c r="D11" i="128"/>
  <c r="C11" i="128"/>
  <c r="B11" i="128"/>
  <c r="X10" i="128"/>
  <c r="W10" i="128"/>
  <c r="V10" i="128"/>
  <c r="U10" i="128"/>
  <c r="T10" i="128"/>
  <c r="S10" i="128"/>
  <c r="R10" i="128"/>
  <c r="P10" i="128"/>
  <c r="O10" i="128"/>
  <c r="N10" i="128"/>
  <c r="M10" i="128"/>
  <c r="L10" i="128"/>
  <c r="K10" i="128"/>
  <c r="J10" i="128"/>
  <c r="H10" i="128"/>
  <c r="G10" i="128"/>
  <c r="F10" i="128"/>
  <c r="E10" i="128"/>
  <c r="D10" i="128"/>
  <c r="C10" i="128"/>
  <c r="B10" i="128"/>
  <c r="X9" i="128"/>
  <c r="W9" i="128"/>
  <c r="V9" i="128"/>
  <c r="U9" i="128"/>
  <c r="T9" i="128"/>
  <c r="S9" i="128"/>
  <c r="R9" i="128"/>
  <c r="P9" i="128"/>
  <c r="O9" i="128"/>
  <c r="N9" i="128"/>
  <c r="M9" i="128"/>
  <c r="L9" i="128"/>
  <c r="K9" i="128"/>
  <c r="J9" i="128"/>
  <c r="H9" i="128"/>
  <c r="G9" i="128"/>
  <c r="F9" i="128"/>
  <c r="E9" i="128"/>
  <c r="D9" i="128"/>
  <c r="C9" i="128"/>
  <c r="B9" i="128"/>
  <c r="X8" i="128"/>
  <c r="W8" i="128"/>
  <c r="V8" i="128"/>
  <c r="U8" i="128"/>
  <c r="T8" i="128"/>
  <c r="S8" i="128"/>
  <c r="R8" i="128"/>
  <c r="P8" i="128"/>
  <c r="O8" i="128"/>
  <c r="N8" i="128"/>
  <c r="M8" i="128"/>
  <c r="L8" i="128"/>
  <c r="K8" i="128"/>
  <c r="J8" i="128"/>
  <c r="H8" i="128"/>
  <c r="G8" i="128"/>
  <c r="F8" i="128"/>
  <c r="E8" i="128"/>
  <c r="D8" i="128"/>
  <c r="C8" i="128"/>
  <c r="B8" i="128"/>
  <c r="X40" i="127"/>
  <c r="W40" i="127"/>
  <c r="V40" i="127"/>
  <c r="U40" i="127"/>
  <c r="T40" i="127"/>
  <c r="S40" i="127"/>
  <c r="R40" i="127"/>
  <c r="P40" i="127"/>
  <c r="O40" i="127"/>
  <c r="N40" i="127"/>
  <c r="M40" i="127"/>
  <c r="L40" i="127"/>
  <c r="K40" i="127"/>
  <c r="J40" i="127"/>
  <c r="H40" i="127"/>
  <c r="G40" i="127"/>
  <c r="F40" i="127"/>
  <c r="E40" i="127"/>
  <c r="D40" i="127"/>
  <c r="C40" i="127"/>
  <c r="B40" i="127"/>
  <c r="X39" i="127"/>
  <c r="W39" i="127"/>
  <c r="V39" i="127"/>
  <c r="U39" i="127"/>
  <c r="T39" i="127"/>
  <c r="S39" i="127"/>
  <c r="R39" i="127"/>
  <c r="P39" i="127"/>
  <c r="O39" i="127"/>
  <c r="N39" i="127"/>
  <c r="M39" i="127"/>
  <c r="L39" i="127"/>
  <c r="K39" i="127"/>
  <c r="J39" i="127"/>
  <c r="H39" i="127"/>
  <c r="G39" i="127"/>
  <c r="F39" i="127"/>
  <c r="E39" i="127"/>
  <c r="D39" i="127"/>
  <c r="C39" i="127"/>
  <c r="B39" i="127"/>
  <c r="X38" i="127"/>
  <c r="W38" i="127"/>
  <c r="V38" i="127"/>
  <c r="U38" i="127"/>
  <c r="T38" i="127"/>
  <c r="S38" i="127"/>
  <c r="R38" i="127"/>
  <c r="P38" i="127"/>
  <c r="O38" i="127"/>
  <c r="N38" i="127"/>
  <c r="M38" i="127"/>
  <c r="L38" i="127"/>
  <c r="K38" i="127"/>
  <c r="J38" i="127"/>
  <c r="H38" i="127"/>
  <c r="G38" i="127"/>
  <c r="F38" i="127"/>
  <c r="E38" i="127"/>
  <c r="D38" i="127"/>
  <c r="C38" i="127"/>
  <c r="B38" i="127"/>
  <c r="X37" i="127"/>
  <c r="W37" i="127"/>
  <c r="V37" i="127"/>
  <c r="U37" i="127"/>
  <c r="T37" i="127"/>
  <c r="S37" i="127"/>
  <c r="R37" i="127"/>
  <c r="P37" i="127"/>
  <c r="O37" i="127"/>
  <c r="N37" i="127"/>
  <c r="M37" i="127"/>
  <c r="L37" i="127"/>
  <c r="K37" i="127"/>
  <c r="J37" i="127"/>
  <c r="H37" i="127"/>
  <c r="G37" i="127"/>
  <c r="F37" i="127"/>
  <c r="E37" i="127"/>
  <c r="D37" i="127"/>
  <c r="C37" i="127"/>
  <c r="B37" i="127"/>
  <c r="X36" i="127"/>
  <c r="W36" i="127"/>
  <c r="V36" i="127"/>
  <c r="U36" i="127"/>
  <c r="T36" i="127"/>
  <c r="S36" i="127"/>
  <c r="R36" i="127"/>
  <c r="P36" i="127"/>
  <c r="O36" i="127"/>
  <c r="N36" i="127"/>
  <c r="M36" i="127"/>
  <c r="L36" i="127"/>
  <c r="K36" i="127"/>
  <c r="J36" i="127"/>
  <c r="H36" i="127"/>
  <c r="G36" i="127"/>
  <c r="F36" i="127"/>
  <c r="E36" i="127"/>
  <c r="D36" i="127"/>
  <c r="C36" i="127"/>
  <c r="B36" i="127"/>
  <c r="X35" i="127"/>
  <c r="W35" i="127"/>
  <c r="V35" i="127"/>
  <c r="U35" i="127"/>
  <c r="T35" i="127"/>
  <c r="S35" i="127"/>
  <c r="R35" i="127"/>
  <c r="P35" i="127"/>
  <c r="O35" i="127"/>
  <c r="N35" i="127"/>
  <c r="M35" i="127"/>
  <c r="L35" i="127"/>
  <c r="K35" i="127"/>
  <c r="J35" i="127"/>
  <c r="H35" i="127"/>
  <c r="G35" i="127"/>
  <c r="F35" i="127"/>
  <c r="E35" i="127"/>
  <c r="D35" i="127"/>
  <c r="C35" i="127"/>
  <c r="B35" i="127"/>
  <c r="X31" i="127"/>
  <c r="W31" i="127"/>
  <c r="V31" i="127"/>
  <c r="U31" i="127"/>
  <c r="T31" i="127"/>
  <c r="S31" i="127"/>
  <c r="R31" i="127"/>
  <c r="P31" i="127"/>
  <c r="O31" i="127"/>
  <c r="N31" i="127"/>
  <c r="M31" i="127"/>
  <c r="L31" i="127"/>
  <c r="K31" i="127"/>
  <c r="J31" i="127"/>
  <c r="H31" i="127"/>
  <c r="G31" i="127"/>
  <c r="F31" i="127"/>
  <c r="E31" i="127"/>
  <c r="D31" i="127"/>
  <c r="C31" i="127"/>
  <c r="B31" i="127"/>
  <c r="X30" i="127"/>
  <c r="W30" i="127"/>
  <c r="V30" i="127"/>
  <c r="U30" i="127"/>
  <c r="T30" i="127"/>
  <c r="S30" i="127"/>
  <c r="R30" i="127"/>
  <c r="P30" i="127"/>
  <c r="O30" i="127"/>
  <c r="N30" i="127"/>
  <c r="M30" i="127"/>
  <c r="L30" i="127"/>
  <c r="K30" i="127"/>
  <c r="J30" i="127"/>
  <c r="H30" i="127"/>
  <c r="G30" i="127"/>
  <c r="F30" i="127"/>
  <c r="E30" i="127"/>
  <c r="D30" i="127"/>
  <c r="C30" i="127"/>
  <c r="B30" i="127"/>
  <c r="X29" i="127"/>
  <c r="W29" i="127"/>
  <c r="V29" i="127"/>
  <c r="U29" i="127"/>
  <c r="T29" i="127"/>
  <c r="S29" i="127"/>
  <c r="R29" i="127"/>
  <c r="P29" i="127"/>
  <c r="O29" i="127"/>
  <c r="N29" i="127"/>
  <c r="M29" i="127"/>
  <c r="L29" i="127"/>
  <c r="K29" i="127"/>
  <c r="J29" i="127"/>
  <c r="H29" i="127"/>
  <c r="G29" i="127"/>
  <c r="F29" i="127"/>
  <c r="E29" i="127"/>
  <c r="D29" i="127"/>
  <c r="C29" i="127"/>
  <c r="B29" i="127"/>
  <c r="X28" i="127"/>
  <c r="W28" i="127"/>
  <c r="V28" i="127"/>
  <c r="U28" i="127"/>
  <c r="T28" i="127"/>
  <c r="S28" i="127"/>
  <c r="R28" i="127"/>
  <c r="P28" i="127"/>
  <c r="O28" i="127"/>
  <c r="N28" i="127"/>
  <c r="M28" i="127"/>
  <c r="L28" i="127"/>
  <c r="K28" i="127"/>
  <c r="J28" i="127"/>
  <c r="H28" i="127"/>
  <c r="G28" i="127"/>
  <c r="F28" i="127"/>
  <c r="E28" i="127"/>
  <c r="D28" i="127"/>
  <c r="C28" i="127"/>
  <c r="B28" i="127"/>
  <c r="X27" i="127"/>
  <c r="W27" i="127"/>
  <c r="V27" i="127"/>
  <c r="U27" i="127"/>
  <c r="T27" i="127"/>
  <c r="S27" i="127"/>
  <c r="R27" i="127"/>
  <c r="P27" i="127"/>
  <c r="O27" i="127"/>
  <c r="N27" i="127"/>
  <c r="M27" i="127"/>
  <c r="L27" i="127"/>
  <c r="K27" i="127"/>
  <c r="J27" i="127"/>
  <c r="H27" i="127"/>
  <c r="G27" i="127"/>
  <c r="F27" i="127"/>
  <c r="E27" i="127"/>
  <c r="D27" i="127"/>
  <c r="C27" i="127"/>
  <c r="B27" i="127"/>
  <c r="X26" i="127"/>
  <c r="W26" i="127"/>
  <c r="V26" i="127"/>
  <c r="U26" i="127"/>
  <c r="T26" i="127"/>
  <c r="S26" i="127"/>
  <c r="R26" i="127"/>
  <c r="P26" i="127"/>
  <c r="O26" i="127"/>
  <c r="N26" i="127"/>
  <c r="M26" i="127"/>
  <c r="L26" i="127"/>
  <c r="K26" i="127"/>
  <c r="J26" i="127"/>
  <c r="H26" i="127"/>
  <c r="G26" i="127"/>
  <c r="F26" i="127"/>
  <c r="E26" i="127"/>
  <c r="D26" i="127"/>
  <c r="C26" i="127"/>
  <c r="B26" i="127"/>
  <c r="X22" i="127"/>
  <c r="W22" i="127"/>
  <c r="V22" i="127"/>
  <c r="U22" i="127"/>
  <c r="T22" i="127"/>
  <c r="S22" i="127"/>
  <c r="R22" i="127"/>
  <c r="P22" i="127"/>
  <c r="O22" i="127"/>
  <c r="N22" i="127"/>
  <c r="M22" i="127"/>
  <c r="L22" i="127"/>
  <c r="K22" i="127"/>
  <c r="J22" i="127"/>
  <c r="H22" i="127"/>
  <c r="G22" i="127"/>
  <c r="F22" i="127"/>
  <c r="E22" i="127"/>
  <c r="D22" i="127"/>
  <c r="C22" i="127"/>
  <c r="B22" i="127"/>
  <c r="X21" i="127"/>
  <c r="W21" i="127"/>
  <c r="V21" i="127"/>
  <c r="U21" i="127"/>
  <c r="T21" i="127"/>
  <c r="S21" i="127"/>
  <c r="R21" i="127"/>
  <c r="P21" i="127"/>
  <c r="O21" i="127"/>
  <c r="N21" i="127"/>
  <c r="M21" i="127"/>
  <c r="L21" i="127"/>
  <c r="K21" i="127"/>
  <c r="J21" i="127"/>
  <c r="H21" i="127"/>
  <c r="G21" i="127"/>
  <c r="F21" i="127"/>
  <c r="E21" i="127"/>
  <c r="D21" i="127"/>
  <c r="C21" i="127"/>
  <c r="B21" i="127"/>
  <c r="X20" i="127"/>
  <c r="W20" i="127"/>
  <c r="V20" i="127"/>
  <c r="U20" i="127"/>
  <c r="T20" i="127"/>
  <c r="S20" i="127"/>
  <c r="R20" i="127"/>
  <c r="P20" i="127"/>
  <c r="O20" i="127"/>
  <c r="N20" i="127"/>
  <c r="M20" i="127"/>
  <c r="L20" i="127"/>
  <c r="K20" i="127"/>
  <c r="J20" i="127"/>
  <c r="H20" i="127"/>
  <c r="G20" i="127"/>
  <c r="F20" i="127"/>
  <c r="E20" i="127"/>
  <c r="D20" i="127"/>
  <c r="C20" i="127"/>
  <c r="B20" i="127"/>
  <c r="X19" i="127"/>
  <c r="W19" i="127"/>
  <c r="V19" i="127"/>
  <c r="U19" i="127"/>
  <c r="T19" i="127"/>
  <c r="S19" i="127"/>
  <c r="R19" i="127"/>
  <c r="P19" i="127"/>
  <c r="O19" i="127"/>
  <c r="N19" i="127"/>
  <c r="M19" i="127"/>
  <c r="L19" i="127"/>
  <c r="K19" i="127"/>
  <c r="J19" i="127"/>
  <c r="H19" i="127"/>
  <c r="G19" i="127"/>
  <c r="F19" i="127"/>
  <c r="E19" i="127"/>
  <c r="D19" i="127"/>
  <c r="C19" i="127"/>
  <c r="B19" i="127"/>
  <c r="X18" i="127"/>
  <c r="W18" i="127"/>
  <c r="V18" i="127"/>
  <c r="U18" i="127"/>
  <c r="T18" i="127"/>
  <c r="S18" i="127"/>
  <c r="R18" i="127"/>
  <c r="P18" i="127"/>
  <c r="O18" i="127"/>
  <c r="N18" i="127"/>
  <c r="M18" i="127"/>
  <c r="L18" i="127"/>
  <c r="K18" i="127"/>
  <c r="J18" i="127"/>
  <c r="H18" i="127"/>
  <c r="G18" i="127"/>
  <c r="F18" i="127"/>
  <c r="E18" i="127"/>
  <c r="D18" i="127"/>
  <c r="C18" i="127"/>
  <c r="B18" i="127"/>
  <c r="X17" i="127"/>
  <c r="W17" i="127"/>
  <c r="V17" i="127"/>
  <c r="U17" i="127"/>
  <c r="T17" i="127"/>
  <c r="S17" i="127"/>
  <c r="R17" i="127"/>
  <c r="P17" i="127"/>
  <c r="O17" i="127"/>
  <c r="N17" i="127"/>
  <c r="M17" i="127"/>
  <c r="L17" i="127"/>
  <c r="K17" i="127"/>
  <c r="J17" i="127"/>
  <c r="H17" i="127"/>
  <c r="G17" i="127"/>
  <c r="F17" i="127"/>
  <c r="E17" i="127"/>
  <c r="D17" i="127"/>
  <c r="C17" i="127"/>
  <c r="B17" i="127"/>
  <c r="X13" i="127"/>
  <c r="W13" i="127"/>
  <c r="V13" i="127"/>
  <c r="U13" i="127"/>
  <c r="T13" i="127"/>
  <c r="S13" i="127"/>
  <c r="R13" i="127"/>
  <c r="P13" i="127"/>
  <c r="O13" i="127"/>
  <c r="N13" i="127"/>
  <c r="M13" i="127"/>
  <c r="L13" i="127"/>
  <c r="K13" i="127"/>
  <c r="J13" i="127"/>
  <c r="H13" i="127"/>
  <c r="G13" i="127"/>
  <c r="F13" i="127"/>
  <c r="E13" i="127"/>
  <c r="D13" i="127"/>
  <c r="C13" i="127"/>
  <c r="B13" i="127"/>
  <c r="X12" i="127"/>
  <c r="W12" i="127"/>
  <c r="V12" i="127"/>
  <c r="U12" i="127"/>
  <c r="T12" i="127"/>
  <c r="S12" i="127"/>
  <c r="R12" i="127"/>
  <c r="P12" i="127"/>
  <c r="O12" i="127"/>
  <c r="N12" i="127"/>
  <c r="M12" i="127"/>
  <c r="L12" i="127"/>
  <c r="K12" i="127"/>
  <c r="J12" i="127"/>
  <c r="H12" i="127"/>
  <c r="G12" i="127"/>
  <c r="F12" i="127"/>
  <c r="E12" i="127"/>
  <c r="D12" i="127"/>
  <c r="C12" i="127"/>
  <c r="B12" i="127"/>
  <c r="X11" i="127"/>
  <c r="W11" i="127"/>
  <c r="V11" i="127"/>
  <c r="U11" i="127"/>
  <c r="T11" i="127"/>
  <c r="S11" i="127"/>
  <c r="R11" i="127"/>
  <c r="P11" i="127"/>
  <c r="O11" i="127"/>
  <c r="N11" i="127"/>
  <c r="M11" i="127"/>
  <c r="L11" i="127"/>
  <c r="K11" i="127"/>
  <c r="J11" i="127"/>
  <c r="H11" i="127"/>
  <c r="G11" i="127"/>
  <c r="F11" i="127"/>
  <c r="E11" i="127"/>
  <c r="D11" i="127"/>
  <c r="C11" i="127"/>
  <c r="B11" i="127"/>
  <c r="X10" i="127"/>
  <c r="W10" i="127"/>
  <c r="V10" i="127"/>
  <c r="U10" i="127"/>
  <c r="T10" i="127"/>
  <c r="S10" i="127"/>
  <c r="R10" i="127"/>
  <c r="P10" i="127"/>
  <c r="O10" i="127"/>
  <c r="N10" i="127"/>
  <c r="M10" i="127"/>
  <c r="L10" i="127"/>
  <c r="K10" i="127"/>
  <c r="J10" i="127"/>
  <c r="H10" i="127"/>
  <c r="G10" i="127"/>
  <c r="F10" i="127"/>
  <c r="E10" i="127"/>
  <c r="D10" i="127"/>
  <c r="C10" i="127"/>
  <c r="B10" i="127"/>
  <c r="X9" i="127"/>
  <c r="W9" i="127"/>
  <c r="V9" i="127"/>
  <c r="U9" i="127"/>
  <c r="T9" i="127"/>
  <c r="S9" i="127"/>
  <c r="R9" i="127"/>
  <c r="P9" i="127"/>
  <c r="O9" i="127"/>
  <c r="N9" i="127"/>
  <c r="M9" i="127"/>
  <c r="L9" i="127"/>
  <c r="K9" i="127"/>
  <c r="J9" i="127"/>
  <c r="H9" i="127"/>
  <c r="G9" i="127"/>
  <c r="F9" i="127"/>
  <c r="E9" i="127"/>
  <c r="D9" i="127"/>
  <c r="C9" i="127"/>
  <c r="B9" i="127"/>
  <c r="X8" i="127"/>
  <c r="W8" i="127"/>
  <c r="V8" i="127"/>
  <c r="U8" i="127"/>
  <c r="T8" i="127"/>
  <c r="S8" i="127"/>
  <c r="R8" i="127"/>
  <c r="P8" i="127"/>
  <c r="O8" i="127"/>
  <c r="N8" i="127"/>
  <c r="M8" i="127"/>
  <c r="L8" i="127"/>
  <c r="K8" i="127"/>
  <c r="J8" i="127"/>
  <c r="H8" i="127"/>
  <c r="G8" i="127"/>
  <c r="F8" i="127"/>
  <c r="E8" i="127"/>
  <c r="D8" i="127"/>
  <c r="C8" i="127"/>
  <c r="B8" i="127"/>
  <c r="X40" i="126"/>
  <c r="W40" i="126"/>
  <c r="V40" i="126"/>
  <c r="U40" i="126"/>
  <c r="T40" i="126"/>
  <c r="S40" i="126"/>
  <c r="R40" i="126"/>
  <c r="P40" i="126"/>
  <c r="O40" i="126"/>
  <c r="N40" i="126"/>
  <c r="M40" i="126"/>
  <c r="L40" i="126"/>
  <c r="K40" i="126"/>
  <c r="J40" i="126"/>
  <c r="H40" i="126"/>
  <c r="G40" i="126"/>
  <c r="F40" i="126"/>
  <c r="E40" i="126"/>
  <c r="D40" i="126"/>
  <c r="C40" i="126"/>
  <c r="B40" i="126"/>
  <c r="X39" i="126"/>
  <c r="W39" i="126"/>
  <c r="V39" i="126"/>
  <c r="U39" i="126"/>
  <c r="T39" i="126"/>
  <c r="S39" i="126"/>
  <c r="R39" i="126"/>
  <c r="P39" i="126"/>
  <c r="O39" i="126"/>
  <c r="N39" i="126"/>
  <c r="M39" i="126"/>
  <c r="L39" i="126"/>
  <c r="K39" i="126"/>
  <c r="J39" i="126"/>
  <c r="H39" i="126"/>
  <c r="G39" i="126"/>
  <c r="F39" i="126"/>
  <c r="E39" i="126"/>
  <c r="D39" i="126"/>
  <c r="C39" i="126"/>
  <c r="B39" i="126"/>
  <c r="X38" i="126"/>
  <c r="W38" i="126"/>
  <c r="V38" i="126"/>
  <c r="U38" i="126"/>
  <c r="T38" i="126"/>
  <c r="S38" i="126"/>
  <c r="R38" i="126"/>
  <c r="P38" i="126"/>
  <c r="O38" i="126"/>
  <c r="N38" i="126"/>
  <c r="M38" i="126"/>
  <c r="L38" i="126"/>
  <c r="K38" i="126"/>
  <c r="J38" i="126"/>
  <c r="H38" i="126"/>
  <c r="G38" i="126"/>
  <c r="F38" i="126"/>
  <c r="E38" i="126"/>
  <c r="D38" i="126"/>
  <c r="C38" i="126"/>
  <c r="B38" i="126"/>
  <c r="X37" i="126"/>
  <c r="W37" i="126"/>
  <c r="V37" i="126"/>
  <c r="U37" i="126"/>
  <c r="T37" i="126"/>
  <c r="S37" i="126"/>
  <c r="R37" i="126"/>
  <c r="P37" i="126"/>
  <c r="O37" i="126"/>
  <c r="N37" i="126"/>
  <c r="M37" i="126"/>
  <c r="L37" i="126"/>
  <c r="K37" i="126"/>
  <c r="J37" i="126"/>
  <c r="H37" i="126"/>
  <c r="G37" i="126"/>
  <c r="F37" i="126"/>
  <c r="E37" i="126"/>
  <c r="D37" i="126"/>
  <c r="C37" i="126"/>
  <c r="B37" i="126"/>
  <c r="X36" i="126"/>
  <c r="W36" i="126"/>
  <c r="V36" i="126"/>
  <c r="U36" i="126"/>
  <c r="T36" i="126"/>
  <c r="S36" i="126"/>
  <c r="R36" i="126"/>
  <c r="P36" i="126"/>
  <c r="O36" i="126"/>
  <c r="N36" i="126"/>
  <c r="M36" i="126"/>
  <c r="L36" i="126"/>
  <c r="K36" i="126"/>
  <c r="J36" i="126"/>
  <c r="H36" i="126"/>
  <c r="G36" i="126"/>
  <c r="F36" i="126"/>
  <c r="E36" i="126"/>
  <c r="D36" i="126"/>
  <c r="C36" i="126"/>
  <c r="B36" i="126"/>
  <c r="X35" i="126"/>
  <c r="W35" i="126"/>
  <c r="V35" i="126"/>
  <c r="U35" i="126"/>
  <c r="T35" i="126"/>
  <c r="S35" i="126"/>
  <c r="R35" i="126"/>
  <c r="P35" i="126"/>
  <c r="O35" i="126"/>
  <c r="N35" i="126"/>
  <c r="M35" i="126"/>
  <c r="L35" i="126"/>
  <c r="K35" i="126"/>
  <c r="J35" i="126"/>
  <c r="H35" i="126"/>
  <c r="G35" i="126"/>
  <c r="F35" i="126"/>
  <c r="E35" i="126"/>
  <c r="D35" i="126"/>
  <c r="C35" i="126"/>
  <c r="B35" i="126"/>
  <c r="X31" i="126"/>
  <c r="W31" i="126"/>
  <c r="V31" i="126"/>
  <c r="U31" i="126"/>
  <c r="T31" i="126"/>
  <c r="S31" i="126"/>
  <c r="R31" i="126"/>
  <c r="P31" i="126"/>
  <c r="O31" i="126"/>
  <c r="N31" i="126"/>
  <c r="M31" i="126"/>
  <c r="L31" i="126"/>
  <c r="K31" i="126"/>
  <c r="J31" i="126"/>
  <c r="H31" i="126"/>
  <c r="G31" i="126"/>
  <c r="F31" i="126"/>
  <c r="E31" i="126"/>
  <c r="D31" i="126"/>
  <c r="C31" i="126"/>
  <c r="B31" i="126"/>
  <c r="X30" i="126"/>
  <c r="W30" i="126"/>
  <c r="V30" i="126"/>
  <c r="U30" i="126"/>
  <c r="T30" i="126"/>
  <c r="S30" i="126"/>
  <c r="R30" i="126"/>
  <c r="P30" i="126"/>
  <c r="O30" i="126"/>
  <c r="N30" i="126"/>
  <c r="M30" i="126"/>
  <c r="L30" i="126"/>
  <c r="K30" i="126"/>
  <c r="J30" i="126"/>
  <c r="H30" i="126"/>
  <c r="G30" i="126"/>
  <c r="F30" i="126"/>
  <c r="E30" i="126"/>
  <c r="D30" i="126"/>
  <c r="C30" i="126"/>
  <c r="B30" i="126"/>
  <c r="X29" i="126"/>
  <c r="W29" i="126"/>
  <c r="V29" i="126"/>
  <c r="U29" i="126"/>
  <c r="T29" i="126"/>
  <c r="S29" i="126"/>
  <c r="R29" i="126"/>
  <c r="P29" i="126"/>
  <c r="O29" i="126"/>
  <c r="N29" i="126"/>
  <c r="M29" i="126"/>
  <c r="L29" i="126"/>
  <c r="K29" i="126"/>
  <c r="J29" i="126"/>
  <c r="H29" i="126"/>
  <c r="G29" i="126"/>
  <c r="F29" i="126"/>
  <c r="E29" i="126"/>
  <c r="D29" i="126"/>
  <c r="C29" i="126"/>
  <c r="B29" i="126"/>
  <c r="X28" i="126"/>
  <c r="W28" i="126"/>
  <c r="V28" i="126"/>
  <c r="U28" i="126"/>
  <c r="T28" i="126"/>
  <c r="S28" i="126"/>
  <c r="R28" i="126"/>
  <c r="P28" i="126"/>
  <c r="O28" i="126"/>
  <c r="N28" i="126"/>
  <c r="M28" i="126"/>
  <c r="L28" i="126"/>
  <c r="K28" i="126"/>
  <c r="J28" i="126"/>
  <c r="H28" i="126"/>
  <c r="G28" i="126"/>
  <c r="F28" i="126"/>
  <c r="E28" i="126"/>
  <c r="D28" i="126"/>
  <c r="C28" i="126"/>
  <c r="B28" i="126"/>
  <c r="X27" i="126"/>
  <c r="W27" i="126"/>
  <c r="V27" i="126"/>
  <c r="U27" i="126"/>
  <c r="T27" i="126"/>
  <c r="S27" i="126"/>
  <c r="R27" i="126"/>
  <c r="P27" i="126"/>
  <c r="O27" i="126"/>
  <c r="N27" i="126"/>
  <c r="M27" i="126"/>
  <c r="L27" i="126"/>
  <c r="K27" i="126"/>
  <c r="J27" i="126"/>
  <c r="H27" i="126"/>
  <c r="G27" i="126"/>
  <c r="F27" i="126"/>
  <c r="E27" i="126"/>
  <c r="D27" i="126"/>
  <c r="C27" i="126"/>
  <c r="B27" i="126"/>
  <c r="X26" i="126"/>
  <c r="W26" i="126"/>
  <c r="V26" i="126"/>
  <c r="U26" i="126"/>
  <c r="T26" i="126"/>
  <c r="S26" i="126"/>
  <c r="R26" i="126"/>
  <c r="P26" i="126"/>
  <c r="O26" i="126"/>
  <c r="N26" i="126"/>
  <c r="M26" i="126"/>
  <c r="L26" i="126"/>
  <c r="K26" i="126"/>
  <c r="J26" i="126"/>
  <c r="H26" i="126"/>
  <c r="G26" i="126"/>
  <c r="F26" i="126"/>
  <c r="E26" i="126"/>
  <c r="D26" i="126"/>
  <c r="C26" i="126"/>
  <c r="B26" i="126"/>
  <c r="X22" i="126"/>
  <c r="W22" i="126"/>
  <c r="V22" i="126"/>
  <c r="U22" i="126"/>
  <c r="T22" i="126"/>
  <c r="S22" i="126"/>
  <c r="R22" i="126"/>
  <c r="P22" i="126"/>
  <c r="O22" i="126"/>
  <c r="N22" i="126"/>
  <c r="M22" i="126"/>
  <c r="L22" i="126"/>
  <c r="K22" i="126"/>
  <c r="J22" i="126"/>
  <c r="H22" i="126"/>
  <c r="G22" i="126"/>
  <c r="F22" i="126"/>
  <c r="E22" i="126"/>
  <c r="D22" i="126"/>
  <c r="C22" i="126"/>
  <c r="B22" i="126"/>
  <c r="X21" i="126"/>
  <c r="W21" i="126"/>
  <c r="V21" i="126"/>
  <c r="U21" i="126"/>
  <c r="T21" i="126"/>
  <c r="S21" i="126"/>
  <c r="R21" i="126"/>
  <c r="P21" i="126"/>
  <c r="O21" i="126"/>
  <c r="N21" i="126"/>
  <c r="M21" i="126"/>
  <c r="L21" i="126"/>
  <c r="K21" i="126"/>
  <c r="J21" i="126"/>
  <c r="H21" i="126"/>
  <c r="G21" i="126"/>
  <c r="F21" i="126"/>
  <c r="E21" i="126"/>
  <c r="D21" i="126"/>
  <c r="C21" i="126"/>
  <c r="B21" i="126"/>
  <c r="X20" i="126"/>
  <c r="W20" i="126"/>
  <c r="V20" i="126"/>
  <c r="U20" i="126"/>
  <c r="T20" i="126"/>
  <c r="S20" i="126"/>
  <c r="R20" i="126"/>
  <c r="P20" i="126"/>
  <c r="O20" i="126"/>
  <c r="N20" i="126"/>
  <c r="M20" i="126"/>
  <c r="L20" i="126"/>
  <c r="K20" i="126"/>
  <c r="J20" i="126"/>
  <c r="H20" i="126"/>
  <c r="G20" i="126"/>
  <c r="F20" i="126"/>
  <c r="E20" i="126"/>
  <c r="D20" i="126"/>
  <c r="C20" i="126"/>
  <c r="B20" i="126"/>
  <c r="X19" i="126"/>
  <c r="W19" i="126"/>
  <c r="V19" i="126"/>
  <c r="U19" i="126"/>
  <c r="T19" i="126"/>
  <c r="S19" i="126"/>
  <c r="R19" i="126"/>
  <c r="P19" i="126"/>
  <c r="O19" i="126"/>
  <c r="N19" i="126"/>
  <c r="M19" i="126"/>
  <c r="L19" i="126"/>
  <c r="K19" i="126"/>
  <c r="J19" i="126"/>
  <c r="H19" i="126"/>
  <c r="G19" i="126"/>
  <c r="F19" i="126"/>
  <c r="E19" i="126"/>
  <c r="D19" i="126"/>
  <c r="C19" i="126"/>
  <c r="B19" i="126"/>
  <c r="X18" i="126"/>
  <c r="W18" i="126"/>
  <c r="V18" i="126"/>
  <c r="U18" i="126"/>
  <c r="T18" i="126"/>
  <c r="S18" i="126"/>
  <c r="R18" i="126"/>
  <c r="P18" i="126"/>
  <c r="O18" i="126"/>
  <c r="N18" i="126"/>
  <c r="M18" i="126"/>
  <c r="L18" i="126"/>
  <c r="K18" i="126"/>
  <c r="J18" i="126"/>
  <c r="H18" i="126"/>
  <c r="G18" i="126"/>
  <c r="F18" i="126"/>
  <c r="E18" i="126"/>
  <c r="D18" i="126"/>
  <c r="C18" i="126"/>
  <c r="B18" i="126"/>
  <c r="X17" i="126"/>
  <c r="W17" i="126"/>
  <c r="V17" i="126"/>
  <c r="U17" i="126"/>
  <c r="T17" i="126"/>
  <c r="S17" i="126"/>
  <c r="R17" i="126"/>
  <c r="P17" i="126"/>
  <c r="O17" i="126"/>
  <c r="N17" i="126"/>
  <c r="M17" i="126"/>
  <c r="L17" i="126"/>
  <c r="K17" i="126"/>
  <c r="J17" i="126"/>
  <c r="H17" i="126"/>
  <c r="G17" i="126"/>
  <c r="F17" i="126"/>
  <c r="E17" i="126"/>
  <c r="D17" i="126"/>
  <c r="C17" i="126"/>
  <c r="B17" i="126"/>
  <c r="X13" i="126"/>
  <c r="W13" i="126"/>
  <c r="V13" i="126"/>
  <c r="U13" i="126"/>
  <c r="T13" i="126"/>
  <c r="S13" i="126"/>
  <c r="R13" i="126"/>
  <c r="P13" i="126"/>
  <c r="O13" i="126"/>
  <c r="N13" i="126"/>
  <c r="M13" i="126"/>
  <c r="L13" i="126"/>
  <c r="K13" i="126"/>
  <c r="J13" i="126"/>
  <c r="H13" i="126"/>
  <c r="G13" i="126"/>
  <c r="F13" i="126"/>
  <c r="E13" i="126"/>
  <c r="D13" i="126"/>
  <c r="C13" i="126"/>
  <c r="B13" i="126"/>
  <c r="X12" i="126"/>
  <c r="W12" i="126"/>
  <c r="V12" i="126"/>
  <c r="U12" i="126"/>
  <c r="T12" i="126"/>
  <c r="S12" i="126"/>
  <c r="R12" i="126"/>
  <c r="P12" i="126"/>
  <c r="O12" i="126"/>
  <c r="N12" i="126"/>
  <c r="M12" i="126"/>
  <c r="L12" i="126"/>
  <c r="K12" i="126"/>
  <c r="J12" i="126"/>
  <c r="H12" i="126"/>
  <c r="G12" i="126"/>
  <c r="F12" i="126"/>
  <c r="E12" i="126"/>
  <c r="D12" i="126"/>
  <c r="C12" i="126"/>
  <c r="B12" i="126"/>
  <c r="X11" i="126"/>
  <c r="W11" i="126"/>
  <c r="V11" i="126"/>
  <c r="U11" i="126"/>
  <c r="T11" i="126"/>
  <c r="S11" i="126"/>
  <c r="R11" i="126"/>
  <c r="P11" i="126"/>
  <c r="O11" i="126"/>
  <c r="N11" i="126"/>
  <c r="M11" i="126"/>
  <c r="L11" i="126"/>
  <c r="K11" i="126"/>
  <c r="J11" i="126"/>
  <c r="H11" i="126"/>
  <c r="G11" i="126"/>
  <c r="F11" i="126"/>
  <c r="E11" i="126"/>
  <c r="D11" i="126"/>
  <c r="C11" i="126"/>
  <c r="B11" i="126"/>
  <c r="X10" i="126"/>
  <c r="W10" i="126"/>
  <c r="V10" i="126"/>
  <c r="U10" i="126"/>
  <c r="T10" i="126"/>
  <c r="S10" i="126"/>
  <c r="R10" i="126"/>
  <c r="P10" i="126"/>
  <c r="O10" i="126"/>
  <c r="N10" i="126"/>
  <c r="M10" i="126"/>
  <c r="L10" i="126"/>
  <c r="K10" i="126"/>
  <c r="J10" i="126"/>
  <c r="H10" i="126"/>
  <c r="G10" i="126"/>
  <c r="F10" i="126"/>
  <c r="E10" i="126"/>
  <c r="D10" i="126"/>
  <c r="C10" i="126"/>
  <c r="B10" i="126"/>
  <c r="X9" i="126"/>
  <c r="W9" i="126"/>
  <c r="V9" i="126"/>
  <c r="U9" i="126"/>
  <c r="T9" i="126"/>
  <c r="S9" i="126"/>
  <c r="R9" i="126"/>
  <c r="P9" i="126"/>
  <c r="O9" i="126"/>
  <c r="N9" i="126"/>
  <c r="M9" i="126"/>
  <c r="L9" i="126"/>
  <c r="K9" i="126"/>
  <c r="J9" i="126"/>
  <c r="H9" i="126"/>
  <c r="G9" i="126"/>
  <c r="F9" i="126"/>
  <c r="E9" i="126"/>
  <c r="D9" i="126"/>
  <c r="C9" i="126"/>
  <c r="B9" i="126"/>
  <c r="X8" i="126"/>
  <c r="W8" i="126"/>
  <c r="V8" i="126"/>
  <c r="U8" i="126"/>
  <c r="T8" i="126"/>
  <c r="S8" i="126"/>
  <c r="R8" i="126"/>
  <c r="P8" i="126"/>
  <c r="O8" i="126"/>
  <c r="N8" i="126"/>
  <c r="M8" i="126"/>
  <c r="L8" i="126"/>
  <c r="K8" i="126"/>
  <c r="J8" i="126"/>
  <c r="H8" i="126"/>
  <c r="G8" i="126"/>
  <c r="F8" i="126"/>
  <c r="E8" i="126"/>
  <c r="D8" i="126"/>
  <c r="C8" i="126"/>
  <c r="B8" i="126"/>
  <c r="X40" i="125"/>
  <c r="W40" i="125"/>
  <c r="V40" i="125"/>
  <c r="U40" i="125"/>
  <c r="T40" i="125"/>
  <c r="S40" i="125"/>
  <c r="R40" i="125"/>
  <c r="P40" i="125"/>
  <c r="O40" i="125"/>
  <c r="N40" i="125"/>
  <c r="M40" i="125"/>
  <c r="L40" i="125"/>
  <c r="K40" i="125"/>
  <c r="J40" i="125"/>
  <c r="H40" i="125"/>
  <c r="G40" i="125"/>
  <c r="F40" i="125"/>
  <c r="E40" i="125"/>
  <c r="D40" i="125"/>
  <c r="C40" i="125"/>
  <c r="B40" i="125"/>
  <c r="X39" i="125"/>
  <c r="W39" i="125"/>
  <c r="V39" i="125"/>
  <c r="U39" i="125"/>
  <c r="T39" i="125"/>
  <c r="S39" i="125"/>
  <c r="R39" i="125"/>
  <c r="P39" i="125"/>
  <c r="O39" i="125"/>
  <c r="N39" i="125"/>
  <c r="M39" i="125"/>
  <c r="L39" i="125"/>
  <c r="K39" i="125"/>
  <c r="J39" i="125"/>
  <c r="H39" i="125"/>
  <c r="G39" i="125"/>
  <c r="F39" i="125"/>
  <c r="E39" i="125"/>
  <c r="D39" i="125"/>
  <c r="C39" i="125"/>
  <c r="B39" i="125"/>
  <c r="X38" i="125"/>
  <c r="W38" i="125"/>
  <c r="V38" i="125"/>
  <c r="U38" i="125"/>
  <c r="T38" i="125"/>
  <c r="S38" i="125"/>
  <c r="R38" i="125"/>
  <c r="P38" i="125"/>
  <c r="O38" i="125"/>
  <c r="N38" i="125"/>
  <c r="M38" i="125"/>
  <c r="L38" i="125"/>
  <c r="K38" i="125"/>
  <c r="J38" i="125"/>
  <c r="H38" i="125"/>
  <c r="G38" i="125"/>
  <c r="F38" i="125"/>
  <c r="E38" i="125"/>
  <c r="D38" i="125"/>
  <c r="C38" i="125"/>
  <c r="B38" i="125"/>
  <c r="X37" i="125"/>
  <c r="W37" i="125"/>
  <c r="V37" i="125"/>
  <c r="U37" i="125"/>
  <c r="T37" i="125"/>
  <c r="S37" i="125"/>
  <c r="R37" i="125"/>
  <c r="P37" i="125"/>
  <c r="O37" i="125"/>
  <c r="N37" i="125"/>
  <c r="M37" i="125"/>
  <c r="L37" i="125"/>
  <c r="K37" i="125"/>
  <c r="J37" i="125"/>
  <c r="H37" i="125"/>
  <c r="G37" i="125"/>
  <c r="F37" i="125"/>
  <c r="E37" i="125"/>
  <c r="D37" i="125"/>
  <c r="C37" i="125"/>
  <c r="B37" i="125"/>
  <c r="X36" i="125"/>
  <c r="W36" i="125"/>
  <c r="V36" i="125"/>
  <c r="U36" i="125"/>
  <c r="T36" i="125"/>
  <c r="S36" i="125"/>
  <c r="R36" i="125"/>
  <c r="P36" i="125"/>
  <c r="O36" i="125"/>
  <c r="N36" i="125"/>
  <c r="M36" i="125"/>
  <c r="L36" i="125"/>
  <c r="K36" i="125"/>
  <c r="J36" i="125"/>
  <c r="H36" i="125"/>
  <c r="G36" i="125"/>
  <c r="F36" i="125"/>
  <c r="E36" i="125"/>
  <c r="D36" i="125"/>
  <c r="C36" i="125"/>
  <c r="B36" i="125"/>
  <c r="X35" i="125"/>
  <c r="W35" i="125"/>
  <c r="V35" i="125"/>
  <c r="U35" i="125"/>
  <c r="T35" i="125"/>
  <c r="S35" i="125"/>
  <c r="R35" i="125"/>
  <c r="P35" i="125"/>
  <c r="O35" i="125"/>
  <c r="N35" i="125"/>
  <c r="M35" i="125"/>
  <c r="L35" i="125"/>
  <c r="K35" i="125"/>
  <c r="J35" i="125"/>
  <c r="H35" i="125"/>
  <c r="G35" i="125"/>
  <c r="F35" i="125"/>
  <c r="E35" i="125"/>
  <c r="D35" i="125"/>
  <c r="C35" i="125"/>
  <c r="B35" i="125"/>
  <c r="X31" i="125"/>
  <c r="W31" i="125"/>
  <c r="V31" i="125"/>
  <c r="U31" i="125"/>
  <c r="T31" i="125"/>
  <c r="S31" i="125"/>
  <c r="R31" i="125"/>
  <c r="P31" i="125"/>
  <c r="O31" i="125"/>
  <c r="N31" i="125"/>
  <c r="M31" i="125"/>
  <c r="L31" i="125"/>
  <c r="K31" i="125"/>
  <c r="J31" i="125"/>
  <c r="H31" i="125"/>
  <c r="G31" i="125"/>
  <c r="F31" i="125"/>
  <c r="E31" i="125"/>
  <c r="D31" i="125"/>
  <c r="C31" i="125"/>
  <c r="B31" i="125"/>
  <c r="X30" i="125"/>
  <c r="W30" i="125"/>
  <c r="V30" i="125"/>
  <c r="U30" i="125"/>
  <c r="T30" i="125"/>
  <c r="S30" i="125"/>
  <c r="R30" i="125"/>
  <c r="P30" i="125"/>
  <c r="O30" i="125"/>
  <c r="N30" i="125"/>
  <c r="M30" i="125"/>
  <c r="L30" i="125"/>
  <c r="K30" i="125"/>
  <c r="J30" i="125"/>
  <c r="H30" i="125"/>
  <c r="G30" i="125"/>
  <c r="F30" i="125"/>
  <c r="E30" i="125"/>
  <c r="D30" i="125"/>
  <c r="C30" i="125"/>
  <c r="B30" i="125"/>
  <c r="X29" i="125"/>
  <c r="W29" i="125"/>
  <c r="V29" i="125"/>
  <c r="U29" i="125"/>
  <c r="T29" i="125"/>
  <c r="S29" i="125"/>
  <c r="R29" i="125"/>
  <c r="P29" i="125"/>
  <c r="O29" i="125"/>
  <c r="N29" i="125"/>
  <c r="M29" i="125"/>
  <c r="L29" i="125"/>
  <c r="K29" i="125"/>
  <c r="J29" i="125"/>
  <c r="H29" i="125"/>
  <c r="G29" i="125"/>
  <c r="F29" i="125"/>
  <c r="E29" i="125"/>
  <c r="D29" i="125"/>
  <c r="C29" i="125"/>
  <c r="B29" i="125"/>
  <c r="X28" i="125"/>
  <c r="W28" i="125"/>
  <c r="V28" i="125"/>
  <c r="U28" i="125"/>
  <c r="T28" i="125"/>
  <c r="S28" i="125"/>
  <c r="R28" i="125"/>
  <c r="P28" i="125"/>
  <c r="O28" i="125"/>
  <c r="N28" i="125"/>
  <c r="M28" i="125"/>
  <c r="L28" i="125"/>
  <c r="K28" i="125"/>
  <c r="J28" i="125"/>
  <c r="H28" i="125"/>
  <c r="G28" i="125"/>
  <c r="F28" i="125"/>
  <c r="E28" i="125"/>
  <c r="D28" i="125"/>
  <c r="C28" i="125"/>
  <c r="B28" i="125"/>
  <c r="X27" i="125"/>
  <c r="W27" i="125"/>
  <c r="V27" i="125"/>
  <c r="U27" i="125"/>
  <c r="T27" i="125"/>
  <c r="S27" i="125"/>
  <c r="R27" i="125"/>
  <c r="P27" i="125"/>
  <c r="O27" i="125"/>
  <c r="N27" i="125"/>
  <c r="M27" i="125"/>
  <c r="L27" i="125"/>
  <c r="K27" i="125"/>
  <c r="J27" i="125"/>
  <c r="H27" i="125"/>
  <c r="G27" i="125"/>
  <c r="F27" i="125"/>
  <c r="E27" i="125"/>
  <c r="D27" i="125"/>
  <c r="C27" i="125"/>
  <c r="B27" i="125"/>
  <c r="X26" i="125"/>
  <c r="W26" i="125"/>
  <c r="V26" i="125"/>
  <c r="U26" i="125"/>
  <c r="T26" i="125"/>
  <c r="S26" i="125"/>
  <c r="R26" i="125"/>
  <c r="P26" i="125"/>
  <c r="O26" i="125"/>
  <c r="N26" i="125"/>
  <c r="M26" i="125"/>
  <c r="L26" i="125"/>
  <c r="K26" i="125"/>
  <c r="J26" i="125"/>
  <c r="H26" i="125"/>
  <c r="G26" i="125"/>
  <c r="F26" i="125"/>
  <c r="E26" i="125"/>
  <c r="D26" i="125"/>
  <c r="C26" i="125"/>
  <c r="B26" i="125"/>
  <c r="X22" i="125"/>
  <c r="W22" i="125"/>
  <c r="V22" i="125"/>
  <c r="U22" i="125"/>
  <c r="T22" i="125"/>
  <c r="S22" i="125"/>
  <c r="R22" i="125"/>
  <c r="P22" i="125"/>
  <c r="O22" i="125"/>
  <c r="N22" i="125"/>
  <c r="M22" i="125"/>
  <c r="L22" i="125"/>
  <c r="K22" i="125"/>
  <c r="J22" i="125"/>
  <c r="H22" i="125"/>
  <c r="G22" i="125"/>
  <c r="F22" i="125"/>
  <c r="E22" i="125"/>
  <c r="D22" i="125"/>
  <c r="C22" i="125"/>
  <c r="B22" i="125"/>
  <c r="X21" i="125"/>
  <c r="W21" i="125"/>
  <c r="V21" i="125"/>
  <c r="U21" i="125"/>
  <c r="T21" i="125"/>
  <c r="S21" i="125"/>
  <c r="R21" i="125"/>
  <c r="P21" i="125"/>
  <c r="O21" i="125"/>
  <c r="N21" i="125"/>
  <c r="M21" i="125"/>
  <c r="L21" i="125"/>
  <c r="K21" i="125"/>
  <c r="J21" i="125"/>
  <c r="H21" i="125"/>
  <c r="G21" i="125"/>
  <c r="F21" i="125"/>
  <c r="E21" i="125"/>
  <c r="D21" i="125"/>
  <c r="C21" i="125"/>
  <c r="B21" i="125"/>
  <c r="X20" i="125"/>
  <c r="W20" i="125"/>
  <c r="V20" i="125"/>
  <c r="U20" i="125"/>
  <c r="T20" i="125"/>
  <c r="S20" i="125"/>
  <c r="R20" i="125"/>
  <c r="P20" i="125"/>
  <c r="O20" i="125"/>
  <c r="N20" i="125"/>
  <c r="M20" i="125"/>
  <c r="L20" i="125"/>
  <c r="K20" i="125"/>
  <c r="J20" i="125"/>
  <c r="H20" i="125"/>
  <c r="G20" i="125"/>
  <c r="F20" i="125"/>
  <c r="E20" i="125"/>
  <c r="D20" i="125"/>
  <c r="C20" i="125"/>
  <c r="B20" i="125"/>
  <c r="X19" i="125"/>
  <c r="W19" i="125"/>
  <c r="V19" i="125"/>
  <c r="U19" i="125"/>
  <c r="T19" i="125"/>
  <c r="S19" i="125"/>
  <c r="R19" i="125"/>
  <c r="P19" i="125"/>
  <c r="O19" i="125"/>
  <c r="N19" i="125"/>
  <c r="M19" i="125"/>
  <c r="L19" i="125"/>
  <c r="K19" i="125"/>
  <c r="J19" i="125"/>
  <c r="H19" i="125"/>
  <c r="G19" i="125"/>
  <c r="F19" i="125"/>
  <c r="E19" i="125"/>
  <c r="D19" i="125"/>
  <c r="C19" i="125"/>
  <c r="B19" i="125"/>
  <c r="X18" i="125"/>
  <c r="W18" i="125"/>
  <c r="V18" i="125"/>
  <c r="U18" i="125"/>
  <c r="T18" i="125"/>
  <c r="S18" i="125"/>
  <c r="R18" i="125"/>
  <c r="P18" i="125"/>
  <c r="O18" i="125"/>
  <c r="N18" i="125"/>
  <c r="M18" i="125"/>
  <c r="L18" i="125"/>
  <c r="K18" i="125"/>
  <c r="J18" i="125"/>
  <c r="H18" i="125"/>
  <c r="G18" i="125"/>
  <c r="F18" i="125"/>
  <c r="E18" i="125"/>
  <c r="D18" i="125"/>
  <c r="C18" i="125"/>
  <c r="B18" i="125"/>
  <c r="X17" i="125"/>
  <c r="W17" i="125"/>
  <c r="V17" i="125"/>
  <c r="U17" i="125"/>
  <c r="T17" i="125"/>
  <c r="S17" i="125"/>
  <c r="R17" i="125"/>
  <c r="P17" i="125"/>
  <c r="O17" i="125"/>
  <c r="N17" i="125"/>
  <c r="M17" i="125"/>
  <c r="L17" i="125"/>
  <c r="K17" i="125"/>
  <c r="J17" i="125"/>
  <c r="H17" i="125"/>
  <c r="G17" i="125"/>
  <c r="F17" i="125"/>
  <c r="E17" i="125"/>
  <c r="D17" i="125"/>
  <c r="C17" i="125"/>
  <c r="B17" i="125"/>
  <c r="X13" i="125"/>
  <c r="W13" i="125"/>
  <c r="V13" i="125"/>
  <c r="U13" i="125"/>
  <c r="T13" i="125"/>
  <c r="S13" i="125"/>
  <c r="R13" i="125"/>
  <c r="P13" i="125"/>
  <c r="O13" i="125"/>
  <c r="N13" i="125"/>
  <c r="M13" i="125"/>
  <c r="L13" i="125"/>
  <c r="K13" i="125"/>
  <c r="J13" i="125"/>
  <c r="H13" i="125"/>
  <c r="G13" i="125"/>
  <c r="F13" i="125"/>
  <c r="E13" i="125"/>
  <c r="D13" i="125"/>
  <c r="C13" i="125"/>
  <c r="B13" i="125"/>
  <c r="X12" i="125"/>
  <c r="W12" i="125"/>
  <c r="V12" i="125"/>
  <c r="U12" i="125"/>
  <c r="T12" i="125"/>
  <c r="S12" i="125"/>
  <c r="R12" i="125"/>
  <c r="P12" i="125"/>
  <c r="O12" i="125"/>
  <c r="N12" i="125"/>
  <c r="M12" i="125"/>
  <c r="L12" i="125"/>
  <c r="K12" i="125"/>
  <c r="J12" i="125"/>
  <c r="H12" i="125"/>
  <c r="G12" i="125"/>
  <c r="F12" i="125"/>
  <c r="E12" i="125"/>
  <c r="D12" i="125"/>
  <c r="C12" i="125"/>
  <c r="B12" i="125"/>
  <c r="X11" i="125"/>
  <c r="W11" i="125"/>
  <c r="V11" i="125"/>
  <c r="U11" i="125"/>
  <c r="T11" i="125"/>
  <c r="S11" i="125"/>
  <c r="R11" i="125"/>
  <c r="P11" i="125"/>
  <c r="O11" i="125"/>
  <c r="N11" i="125"/>
  <c r="M11" i="125"/>
  <c r="L11" i="125"/>
  <c r="K11" i="125"/>
  <c r="J11" i="125"/>
  <c r="H11" i="125"/>
  <c r="G11" i="125"/>
  <c r="F11" i="125"/>
  <c r="E11" i="125"/>
  <c r="D11" i="125"/>
  <c r="C11" i="125"/>
  <c r="B11" i="125"/>
  <c r="X10" i="125"/>
  <c r="W10" i="125"/>
  <c r="V10" i="125"/>
  <c r="U10" i="125"/>
  <c r="T10" i="125"/>
  <c r="S10" i="125"/>
  <c r="R10" i="125"/>
  <c r="P10" i="125"/>
  <c r="O10" i="125"/>
  <c r="N10" i="125"/>
  <c r="M10" i="125"/>
  <c r="L10" i="125"/>
  <c r="K10" i="125"/>
  <c r="J10" i="125"/>
  <c r="H10" i="125"/>
  <c r="G10" i="125"/>
  <c r="F10" i="125"/>
  <c r="E10" i="125"/>
  <c r="D10" i="125"/>
  <c r="C10" i="125"/>
  <c r="B10" i="125"/>
  <c r="X9" i="125"/>
  <c r="W9" i="125"/>
  <c r="V9" i="125"/>
  <c r="U9" i="125"/>
  <c r="T9" i="125"/>
  <c r="S9" i="125"/>
  <c r="R9" i="125"/>
  <c r="P9" i="125"/>
  <c r="O9" i="125"/>
  <c r="N9" i="125"/>
  <c r="M9" i="125"/>
  <c r="L9" i="125"/>
  <c r="K9" i="125"/>
  <c r="J9" i="125"/>
  <c r="H9" i="125"/>
  <c r="G9" i="125"/>
  <c r="F9" i="125"/>
  <c r="E9" i="125"/>
  <c r="D9" i="125"/>
  <c r="C9" i="125"/>
  <c r="B9" i="125"/>
  <c r="X8" i="125"/>
  <c r="W8" i="125"/>
  <c r="V8" i="125"/>
  <c r="U8" i="125"/>
  <c r="T8" i="125"/>
  <c r="S8" i="125"/>
  <c r="R8" i="125"/>
  <c r="P8" i="125"/>
  <c r="O8" i="125"/>
  <c r="N8" i="125"/>
  <c r="M8" i="125"/>
  <c r="L8" i="125"/>
  <c r="K8" i="125"/>
  <c r="J8" i="125"/>
  <c r="H8" i="125"/>
  <c r="G8" i="125"/>
  <c r="F8" i="125"/>
  <c r="E8" i="125"/>
  <c r="D8" i="125"/>
  <c r="C8" i="125"/>
  <c r="B8" i="125"/>
  <c r="X40" i="124"/>
  <c r="W40" i="124"/>
  <c r="V40" i="124"/>
  <c r="U40" i="124"/>
  <c r="T40" i="124"/>
  <c r="S40" i="124"/>
  <c r="R40" i="124"/>
  <c r="P40" i="124"/>
  <c r="O40" i="124"/>
  <c r="N40" i="124"/>
  <c r="M40" i="124"/>
  <c r="L40" i="124"/>
  <c r="K40" i="124"/>
  <c r="J40" i="124"/>
  <c r="H40" i="124"/>
  <c r="G40" i="124"/>
  <c r="F40" i="124"/>
  <c r="E40" i="124"/>
  <c r="D40" i="124"/>
  <c r="C40" i="124"/>
  <c r="B40" i="124"/>
  <c r="X39" i="124"/>
  <c r="W39" i="124"/>
  <c r="V39" i="124"/>
  <c r="U39" i="124"/>
  <c r="T39" i="124"/>
  <c r="S39" i="124"/>
  <c r="R39" i="124"/>
  <c r="P39" i="124"/>
  <c r="O39" i="124"/>
  <c r="N39" i="124"/>
  <c r="M39" i="124"/>
  <c r="L39" i="124"/>
  <c r="K39" i="124"/>
  <c r="J39" i="124"/>
  <c r="H39" i="124"/>
  <c r="G39" i="124"/>
  <c r="F39" i="124"/>
  <c r="E39" i="124"/>
  <c r="D39" i="124"/>
  <c r="C39" i="124"/>
  <c r="B39" i="124"/>
  <c r="X38" i="124"/>
  <c r="W38" i="124"/>
  <c r="V38" i="124"/>
  <c r="U38" i="124"/>
  <c r="T38" i="124"/>
  <c r="S38" i="124"/>
  <c r="R38" i="124"/>
  <c r="P38" i="124"/>
  <c r="O38" i="124"/>
  <c r="N38" i="124"/>
  <c r="M38" i="124"/>
  <c r="L38" i="124"/>
  <c r="K38" i="124"/>
  <c r="J38" i="124"/>
  <c r="H38" i="124"/>
  <c r="G38" i="124"/>
  <c r="F38" i="124"/>
  <c r="E38" i="124"/>
  <c r="D38" i="124"/>
  <c r="C38" i="124"/>
  <c r="B38" i="124"/>
  <c r="X37" i="124"/>
  <c r="W37" i="124"/>
  <c r="V37" i="124"/>
  <c r="U37" i="124"/>
  <c r="T37" i="124"/>
  <c r="S37" i="124"/>
  <c r="R37" i="124"/>
  <c r="P37" i="124"/>
  <c r="O37" i="124"/>
  <c r="N37" i="124"/>
  <c r="M37" i="124"/>
  <c r="L37" i="124"/>
  <c r="K37" i="124"/>
  <c r="J37" i="124"/>
  <c r="H37" i="124"/>
  <c r="G37" i="124"/>
  <c r="F37" i="124"/>
  <c r="E37" i="124"/>
  <c r="D37" i="124"/>
  <c r="C37" i="124"/>
  <c r="B37" i="124"/>
  <c r="X36" i="124"/>
  <c r="W36" i="124"/>
  <c r="V36" i="124"/>
  <c r="U36" i="124"/>
  <c r="T36" i="124"/>
  <c r="S36" i="124"/>
  <c r="R36" i="124"/>
  <c r="P36" i="124"/>
  <c r="O36" i="124"/>
  <c r="N36" i="124"/>
  <c r="M36" i="124"/>
  <c r="L36" i="124"/>
  <c r="K36" i="124"/>
  <c r="J36" i="124"/>
  <c r="H36" i="124"/>
  <c r="G36" i="124"/>
  <c r="F36" i="124"/>
  <c r="E36" i="124"/>
  <c r="D36" i="124"/>
  <c r="C36" i="124"/>
  <c r="B36" i="124"/>
  <c r="X35" i="124"/>
  <c r="W35" i="124"/>
  <c r="V35" i="124"/>
  <c r="U35" i="124"/>
  <c r="T35" i="124"/>
  <c r="S35" i="124"/>
  <c r="R35" i="124"/>
  <c r="P35" i="124"/>
  <c r="O35" i="124"/>
  <c r="N35" i="124"/>
  <c r="M35" i="124"/>
  <c r="L35" i="124"/>
  <c r="K35" i="124"/>
  <c r="J35" i="124"/>
  <c r="H35" i="124"/>
  <c r="G35" i="124"/>
  <c r="F35" i="124"/>
  <c r="E35" i="124"/>
  <c r="D35" i="124"/>
  <c r="C35" i="124"/>
  <c r="B35" i="124"/>
  <c r="X31" i="124"/>
  <c r="W31" i="124"/>
  <c r="V31" i="124"/>
  <c r="U31" i="124"/>
  <c r="T31" i="124"/>
  <c r="S31" i="124"/>
  <c r="R31" i="124"/>
  <c r="P31" i="124"/>
  <c r="O31" i="124"/>
  <c r="N31" i="124"/>
  <c r="M31" i="124"/>
  <c r="L31" i="124"/>
  <c r="K31" i="124"/>
  <c r="J31" i="124"/>
  <c r="H31" i="124"/>
  <c r="G31" i="124"/>
  <c r="F31" i="124"/>
  <c r="E31" i="124"/>
  <c r="D31" i="124"/>
  <c r="C31" i="124"/>
  <c r="B31" i="124"/>
  <c r="X30" i="124"/>
  <c r="W30" i="124"/>
  <c r="V30" i="124"/>
  <c r="U30" i="124"/>
  <c r="T30" i="124"/>
  <c r="S30" i="124"/>
  <c r="R30" i="124"/>
  <c r="P30" i="124"/>
  <c r="O30" i="124"/>
  <c r="N30" i="124"/>
  <c r="M30" i="124"/>
  <c r="L30" i="124"/>
  <c r="K30" i="124"/>
  <c r="J30" i="124"/>
  <c r="H30" i="124"/>
  <c r="G30" i="124"/>
  <c r="F30" i="124"/>
  <c r="E30" i="124"/>
  <c r="D30" i="124"/>
  <c r="C30" i="124"/>
  <c r="B30" i="124"/>
  <c r="X29" i="124"/>
  <c r="W29" i="124"/>
  <c r="V29" i="124"/>
  <c r="U29" i="124"/>
  <c r="T29" i="124"/>
  <c r="S29" i="124"/>
  <c r="R29" i="124"/>
  <c r="P29" i="124"/>
  <c r="O29" i="124"/>
  <c r="N29" i="124"/>
  <c r="M29" i="124"/>
  <c r="L29" i="124"/>
  <c r="K29" i="124"/>
  <c r="J29" i="124"/>
  <c r="H29" i="124"/>
  <c r="G29" i="124"/>
  <c r="F29" i="124"/>
  <c r="E29" i="124"/>
  <c r="D29" i="124"/>
  <c r="C29" i="124"/>
  <c r="B29" i="124"/>
  <c r="X28" i="124"/>
  <c r="W28" i="124"/>
  <c r="V28" i="124"/>
  <c r="U28" i="124"/>
  <c r="T28" i="124"/>
  <c r="S28" i="124"/>
  <c r="R28" i="124"/>
  <c r="P28" i="124"/>
  <c r="O28" i="124"/>
  <c r="N28" i="124"/>
  <c r="M28" i="124"/>
  <c r="L28" i="124"/>
  <c r="K28" i="124"/>
  <c r="J28" i="124"/>
  <c r="H28" i="124"/>
  <c r="G28" i="124"/>
  <c r="F28" i="124"/>
  <c r="E28" i="124"/>
  <c r="D28" i="124"/>
  <c r="C28" i="124"/>
  <c r="B28" i="124"/>
  <c r="X27" i="124"/>
  <c r="W27" i="124"/>
  <c r="V27" i="124"/>
  <c r="U27" i="124"/>
  <c r="T27" i="124"/>
  <c r="S27" i="124"/>
  <c r="R27" i="124"/>
  <c r="P27" i="124"/>
  <c r="O27" i="124"/>
  <c r="N27" i="124"/>
  <c r="M27" i="124"/>
  <c r="L27" i="124"/>
  <c r="K27" i="124"/>
  <c r="J27" i="124"/>
  <c r="H27" i="124"/>
  <c r="G27" i="124"/>
  <c r="F27" i="124"/>
  <c r="E27" i="124"/>
  <c r="D27" i="124"/>
  <c r="C27" i="124"/>
  <c r="B27" i="124"/>
  <c r="X26" i="124"/>
  <c r="W26" i="124"/>
  <c r="V26" i="124"/>
  <c r="U26" i="124"/>
  <c r="T26" i="124"/>
  <c r="S26" i="124"/>
  <c r="R26" i="124"/>
  <c r="P26" i="124"/>
  <c r="O26" i="124"/>
  <c r="N26" i="124"/>
  <c r="M26" i="124"/>
  <c r="L26" i="124"/>
  <c r="K26" i="124"/>
  <c r="J26" i="124"/>
  <c r="H26" i="124"/>
  <c r="G26" i="124"/>
  <c r="F26" i="124"/>
  <c r="E26" i="124"/>
  <c r="D26" i="124"/>
  <c r="C26" i="124"/>
  <c r="B26" i="124"/>
  <c r="X22" i="124"/>
  <c r="W22" i="124"/>
  <c r="V22" i="124"/>
  <c r="U22" i="124"/>
  <c r="T22" i="124"/>
  <c r="S22" i="124"/>
  <c r="R22" i="124"/>
  <c r="P22" i="124"/>
  <c r="O22" i="124"/>
  <c r="N22" i="124"/>
  <c r="M22" i="124"/>
  <c r="L22" i="124"/>
  <c r="K22" i="124"/>
  <c r="J22" i="124"/>
  <c r="H22" i="124"/>
  <c r="G22" i="124"/>
  <c r="F22" i="124"/>
  <c r="E22" i="124"/>
  <c r="D22" i="124"/>
  <c r="C22" i="124"/>
  <c r="B22" i="124"/>
  <c r="X21" i="124"/>
  <c r="W21" i="124"/>
  <c r="V21" i="124"/>
  <c r="U21" i="124"/>
  <c r="T21" i="124"/>
  <c r="S21" i="124"/>
  <c r="R21" i="124"/>
  <c r="P21" i="124"/>
  <c r="O21" i="124"/>
  <c r="N21" i="124"/>
  <c r="M21" i="124"/>
  <c r="L21" i="124"/>
  <c r="K21" i="124"/>
  <c r="J21" i="124"/>
  <c r="H21" i="124"/>
  <c r="G21" i="124"/>
  <c r="F21" i="124"/>
  <c r="E21" i="124"/>
  <c r="D21" i="124"/>
  <c r="C21" i="124"/>
  <c r="B21" i="124"/>
  <c r="X20" i="124"/>
  <c r="W20" i="124"/>
  <c r="V20" i="124"/>
  <c r="U20" i="124"/>
  <c r="T20" i="124"/>
  <c r="S20" i="124"/>
  <c r="R20" i="124"/>
  <c r="P20" i="124"/>
  <c r="O20" i="124"/>
  <c r="N20" i="124"/>
  <c r="M20" i="124"/>
  <c r="L20" i="124"/>
  <c r="K20" i="124"/>
  <c r="J20" i="124"/>
  <c r="H20" i="124"/>
  <c r="G20" i="124"/>
  <c r="F20" i="124"/>
  <c r="E20" i="124"/>
  <c r="D20" i="124"/>
  <c r="C20" i="124"/>
  <c r="B20" i="124"/>
  <c r="X19" i="124"/>
  <c r="W19" i="124"/>
  <c r="V19" i="124"/>
  <c r="U19" i="124"/>
  <c r="T19" i="124"/>
  <c r="S19" i="124"/>
  <c r="R19" i="124"/>
  <c r="P19" i="124"/>
  <c r="O19" i="124"/>
  <c r="N19" i="124"/>
  <c r="M19" i="124"/>
  <c r="L19" i="124"/>
  <c r="K19" i="124"/>
  <c r="J19" i="124"/>
  <c r="H19" i="124"/>
  <c r="G19" i="124"/>
  <c r="F19" i="124"/>
  <c r="E19" i="124"/>
  <c r="D19" i="124"/>
  <c r="C19" i="124"/>
  <c r="B19" i="124"/>
  <c r="X18" i="124"/>
  <c r="W18" i="124"/>
  <c r="V18" i="124"/>
  <c r="U18" i="124"/>
  <c r="T18" i="124"/>
  <c r="S18" i="124"/>
  <c r="R18" i="124"/>
  <c r="P18" i="124"/>
  <c r="O18" i="124"/>
  <c r="N18" i="124"/>
  <c r="M18" i="124"/>
  <c r="L18" i="124"/>
  <c r="K18" i="124"/>
  <c r="J18" i="124"/>
  <c r="H18" i="124"/>
  <c r="G18" i="124"/>
  <c r="F18" i="124"/>
  <c r="E18" i="124"/>
  <c r="D18" i="124"/>
  <c r="C18" i="124"/>
  <c r="B18" i="124"/>
  <c r="X17" i="124"/>
  <c r="W17" i="124"/>
  <c r="V17" i="124"/>
  <c r="U17" i="124"/>
  <c r="T17" i="124"/>
  <c r="S17" i="124"/>
  <c r="R17" i="124"/>
  <c r="P17" i="124"/>
  <c r="O17" i="124"/>
  <c r="N17" i="124"/>
  <c r="M17" i="124"/>
  <c r="L17" i="124"/>
  <c r="K17" i="124"/>
  <c r="J17" i="124"/>
  <c r="H17" i="124"/>
  <c r="G17" i="124"/>
  <c r="F17" i="124"/>
  <c r="E17" i="124"/>
  <c r="D17" i="124"/>
  <c r="C17" i="124"/>
  <c r="B17" i="124"/>
  <c r="X13" i="124"/>
  <c r="W13" i="124"/>
  <c r="V13" i="124"/>
  <c r="U13" i="124"/>
  <c r="T13" i="124"/>
  <c r="S13" i="124"/>
  <c r="R13" i="124"/>
  <c r="P13" i="124"/>
  <c r="O13" i="124"/>
  <c r="N13" i="124"/>
  <c r="M13" i="124"/>
  <c r="L13" i="124"/>
  <c r="K13" i="124"/>
  <c r="J13" i="124"/>
  <c r="H13" i="124"/>
  <c r="G13" i="124"/>
  <c r="F13" i="124"/>
  <c r="E13" i="124"/>
  <c r="D13" i="124"/>
  <c r="C13" i="124"/>
  <c r="B13" i="124"/>
  <c r="X12" i="124"/>
  <c r="W12" i="124"/>
  <c r="V12" i="124"/>
  <c r="U12" i="124"/>
  <c r="T12" i="124"/>
  <c r="S12" i="124"/>
  <c r="R12" i="124"/>
  <c r="P12" i="124"/>
  <c r="O12" i="124"/>
  <c r="N12" i="124"/>
  <c r="M12" i="124"/>
  <c r="L12" i="124"/>
  <c r="K12" i="124"/>
  <c r="J12" i="124"/>
  <c r="H12" i="124"/>
  <c r="G12" i="124"/>
  <c r="F12" i="124"/>
  <c r="E12" i="124"/>
  <c r="D12" i="124"/>
  <c r="C12" i="124"/>
  <c r="B12" i="124"/>
  <c r="X11" i="124"/>
  <c r="W11" i="124"/>
  <c r="V11" i="124"/>
  <c r="U11" i="124"/>
  <c r="T11" i="124"/>
  <c r="S11" i="124"/>
  <c r="R11" i="124"/>
  <c r="P11" i="124"/>
  <c r="O11" i="124"/>
  <c r="N11" i="124"/>
  <c r="M11" i="124"/>
  <c r="L11" i="124"/>
  <c r="K11" i="124"/>
  <c r="J11" i="124"/>
  <c r="H11" i="124"/>
  <c r="G11" i="124"/>
  <c r="F11" i="124"/>
  <c r="E11" i="124"/>
  <c r="D11" i="124"/>
  <c r="C11" i="124"/>
  <c r="B11" i="124"/>
  <c r="X10" i="124"/>
  <c r="W10" i="124"/>
  <c r="V10" i="124"/>
  <c r="U10" i="124"/>
  <c r="T10" i="124"/>
  <c r="S10" i="124"/>
  <c r="R10" i="124"/>
  <c r="P10" i="124"/>
  <c r="O10" i="124"/>
  <c r="N10" i="124"/>
  <c r="M10" i="124"/>
  <c r="L10" i="124"/>
  <c r="K10" i="124"/>
  <c r="J10" i="124"/>
  <c r="H10" i="124"/>
  <c r="G10" i="124"/>
  <c r="F10" i="124"/>
  <c r="E10" i="124"/>
  <c r="D10" i="124"/>
  <c r="C10" i="124"/>
  <c r="B10" i="124"/>
  <c r="X9" i="124"/>
  <c r="W9" i="124"/>
  <c r="V9" i="124"/>
  <c r="U9" i="124"/>
  <c r="T9" i="124"/>
  <c r="S9" i="124"/>
  <c r="R9" i="124"/>
  <c r="P9" i="124"/>
  <c r="O9" i="124"/>
  <c r="N9" i="124"/>
  <c r="M9" i="124"/>
  <c r="L9" i="124"/>
  <c r="K9" i="124"/>
  <c r="J9" i="124"/>
  <c r="H9" i="124"/>
  <c r="G9" i="124"/>
  <c r="F9" i="124"/>
  <c r="E9" i="124"/>
  <c r="D9" i="124"/>
  <c r="C9" i="124"/>
  <c r="B9" i="124"/>
  <c r="X8" i="124"/>
  <c r="W8" i="124"/>
  <c r="V8" i="124"/>
  <c r="U8" i="124"/>
  <c r="T8" i="124"/>
  <c r="S8" i="124"/>
  <c r="R8" i="124"/>
  <c r="P8" i="124"/>
  <c r="O8" i="124"/>
  <c r="N8" i="124"/>
  <c r="M8" i="124"/>
  <c r="L8" i="124"/>
  <c r="K8" i="124"/>
  <c r="J8" i="124"/>
  <c r="H8" i="124"/>
  <c r="G8" i="124"/>
  <c r="F8" i="124"/>
  <c r="E8" i="124"/>
  <c r="D8" i="124"/>
  <c r="C8" i="124"/>
  <c r="B8" i="124"/>
  <c r="X40" i="123"/>
  <c r="W40" i="123"/>
  <c r="V40" i="123"/>
  <c r="U40" i="123"/>
  <c r="T40" i="123"/>
  <c r="S40" i="123"/>
  <c r="R40" i="123"/>
  <c r="P40" i="123"/>
  <c r="O40" i="123"/>
  <c r="N40" i="123"/>
  <c r="M40" i="123"/>
  <c r="L40" i="123"/>
  <c r="K40" i="123"/>
  <c r="J40" i="123"/>
  <c r="H40" i="123"/>
  <c r="G40" i="123"/>
  <c r="F40" i="123"/>
  <c r="E40" i="123"/>
  <c r="D40" i="123"/>
  <c r="C40" i="123"/>
  <c r="B40" i="123"/>
  <c r="X39" i="123"/>
  <c r="W39" i="123"/>
  <c r="V39" i="123"/>
  <c r="U39" i="123"/>
  <c r="T39" i="123"/>
  <c r="S39" i="123"/>
  <c r="R39" i="123"/>
  <c r="P39" i="123"/>
  <c r="O39" i="123"/>
  <c r="N39" i="123"/>
  <c r="M39" i="123"/>
  <c r="L39" i="123"/>
  <c r="K39" i="123"/>
  <c r="J39" i="123"/>
  <c r="H39" i="123"/>
  <c r="G39" i="123"/>
  <c r="F39" i="123"/>
  <c r="E39" i="123"/>
  <c r="D39" i="123"/>
  <c r="C39" i="123"/>
  <c r="B39" i="123"/>
  <c r="X38" i="123"/>
  <c r="W38" i="123"/>
  <c r="V38" i="123"/>
  <c r="U38" i="123"/>
  <c r="T38" i="123"/>
  <c r="S38" i="123"/>
  <c r="R38" i="123"/>
  <c r="P38" i="123"/>
  <c r="O38" i="123"/>
  <c r="N38" i="123"/>
  <c r="M38" i="123"/>
  <c r="L38" i="123"/>
  <c r="K38" i="123"/>
  <c r="J38" i="123"/>
  <c r="H38" i="123"/>
  <c r="G38" i="123"/>
  <c r="F38" i="123"/>
  <c r="E38" i="123"/>
  <c r="D38" i="123"/>
  <c r="C38" i="123"/>
  <c r="B38" i="123"/>
  <c r="X37" i="123"/>
  <c r="W37" i="123"/>
  <c r="V37" i="123"/>
  <c r="U37" i="123"/>
  <c r="T37" i="123"/>
  <c r="S37" i="123"/>
  <c r="R37" i="123"/>
  <c r="P37" i="123"/>
  <c r="O37" i="123"/>
  <c r="N37" i="123"/>
  <c r="M37" i="123"/>
  <c r="L37" i="123"/>
  <c r="K37" i="123"/>
  <c r="J37" i="123"/>
  <c r="H37" i="123"/>
  <c r="G37" i="123"/>
  <c r="F37" i="123"/>
  <c r="E37" i="123"/>
  <c r="D37" i="123"/>
  <c r="C37" i="123"/>
  <c r="B37" i="123"/>
  <c r="X36" i="123"/>
  <c r="W36" i="123"/>
  <c r="V36" i="123"/>
  <c r="U36" i="123"/>
  <c r="T36" i="123"/>
  <c r="S36" i="123"/>
  <c r="R36" i="123"/>
  <c r="P36" i="123"/>
  <c r="O36" i="123"/>
  <c r="N36" i="123"/>
  <c r="M36" i="123"/>
  <c r="L36" i="123"/>
  <c r="K36" i="123"/>
  <c r="J36" i="123"/>
  <c r="H36" i="123"/>
  <c r="G36" i="123"/>
  <c r="F36" i="123"/>
  <c r="E36" i="123"/>
  <c r="D36" i="123"/>
  <c r="C36" i="123"/>
  <c r="B36" i="123"/>
  <c r="X35" i="123"/>
  <c r="W35" i="123"/>
  <c r="V35" i="123"/>
  <c r="U35" i="123"/>
  <c r="T35" i="123"/>
  <c r="S35" i="123"/>
  <c r="R35" i="123"/>
  <c r="P35" i="123"/>
  <c r="O35" i="123"/>
  <c r="N35" i="123"/>
  <c r="M35" i="123"/>
  <c r="L35" i="123"/>
  <c r="K35" i="123"/>
  <c r="J35" i="123"/>
  <c r="H35" i="123"/>
  <c r="G35" i="123"/>
  <c r="F35" i="123"/>
  <c r="E35" i="123"/>
  <c r="D35" i="123"/>
  <c r="C35" i="123"/>
  <c r="B35" i="123"/>
  <c r="X31" i="123"/>
  <c r="W31" i="123"/>
  <c r="V31" i="123"/>
  <c r="U31" i="123"/>
  <c r="T31" i="123"/>
  <c r="S31" i="123"/>
  <c r="R31" i="123"/>
  <c r="P31" i="123"/>
  <c r="O31" i="123"/>
  <c r="N31" i="123"/>
  <c r="M31" i="123"/>
  <c r="L31" i="123"/>
  <c r="K31" i="123"/>
  <c r="J31" i="123"/>
  <c r="H31" i="123"/>
  <c r="G31" i="123"/>
  <c r="F31" i="123"/>
  <c r="E31" i="123"/>
  <c r="D31" i="123"/>
  <c r="C31" i="123"/>
  <c r="B31" i="123"/>
  <c r="X30" i="123"/>
  <c r="W30" i="123"/>
  <c r="V30" i="123"/>
  <c r="U30" i="123"/>
  <c r="T30" i="123"/>
  <c r="S30" i="123"/>
  <c r="R30" i="123"/>
  <c r="P30" i="123"/>
  <c r="O30" i="123"/>
  <c r="N30" i="123"/>
  <c r="M30" i="123"/>
  <c r="L30" i="123"/>
  <c r="K30" i="123"/>
  <c r="J30" i="123"/>
  <c r="H30" i="123"/>
  <c r="G30" i="123"/>
  <c r="F30" i="123"/>
  <c r="E30" i="123"/>
  <c r="D30" i="123"/>
  <c r="C30" i="123"/>
  <c r="B30" i="123"/>
  <c r="X29" i="123"/>
  <c r="W29" i="123"/>
  <c r="V29" i="123"/>
  <c r="U29" i="123"/>
  <c r="T29" i="123"/>
  <c r="S29" i="123"/>
  <c r="R29" i="123"/>
  <c r="P29" i="123"/>
  <c r="O29" i="123"/>
  <c r="N29" i="123"/>
  <c r="M29" i="123"/>
  <c r="L29" i="123"/>
  <c r="K29" i="123"/>
  <c r="J29" i="123"/>
  <c r="H29" i="123"/>
  <c r="G29" i="123"/>
  <c r="F29" i="123"/>
  <c r="E29" i="123"/>
  <c r="D29" i="123"/>
  <c r="C29" i="123"/>
  <c r="B29" i="123"/>
  <c r="X28" i="123"/>
  <c r="W28" i="123"/>
  <c r="V28" i="123"/>
  <c r="U28" i="123"/>
  <c r="T28" i="123"/>
  <c r="S28" i="123"/>
  <c r="R28" i="123"/>
  <c r="P28" i="123"/>
  <c r="O28" i="123"/>
  <c r="N28" i="123"/>
  <c r="M28" i="123"/>
  <c r="L28" i="123"/>
  <c r="K28" i="123"/>
  <c r="J28" i="123"/>
  <c r="H28" i="123"/>
  <c r="G28" i="123"/>
  <c r="F28" i="123"/>
  <c r="E28" i="123"/>
  <c r="D28" i="123"/>
  <c r="C28" i="123"/>
  <c r="B28" i="123"/>
  <c r="X27" i="123"/>
  <c r="W27" i="123"/>
  <c r="V27" i="123"/>
  <c r="U27" i="123"/>
  <c r="T27" i="123"/>
  <c r="S27" i="123"/>
  <c r="R27" i="123"/>
  <c r="P27" i="123"/>
  <c r="O27" i="123"/>
  <c r="N27" i="123"/>
  <c r="M27" i="123"/>
  <c r="L27" i="123"/>
  <c r="K27" i="123"/>
  <c r="J27" i="123"/>
  <c r="H27" i="123"/>
  <c r="G27" i="123"/>
  <c r="F27" i="123"/>
  <c r="E27" i="123"/>
  <c r="D27" i="123"/>
  <c r="C27" i="123"/>
  <c r="B27" i="123"/>
  <c r="X26" i="123"/>
  <c r="W26" i="123"/>
  <c r="V26" i="123"/>
  <c r="U26" i="123"/>
  <c r="T26" i="123"/>
  <c r="S26" i="123"/>
  <c r="R26" i="123"/>
  <c r="P26" i="123"/>
  <c r="O26" i="123"/>
  <c r="N26" i="123"/>
  <c r="M26" i="123"/>
  <c r="L26" i="123"/>
  <c r="K26" i="123"/>
  <c r="J26" i="123"/>
  <c r="H26" i="123"/>
  <c r="G26" i="123"/>
  <c r="F26" i="123"/>
  <c r="E26" i="123"/>
  <c r="D26" i="123"/>
  <c r="C26" i="123"/>
  <c r="B26" i="123"/>
  <c r="X22" i="123"/>
  <c r="W22" i="123"/>
  <c r="V22" i="123"/>
  <c r="U22" i="123"/>
  <c r="T22" i="123"/>
  <c r="S22" i="123"/>
  <c r="R22" i="123"/>
  <c r="P22" i="123"/>
  <c r="O22" i="123"/>
  <c r="N22" i="123"/>
  <c r="M22" i="123"/>
  <c r="L22" i="123"/>
  <c r="K22" i="123"/>
  <c r="J22" i="123"/>
  <c r="H22" i="123"/>
  <c r="G22" i="123"/>
  <c r="F22" i="123"/>
  <c r="E22" i="123"/>
  <c r="D22" i="123"/>
  <c r="C22" i="123"/>
  <c r="B22" i="123"/>
  <c r="X21" i="123"/>
  <c r="W21" i="123"/>
  <c r="V21" i="123"/>
  <c r="U21" i="123"/>
  <c r="T21" i="123"/>
  <c r="S21" i="123"/>
  <c r="R21" i="123"/>
  <c r="P21" i="123"/>
  <c r="O21" i="123"/>
  <c r="N21" i="123"/>
  <c r="M21" i="123"/>
  <c r="L21" i="123"/>
  <c r="K21" i="123"/>
  <c r="J21" i="123"/>
  <c r="H21" i="123"/>
  <c r="G21" i="123"/>
  <c r="F21" i="123"/>
  <c r="E21" i="123"/>
  <c r="D21" i="123"/>
  <c r="C21" i="123"/>
  <c r="B21" i="123"/>
  <c r="X20" i="123"/>
  <c r="W20" i="123"/>
  <c r="V20" i="123"/>
  <c r="U20" i="123"/>
  <c r="T20" i="123"/>
  <c r="S20" i="123"/>
  <c r="R20" i="123"/>
  <c r="P20" i="123"/>
  <c r="O20" i="123"/>
  <c r="N20" i="123"/>
  <c r="M20" i="123"/>
  <c r="L20" i="123"/>
  <c r="K20" i="123"/>
  <c r="J20" i="123"/>
  <c r="H20" i="123"/>
  <c r="G20" i="123"/>
  <c r="F20" i="123"/>
  <c r="E20" i="123"/>
  <c r="D20" i="123"/>
  <c r="C20" i="123"/>
  <c r="B20" i="123"/>
  <c r="X19" i="123"/>
  <c r="W19" i="123"/>
  <c r="V19" i="123"/>
  <c r="U19" i="123"/>
  <c r="T19" i="123"/>
  <c r="S19" i="123"/>
  <c r="R19" i="123"/>
  <c r="P19" i="123"/>
  <c r="O19" i="123"/>
  <c r="N19" i="123"/>
  <c r="M19" i="123"/>
  <c r="L19" i="123"/>
  <c r="K19" i="123"/>
  <c r="J19" i="123"/>
  <c r="H19" i="123"/>
  <c r="G19" i="123"/>
  <c r="F19" i="123"/>
  <c r="E19" i="123"/>
  <c r="D19" i="123"/>
  <c r="C19" i="123"/>
  <c r="B19" i="123"/>
  <c r="X18" i="123"/>
  <c r="W18" i="123"/>
  <c r="V18" i="123"/>
  <c r="U18" i="123"/>
  <c r="T18" i="123"/>
  <c r="S18" i="123"/>
  <c r="R18" i="123"/>
  <c r="P18" i="123"/>
  <c r="O18" i="123"/>
  <c r="N18" i="123"/>
  <c r="M18" i="123"/>
  <c r="L18" i="123"/>
  <c r="K18" i="123"/>
  <c r="J18" i="123"/>
  <c r="H18" i="123"/>
  <c r="G18" i="123"/>
  <c r="F18" i="123"/>
  <c r="E18" i="123"/>
  <c r="D18" i="123"/>
  <c r="C18" i="123"/>
  <c r="B18" i="123"/>
  <c r="X17" i="123"/>
  <c r="W17" i="123"/>
  <c r="V17" i="123"/>
  <c r="U17" i="123"/>
  <c r="T17" i="123"/>
  <c r="S17" i="123"/>
  <c r="R17" i="123"/>
  <c r="P17" i="123"/>
  <c r="O17" i="123"/>
  <c r="N17" i="123"/>
  <c r="M17" i="123"/>
  <c r="L17" i="123"/>
  <c r="K17" i="123"/>
  <c r="J17" i="123"/>
  <c r="H17" i="123"/>
  <c r="G17" i="123"/>
  <c r="F17" i="123"/>
  <c r="E17" i="123"/>
  <c r="D17" i="123"/>
  <c r="C17" i="123"/>
  <c r="B17" i="123"/>
  <c r="X13" i="123"/>
  <c r="W13" i="123"/>
  <c r="V13" i="123"/>
  <c r="U13" i="123"/>
  <c r="T13" i="123"/>
  <c r="S13" i="123"/>
  <c r="R13" i="123"/>
  <c r="P13" i="123"/>
  <c r="O13" i="123"/>
  <c r="N13" i="123"/>
  <c r="M13" i="123"/>
  <c r="L13" i="123"/>
  <c r="K13" i="123"/>
  <c r="J13" i="123"/>
  <c r="H13" i="123"/>
  <c r="G13" i="123"/>
  <c r="F13" i="123"/>
  <c r="E13" i="123"/>
  <c r="D13" i="123"/>
  <c r="C13" i="123"/>
  <c r="B13" i="123"/>
  <c r="X12" i="123"/>
  <c r="W12" i="123"/>
  <c r="V12" i="123"/>
  <c r="U12" i="123"/>
  <c r="T12" i="123"/>
  <c r="S12" i="123"/>
  <c r="R12" i="123"/>
  <c r="P12" i="123"/>
  <c r="O12" i="123"/>
  <c r="N12" i="123"/>
  <c r="M12" i="123"/>
  <c r="L12" i="123"/>
  <c r="K12" i="123"/>
  <c r="J12" i="123"/>
  <c r="H12" i="123"/>
  <c r="G12" i="123"/>
  <c r="F12" i="123"/>
  <c r="E12" i="123"/>
  <c r="D12" i="123"/>
  <c r="C12" i="123"/>
  <c r="B12" i="123"/>
  <c r="X11" i="123"/>
  <c r="W11" i="123"/>
  <c r="V11" i="123"/>
  <c r="U11" i="123"/>
  <c r="T11" i="123"/>
  <c r="S11" i="123"/>
  <c r="R11" i="123"/>
  <c r="P11" i="123"/>
  <c r="O11" i="123"/>
  <c r="N11" i="123"/>
  <c r="M11" i="123"/>
  <c r="L11" i="123"/>
  <c r="K11" i="123"/>
  <c r="J11" i="123"/>
  <c r="H11" i="123"/>
  <c r="G11" i="123"/>
  <c r="F11" i="123"/>
  <c r="E11" i="123"/>
  <c r="D11" i="123"/>
  <c r="C11" i="123"/>
  <c r="B11" i="123"/>
  <c r="X10" i="123"/>
  <c r="W10" i="123"/>
  <c r="V10" i="123"/>
  <c r="U10" i="123"/>
  <c r="T10" i="123"/>
  <c r="S10" i="123"/>
  <c r="R10" i="123"/>
  <c r="P10" i="123"/>
  <c r="O10" i="123"/>
  <c r="N10" i="123"/>
  <c r="M10" i="123"/>
  <c r="L10" i="123"/>
  <c r="K10" i="123"/>
  <c r="J10" i="123"/>
  <c r="H10" i="123"/>
  <c r="G10" i="123"/>
  <c r="F10" i="123"/>
  <c r="E10" i="123"/>
  <c r="D10" i="123"/>
  <c r="C10" i="123"/>
  <c r="B10" i="123"/>
  <c r="X9" i="123"/>
  <c r="W9" i="123"/>
  <c r="V9" i="123"/>
  <c r="U9" i="123"/>
  <c r="T9" i="123"/>
  <c r="S9" i="123"/>
  <c r="R9" i="123"/>
  <c r="P9" i="123"/>
  <c r="O9" i="123"/>
  <c r="N9" i="123"/>
  <c r="M9" i="123"/>
  <c r="L9" i="123"/>
  <c r="K9" i="123"/>
  <c r="J9" i="123"/>
  <c r="H9" i="123"/>
  <c r="G9" i="123"/>
  <c r="F9" i="123"/>
  <c r="E9" i="123"/>
  <c r="D9" i="123"/>
  <c r="C9" i="123"/>
  <c r="B9" i="123"/>
  <c r="X8" i="123"/>
  <c r="W8" i="123"/>
  <c r="V8" i="123"/>
  <c r="U8" i="123"/>
  <c r="T8" i="123"/>
  <c r="S8" i="123"/>
  <c r="R8" i="123"/>
  <c r="P8" i="123"/>
  <c r="O8" i="123"/>
  <c r="N8" i="123"/>
  <c r="M8" i="123"/>
  <c r="L8" i="123"/>
  <c r="K8" i="123"/>
  <c r="J8" i="123"/>
  <c r="H8" i="123"/>
  <c r="G8" i="123"/>
  <c r="F8" i="123"/>
  <c r="E8" i="123"/>
  <c r="D8" i="123"/>
  <c r="C8" i="123"/>
  <c r="B8" i="123"/>
  <c r="X40" i="122"/>
  <c r="W40" i="122"/>
  <c r="V40" i="122"/>
  <c r="U40" i="122"/>
  <c r="T40" i="122"/>
  <c r="S40" i="122"/>
  <c r="R40" i="122"/>
  <c r="P40" i="122"/>
  <c r="O40" i="122"/>
  <c r="N40" i="122"/>
  <c r="M40" i="122"/>
  <c r="L40" i="122"/>
  <c r="K40" i="122"/>
  <c r="J40" i="122"/>
  <c r="H40" i="122"/>
  <c r="G40" i="122"/>
  <c r="F40" i="122"/>
  <c r="E40" i="122"/>
  <c r="D40" i="122"/>
  <c r="C40" i="122"/>
  <c r="B40" i="122"/>
  <c r="X39" i="122"/>
  <c r="W39" i="122"/>
  <c r="V39" i="122"/>
  <c r="U39" i="122"/>
  <c r="T39" i="122"/>
  <c r="S39" i="122"/>
  <c r="R39" i="122"/>
  <c r="P39" i="122"/>
  <c r="O39" i="122"/>
  <c r="N39" i="122"/>
  <c r="M39" i="122"/>
  <c r="L39" i="122"/>
  <c r="K39" i="122"/>
  <c r="J39" i="122"/>
  <c r="H39" i="122"/>
  <c r="G39" i="122"/>
  <c r="F39" i="122"/>
  <c r="E39" i="122"/>
  <c r="D39" i="122"/>
  <c r="C39" i="122"/>
  <c r="B39" i="122"/>
  <c r="X38" i="122"/>
  <c r="W38" i="122"/>
  <c r="V38" i="122"/>
  <c r="U38" i="122"/>
  <c r="T38" i="122"/>
  <c r="S38" i="122"/>
  <c r="R38" i="122"/>
  <c r="P38" i="122"/>
  <c r="O38" i="122"/>
  <c r="N38" i="122"/>
  <c r="M38" i="122"/>
  <c r="L38" i="122"/>
  <c r="K38" i="122"/>
  <c r="J38" i="122"/>
  <c r="H38" i="122"/>
  <c r="G38" i="122"/>
  <c r="F38" i="122"/>
  <c r="E38" i="122"/>
  <c r="D38" i="122"/>
  <c r="C38" i="122"/>
  <c r="B38" i="122"/>
  <c r="X37" i="122"/>
  <c r="W37" i="122"/>
  <c r="V37" i="122"/>
  <c r="U37" i="122"/>
  <c r="T37" i="122"/>
  <c r="S37" i="122"/>
  <c r="R37" i="122"/>
  <c r="P37" i="122"/>
  <c r="O37" i="122"/>
  <c r="N37" i="122"/>
  <c r="M37" i="122"/>
  <c r="L37" i="122"/>
  <c r="K37" i="122"/>
  <c r="J37" i="122"/>
  <c r="H37" i="122"/>
  <c r="G37" i="122"/>
  <c r="F37" i="122"/>
  <c r="E37" i="122"/>
  <c r="D37" i="122"/>
  <c r="C37" i="122"/>
  <c r="B37" i="122"/>
  <c r="X36" i="122"/>
  <c r="W36" i="122"/>
  <c r="V36" i="122"/>
  <c r="U36" i="122"/>
  <c r="T36" i="122"/>
  <c r="S36" i="122"/>
  <c r="R36" i="122"/>
  <c r="P36" i="122"/>
  <c r="O36" i="122"/>
  <c r="N36" i="122"/>
  <c r="M36" i="122"/>
  <c r="L36" i="122"/>
  <c r="K36" i="122"/>
  <c r="J36" i="122"/>
  <c r="H36" i="122"/>
  <c r="G36" i="122"/>
  <c r="F36" i="122"/>
  <c r="E36" i="122"/>
  <c r="D36" i="122"/>
  <c r="C36" i="122"/>
  <c r="B36" i="122"/>
  <c r="X35" i="122"/>
  <c r="W35" i="122"/>
  <c r="V35" i="122"/>
  <c r="U35" i="122"/>
  <c r="T35" i="122"/>
  <c r="S35" i="122"/>
  <c r="R35" i="122"/>
  <c r="P35" i="122"/>
  <c r="O35" i="122"/>
  <c r="N35" i="122"/>
  <c r="M35" i="122"/>
  <c r="L35" i="122"/>
  <c r="K35" i="122"/>
  <c r="J35" i="122"/>
  <c r="H35" i="122"/>
  <c r="G35" i="122"/>
  <c r="F35" i="122"/>
  <c r="E35" i="122"/>
  <c r="D35" i="122"/>
  <c r="C35" i="122"/>
  <c r="B35" i="122"/>
  <c r="X31" i="122"/>
  <c r="W31" i="122"/>
  <c r="V31" i="122"/>
  <c r="U31" i="122"/>
  <c r="T31" i="122"/>
  <c r="S31" i="122"/>
  <c r="R31" i="122"/>
  <c r="P31" i="122"/>
  <c r="O31" i="122"/>
  <c r="N31" i="122"/>
  <c r="M31" i="122"/>
  <c r="L31" i="122"/>
  <c r="K31" i="122"/>
  <c r="J31" i="122"/>
  <c r="H31" i="122"/>
  <c r="G31" i="122"/>
  <c r="F31" i="122"/>
  <c r="E31" i="122"/>
  <c r="D31" i="122"/>
  <c r="C31" i="122"/>
  <c r="B31" i="122"/>
  <c r="X30" i="122"/>
  <c r="W30" i="122"/>
  <c r="V30" i="122"/>
  <c r="U30" i="122"/>
  <c r="T30" i="122"/>
  <c r="S30" i="122"/>
  <c r="R30" i="122"/>
  <c r="P30" i="122"/>
  <c r="O30" i="122"/>
  <c r="N30" i="122"/>
  <c r="M30" i="122"/>
  <c r="L30" i="122"/>
  <c r="K30" i="122"/>
  <c r="J30" i="122"/>
  <c r="H30" i="122"/>
  <c r="G30" i="122"/>
  <c r="F30" i="122"/>
  <c r="E30" i="122"/>
  <c r="D30" i="122"/>
  <c r="C30" i="122"/>
  <c r="B30" i="122"/>
  <c r="X29" i="122"/>
  <c r="W29" i="122"/>
  <c r="V29" i="122"/>
  <c r="U29" i="122"/>
  <c r="T29" i="122"/>
  <c r="S29" i="122"/>
  <c r="R29" i="122"/>
  <c r="P29" i="122"/>
  <c r="O29" i="122"/>
  <c r="N29" i="122"/>
  <c r="M29" i="122"/>
  <c r="L29" i="122"/>
  <c r="K29" i="122"/>
  <c r="J29" i="122"/>
  <c r="H29" i="122"/>
  <c r="G29" i="122"/>
  <c r="F29" i="122"/>
  <c r="E29" i="122"/>
  <c r="D29" i="122"/>
  <c r="C29" i="122"/>
  <c r="B29" i="122"/>
  <c r="X28" i="122"/>
  <c r="W28" i="122"/>
  <c r="V28" i="122"/>
  <c r="U28" i="122"/>
  <c r="T28" i="122"/>
  <c r="S28" i="122"/>
  <c r="R28" i="122"/>
  <c r="P28" i="122"/>
  <c r="O28" i="122"/>
  <c r="N28" i="122"/>
  <c r="M28" i="122"/>
  <c r="L28" i="122"/>
  <c r="K28" i="122"/>
  <c r="J28" i="122"/>
  <c r="H28" i="122"/>
  <c r="G28" i="122"/>
  <c r="F28" i="122"/>
  <c r="E28" i="122"/>
  <c r="D28" i="122"/>
  <c r="C28" i="122"/>
  <c r="B28" i="122"/>
  <c r="X27" i="122"/>
  <c r="W27" i="122"/>
  <c r="V27" i="122"/>
  <c r="U27" i="122"/>
  <c r="T27" i="122"/>
  <c r="S27" i="122"/>
  <c r="R27" i="122"/>
  <c r="P27" i="122"/>
  <c r="O27" i="122"/>
  <c r="N27" i="122"/>
  <c r="M27" i="122"/>
  <c r="L27" i="122"/>
  <c r="K27" i="122"/>
  <c r="J27" i="122"/>
  <c r="H27" i="122"/>
  <c r="G27" i="122"/>
  <c r="F27" i="122"/>
  <c r="E27" i="122"/>
  <c r="D27" i="122"/>
  <c r="C27" i="122"/>
  <c r="B27" i="122"/>
  <c r="X26" i="122"/>
  <c r="W26" i="122"/>
  <c r="V26" i="122"/>
  <c r="U26" i="122"/>
  <c r="T26" i="122"/>
  <c r="S26" i="122"/>
  <c r="R26" i="122"/>
  <c r="P26" i="122"/>
  <c r="O26" i="122"/>
  <c r="N26" i="122"/>
  <c r="M26" i="122"/>
  <c r="L26" i="122"/>
  <c r="K26" i="122"/>
  <c r="J26" i="122"/>
  <c r="H26" i="122"/>
  <c r="G26" i="122"/>
  <c r="F26" i="122"/>
  <c r="E26" i="122"/>
  <c r="D26" i="122"/>
  <c r="C26" i="122"/>
  <c r="B26" i="122"/>
  <c r="X22" i="122"/>
  <c r="W22" i="122"/>
  <c r="V22" i="122"/>
  <c r="U22" i="122"/>
  <c r="T22" i="122"/>
  <c r="S22" i="122"/>
  <c r="R22" i="122"/>
  <c r="P22" i="122"/>
  <c r="O22" i="122"/>
  <c r="N22" i="122"/>
  <c r="M22" i="122"/>
  <c r="L22" i="122"/>
  <c r="K22" i="122"/>
  <c r="J22" i="122"/>
  <c r="H22" i="122"/>
  <c r="G22" i="122"/>
  <c r="F22" i="122"/>
  <c r="E22" i="122"/>
  <c r="D22" i="122"/>
  <c r="C22" i="122"/>
  <c r="B22" i="122"/>
  <c r="X21" i="122"/>
  <c r="W21" i="122"/>
  <c r="V21" i="122"/>
  <c r="U21" i="122"/>
  <c r="T21" i="122"/>
  <c r="S21" i="122"/>
  <c r="R21" i="122"/>
  <c r="P21" i="122"/>
  <c r="O21" i="122"/>
  <c r="N21" i="122"/>
  <c r="M21" i="122"/>
  <c r="L21" i="122"/>
  <c r="K21" i="122"/>
  <c r="J21" i="122"/>
  <c r="H21" i="122"/>
  <c r="G21" i="122"/>
  <c r="F21" i="122"/>
  <c r="E21" i="122"/>
  <c r="D21" i="122"/>
  <c r="C21" i="122"/>
  <c r="B21" i="122"/>
  <c r="X20" i="122"/>
  <c r="W20" i="122"/>
  <c r="V20" i="122"/>
  <c r="U20" i="122"/>
  <c r="T20" i="122"/>
  <c r="S20" i="122"/>
  <c r="R20" i="122"/>
  <c r="P20" i="122"/>
  <c r="O20" i="122"/>
  <c r="N20" i="122"/>
  <c r="M20" i="122"/>
  <c r="L20" i="122"/>
  <c r="K20" i="122"/>
  <c r="J20" i="122"/>
  <c r="H20" i="122"/>
  <c r="G20" i="122"/>
  <c r="F20" i="122"/>
  <c r="E20" i="122"/>
  <c r="D20" i="122"/>
  <c r="C20" i="122"/>
  <c r="B20" i="122"/>
  <c r="X19" i="122"/>
  <c r="W19" i="122"/>
  <c r="V19" i="122"/>
  <c r="U19" i="122"/>
  <c r="T19" i="122"/>
  <c r="S19" i="122"/>
  <c r="R19" i="122"/>
  <c r="P19" i="122"/>
  <c r="O19" i="122"/>
  <c r="N19" i="122"/>
  <c r="M19" i="122"/>
  <c r="L19" i="122"/>
  <c r="K19" i="122"/>
  <c r="J19" i="122"/>
  <c r="H19" i="122"/>
  <c r="G19" i="122"/>
  <c r="F19" i="122"/>
  <c r="E19" i="122"/>
  <c r="D19" i="122"/>
  <c r="C19" i="122"/>
  <c r="B19" i="122"/>
  <c r="X18" i="122"/>
  <c r="W18" i="122"/>
  <c r="V18" i="122"/>
  <c r="U18" i="122"/>
  <c r="T18" i="122"/>
  <c r="S18" i="122"/>
  <c r="R18" i="122"/>
  <c r="P18" i="122"/>
  <c r="O18" i="122"/>
  <c r="N18" i="122"/>
  <c r="M18" i="122"/>
  <c r="L18" i="122"/>
  <c r="K18" i="122"/>
  <c r="J18" i="122"/>
  <c r="H18" i="122"/>
  <c r="G18" i="122"/>
  <c r="F18" i="122"/>
  <c r="E18" i="122"/>
  <c r="D18" i="122"/>
  <c r="C18" i="122"/>
  <c r="B18" i="122"/>
  <c r="X17" i="122"/>
  <c r="W17" i="122"/>
  <c r="V17" i="122"/>
  <c r="U17" i="122"/>
  <c r="T17" i="122"/>
  <c r="S17" i="122"/>
  <c r="R17" i="122"/>
  <c r="P17" i="122"/>
  <c r="O17" i="122"/>
  <c r="N17" i="122"/>
  <c r="M17" i="122"/>
  <c r="L17" i="122"/>
  <c r="K17" i="122"/>
  <c r="J17" i="122"/>
  <c r="H17" i="122"/>
  <c r="G17" i="122"/>
  <c r="F17" i="122"/>
  <c r="E17" i="122"/>
  <c r="D17" i="122"/>
  <c r="C17" i="122"/>
  <c r="B17" i="122"/>
  <c r="X13" i="122"/>
  <c r="W13" i="122"/>
  <c r="V13" i="122"/>
  <c r="U13" i="122"/>
  <c r="T13" i="122"/>
  <c r="S13" i="122"/>
  <c r="R13" i="122"/>
  <c r="P13" i="122"/>
  <c r="O13" i="122"/>
  <c r="N13" i="122"/>
  <c r="M13" i="122"/>
  <c r="L13" i="122"/>
  <c r="K13" i="122"/>
  <c r="J13" i="122"/>
  <c r="H13" i="122"/>
  <c r="G13" i="122"/>
  <c r="F13" i="122"/>
  <c r="E13" i="122"/>
  <c r="D13" i="122"/>
  <c r="C13" i="122"/>
  <c r="B13" i="122"/>
  <c r="X12" i="122"/>
  <c r="W12" i="122"/>
  <c r="V12" i="122"/>
  <c r="U12" i="122"/>
  <c r="T12" i="122"/>
  <c r="S12" i="122"/>
  <c r="R12" i="122"/>
  <c r="P12" i="122"/>
  <c r="O12" i="122"/>
  <c r="N12" i="122"/>
  <c r="M12" i="122"/>
  <c r="L12" i="122"/>
  <c r="K12" i="122"/>
  <c r="J12" i="122"/>
  <c r="H12" i="122"/>
  <c r="G12" i="122"/>
  <c r="F12" i="122"/>
  <c r="E12" i="122"/>
  <c r="D12" i="122"/>
  <c r="C12" i="122"/>
  <c r="B12" i="122"/>
  <c r="X11" i="122"/>
  <c r="W11" i="122"/>
  <c r="V11" i="122"/>
  <c r="U11" i="122"/>
  <c r="T11" i="122"/>
  <c r="S11" i="122"/>
  <c r="R11" i="122"/>
  <c r="P11" i="122"/>
  <c r="O11" i="122"/>
  <c r="N11" i="122"/>
  <c r="M11" i="122"/>
  <c r="L11" i="122"/>
  <c r="K11" i="122"/>
  <c r="J11" i="122"/>
  <c r="H11" i="122"/>
  <c r="G11" i="122"/>
  <c r="F11" i="122"/>
  <c r="E11" i="122"/>
  <c r="D11" i="122"/>
  <c r="C11" i="122"/>
  <c r="B11" i="122"/>
  <c r="X10" i="122"/>
  <c r="W10" i="122"/>
  <c r="V10" i="122"/>
  <c r="U10" i="122"/>
  <c r="T10" i="122"/>
  <c r="S10" i="122"/>
  <c r="R10" i="122"/>
  <c r="P10" i="122"/>
  <c r="O10" i="122"/>
  <c r="N10" i="122"/>
  <c r="M10" i="122"/>
  <c r="L10" i="122"/>
  <c r="K10" i="122"/>
  <c r="J10" i="122"/>
  <c r="H10" i="122"/>
  <c r="G10" i="122"/>
  <c r="F10" i="122"/>
  <c r="E10" i="122"/>
  <c r="D10" i="122"/>
  <c r="C10" i="122"/>
  <c r="B10" i="122"/>
  <c r="X9" i="122"/>
  <c r="W9" i="122"/>
  <c r="V9" i="122"/>
  <c r="U9" i="122"/>
  <c r="T9" i="122"/>
  <c r="S9" i="122"/>
  <c r="R9" i="122"/>
  <c r="P9" i="122"/>
  <c r="O9" i="122"/>
  <c r="N9" i="122"/>
  <c r="M9" i="122"/>
  <c r="L9" i="122"/>
  <c r="K9" i="122"/>
  <c r="J9" i="122"/>
  <c r="H9" i="122"/>
  <c r="G9" i="122"/>
  <c r="F9" i="122"/>
  <c r="E9" i="122"/>
  <c r="D9" i="122"/>
  <c r="C9" i="122"/>
  <c r="B9" i="122"/>
  <c r="X8" i="122"/>
  <c r="W8" i="122"/>
  <c r="V8" i="122"/>
  <c r="U8" i="122"/>
  <c r="T8" i="122"/>
  <c r="S8" i="122"/>
  <c r="R8" i="122"/>
  <c r="P8" i="122"/>
  <c r="O8" i="122"/>
  <c r="N8" i="122"/>
  <c r="M8" i="122"/>
  <c r="L8" i="122"/>
  <c r="K8" i="122"/>
  <c r="J8" i="122"/>
  <c r="H8" i="122"/>
  <c r="G8" i="122"/>
  <c r="F8" i="122"/>
  <c r="E8" i="122"/>
  <c r="D8" i="122"/>
  <c r="C8" i="122"/>
  <c r="B8" i="122"/>
  <c r="X40" i="121"/>
  <c r="W40" i="121"/>
  <c r="V40" i="121"/>
  <c r="U40" i="121"/>
  <c r="T40" i="121"/>
  <c r="S40" i="121"/>
  <c r="R40" i="121"/>
  <c r="P40" i="121"/>
  <c r="O40" i="121"/>
  <c r="N40" i="121"/>
  <c r="M40" i="121"/>
  <c r="L40" i="121"/>
  <c r="K40" i="121"/>
  <c r="J40" i="121"/>
  <c r="H40" i="121"/>
  <c r="G40" i="121"/>
  <c r="F40" i="121"/>
  <c r="E40" i="121"/>
  <c r="D40" i="121"/>
  <c r="C40" i="121"/>
  <c r="B40" i="121"/>
  <c r="X39" i="121"/>
  <c r="W39" i="121"/>
  <c r="V39" i="121"/>
  <c r="U39" i="121"/>
  <c r="T39" i="121"/>
  <c r="S39" i="121"/>
  <c r="R39" i="121"/>
  <c r="P39" i="121"/>
  <c r="O39" i="121"/>
  <c r="N39" i="121"/>
  <c r="M39" i="121"/>
  <c r="L39" i="121"/>
  <c r="K39" i="121"/>
  <c r="J39" i="121"/>
  <c r="H39" i="121"/>
  <c r="G39" i="121"/>
  <c r="F39" i="121"/>
  <c r="E39" i="121"/>
  <c r="D39" i="121"/>
  <c r="C39" i="121"/>
  <c r="B39" i="121"/>
  <c r="X38" i="121"/>
  <c r="W38" i="121"/>
  <c r="V38" i="121"/>
  <c r="U38" i="121"/>
  <c r="T38" i="121"/>
  <c r="S38" i="121"/>
  <c r="R38" i="121"/>
  <c r="P38" i="121"/>
  <c r="O38" i="121"/>
  <c r="N38" i="121"/>
  <c r="M38" i="121"/>
  <c r="L38" i="121"/>
  <c r="K38" i="121"/>
  <c r="J38" i="121"/>
  <c r="H38" i="121"/>
  <c r="G38" i="121"/>
  <c r="F38" i="121"/>
  <c r="E38" i="121"/>
  <c r="D38" i="121"/>
  <c r="C38" i="121"/>
  <c r="B38" i="121"/>
  <c r="X37" i="121"/>
  <c r="W37" i="121"/>
  <c r="V37" i="121"/>
  <c r="U37" i="121"/>
  <c r="T37" i="121"/>
  <c r="S37" i="121"/>
  <c r="R37" i="121"/>
  <c r="P37" i="121"/>
  <c r="O37" i="121"/>
  <c r="N37" i="121"/>
  <c r="M37" i="121"/>
  <c r="L37" i="121"/>
  <c r="K37" i="121"/>
  <c r="J37" i="121"/>
  <c r="H37" i="121"/>
  <c r="G37" i="121"/>
  <c r="F37" i="121"/>
  <c r="E37" i="121"/>
  <c r="D37" i="121"/>
  <c r="C37" i="121"/>
  <c r="B37" i="121"/>
  <c r="X36" i="121"/>
  <c r="W36" i="121"/>
  <c r="V36" i="121"/>
  <c r="U36" i="121"/>
  <c r="T36" i="121"/>
  <c r="S36" i="121"/>
  <c r="R36" i="121"/>
  <c r="P36" i="121"/>
  <c r="O36" i="121"/>
  <c r="N36" i="121"/>
  <c r="M36" i="121"/>
  <c r="L36" i="121"/>
  <c r="K36" i="121"/>
  <c r="J36" i="121"/>
  <c r="H36" i="121"/>
  <c r="G36" i="121"/>
  <c r="F36" i="121"/>
  <c r="E36" i="121"/>
  <c r="D36" i="121"/>
  <c r="C36" i="121"/>
  <c r="B36" i="121"/>
  <c r="X35" i="121"/>
  <c r="W35" i="121"/>
  <c r="V35" i="121"/>
  <c r="U35" i="121"/>
  <c r="T35" i="121"/>
  <c r="S35" i="121"/>
  <c r="R35" i="121"/>
  <c r="P35" i="121"/>
  <c r="O35" i="121"/>
  <c r="N35" i="121"/>
  <c r="M35" i="121"/>
  <c r="L35" i="121"/>
  <c r="K35" i="121"/>
  <c r="J35" i="121"/>
  <c r="H35" i="121"/>
  <c r="G35" i="121"/>
  <c r="F35" i="121"/>
  <c r="E35" i="121"/>
  <c r="D35" i="121"/>
  <c r="C35" i="121"/>
  <c r="B35" i="121"/>
  <c r="X31" i="121"/>
  <c r="W31" i="121"/>
  <c r="V31" i="121"/>
  <c r="U31" i="121"/>
  <c r="T31" i="121"/>
  <c r="S31" i="121"/>
  <c r="R31" i="121"/>
  <c r="P31" i="121"/>
  <c r="O31" i="121"/>
  <c r="N31" i="121"/>
  <c r="M31" i="121"/>
  <c r="L31" i="121"/>
  <c r="K31" i="121"/>
  <c r="J31" i="121"/>
  <c r="H31" i="121"/>
  <c r="G31" i="121"/>
  <c r="F31" i="121"/>
  <c r="E31" i="121"/>
  <c r="D31" i="121"/>
  <c r="C31" i="121"/>
  <c r="B31" i="121"/>
  <c r="X30" i="121"/>
  <c r="W30" i="121"/>
  <c r="V30" i="121"/>
  <c r="U30" i="121"/>
  <c r="T30" i="121"/>
  <c r="S30" i="121"/>
  <c r="R30" i="121"/>
  <c r="P30" i="121"/>
  <c r="O30" i="121"/>
  <c r="N30" i="121"/>
  <c r="M30" i="121"/>
  <c r="L30" i="121"/>
  <c r="K30" i="121"/>
  <c r="J30" i="121"/>
  <c r="H30" i="121"/>
  <c r="G30" i="121"/>
  <c r="F30" i="121"/>
  <c r="E30" i="121"/>
  <c r="D30" i="121"/>
  <c r="C30" i="121"/>
  <c r="B30" i="121"/>
  <c r="X29" i="121"/>
  <c r="W29" i="121"/>
  <c r="V29" i="121"/>
  <c r="U29" i="121"/>
  <c r="T29" i="121"/>
  <c r="S29" i="121"/>
  <c r="R29" i="121"/>
  <c r="P29" i="121"/>
  <c r="O29" i="121"/>
  <c r="N29" i="121"/>
  <c r="M29" i="121"/>
  <c r="L29" i="121"/>
  <c r="K29" i="121"/>
  <c r="J29" i="121"/>
  <c r="H29" i="121"/>
  <c r="G29" i="121"/>
  <c r="F29" i="121"/>
  <c r="E29" i="121"/>
  <c r="D29" i="121"/>
  <c r="C29" i="121"/>
  <c r="B29" i="121"/>
  <c r="X28" i="121"/>
  <c r="W28" i="121"/>
  <c r="V28" i="121"/>
  <c r="U28" i="121"/>
  <c r="T28" i="121"/>
  <c r="S28" i="121"/>
  <c r="R28" i="121"/>
  <c r="P28" i="121"/>
  <c r="O28" i="121"/>
  <c r="N28" i="121"/>
  <c r="M28" i="121"/>
  <c r="L28" i="121"/>
  <c r="K28" i="121"/>
  <c r="J28" i="121"/>
  <c r="H28" i="121"/>
  <c r="G28" i="121"/>
  <c r="F28" i="121"/>
  <c r="E28" i="121"/>
  <c r="D28" i="121"/>
  <c r="C28" i="121"/>
  <c r="B28" i="121"/>
  <c r="X27" i="121"/>
  <c r="W27" i="121"/>
  <c r="V27" i="121"/>
  <c r="U27" i="121"/>
  <c r="T27" i="121"/>
  <c r="S27" i="121"/>
  <c r="R27" i="121"/>
  <c r="P27" i="121"/>
  <c r="O27" i="121"/>
  <c r="N27" i="121"/>
  <c r="M27" i="121"/>
  <c r="L27" i="121"/>
  <c r="K27" i="121"/>
  <c r="J27" i="121"/>
  <c r="H27" i="121"/>
  <c r="G27" i="121"/>
  <c r="F27" i="121"/>
  <c r="E27" i="121"/>
  <c r="D27" i="121"/>
  <c r="C27" i="121"/>
  <c r="B27" i="121"/>
  <c r="X26" i="121"/>
  <c r="W26" i="121"/>
  <c r="V26" i="121"/>
  <c r="U26" i="121"/>
  <c r="T26" i="121"/>
  <c r="S26" i="121"/>
  <c r="R26" i="121"/>
  <c r="P26" i="121"/>
  <c r="O26" i="121"/>
  <c r="N26" i="121"/>
  <c r="M26" i="121"/>
  <c r="L26" i="121"/>
  <c r="K26" i="121"/>
  <c r="J26" i="121"/>
  <c r="H26" i="121"/>
  <c r="G26" i="121"/>
  <c r="F26" i="121"/>
  <c r="E26" i="121"/>
  <c r="D26" i="121"/>
  <c r="C26" i="121"/>
  <c r="B26" i="121"/>
  <c r="X22" i="121"/>
  <c r="W22" i="121"/>
  <c r="V22" i="121"/>
  <c r="U22" i="121"/>
  <c r="T22" i="121"/>
  <c r="S22" i="121"/>
  <c r="R22" i="121"/>
  <c r="P22" i="121"/>
  <c r="O22" i="121"/>
  <c r="N22" i="121"/>
  <c r="M22" i="121"/>
  <c r="L22" i="121"/>
  <c r="K22" i="121"/>
  <c r="J22" i="121"/>
  <c r="H22" i="121"/>
  <c r="G22" i="121"/>
  <c r="F22" i="121"/>
  <c r="E22" i="121"/>
  <c r="D22" i="121"/>
  <c r="C22" i="121"/>
  <c r="B22" i="121"/>
  <c r="X21" i="121"/>
  <c r="W21" i="121"/>
  <c r="V21" i="121"/>
  <c r="U21" i="121"/>
  <c r="T21" i="121"/>
  <c r="S21" i="121"/>
  <c r="R21" i="121"/>
  <c r="P21" i="121"/>
  <c r="O21" i="121"/>
  <c r="N21" i="121"/>
  <c r="M21" i="121"/>
  <c r="L21" i="121"/>
  <c r="K21" i="121"/>
  <c r="J21" i="121"/>
  <c r="H21" i="121"/>
  <c r="G21" i="121"/>
  <c r="F21" i="121"/>
  <c r="E21" i="121"/>
  <c r="D21" i="121"/>
  <c r="C21" i="121"/>
  <c r="B21" i="121"/>
  <c r="X20" i="121"/>
  <c r="W20" i="121"/>
  <c r="V20" i="121"/>
  <c r="U20" i="121"/>
  <c r="T20" i="121"/>
  <c r="S20" i="121"/>
  <c r="R20" i="121"/>
  <c r="P20" i="121"/>
  <c r="O20" i="121"/>
  <c r="N20" i="121"/>
  <c r="M20" i="121"/>
  <c r="L20" i="121"/>
  <c r="K20" i="121"/>
  <c r="J20" i="121"/>
  <c r="H20" i="121"/>
  <c r="G20" i="121"/>
  <c r="F20" i="121"/>
  <c r="E20" i="121"/>
  <c r="D20" i="121"/>
  <c r="C20" i="121"/>
  <c r="B20" i="121"/>
  <c r="X19" i="121"/>
  <c r="W19" i="121"/>
  <c r="V19" i="121"/>
  <c r="U19" i="121"/>
  <c r="T19" i="121"/>
  <c r="S19" i="121"/>
  <c r="R19" i="121"/>
  <c r="P19" i="121"/>
  <c r="O19" i="121"/>
  <c r="N19" i="121"/>
  <c r="M19" i="121"/>
  <c r="L19" i="121"/>
  <c r="K19" i="121"/>
  <c r="J19" i="121"/>
  <c r="H19" i="121"/>
  <c r="G19" i="121"/>
  <c r="F19" i="121"/>
  <c r="E19" i="121"/>
  <c r="D19" i="121"/>
  <c r="C19" i="121"/>
  <c r="B19" i="121"/>
  <c r="X18" i="121"/>
  <c r="W18" i="121"/>
  <c r="V18" i="121"/>
  <c r="U18" i="121"/>
  <c r="T18" i="121"/>
  <c r="S18" i="121"/>
  <c r="R18" i="121"/>
  <c r="P18" i="121"/>
  <c r="O18" i="121"/>
  <c r="N18" i="121"/>
  <c r="M18" i="121"/>
  <c r="L18" i="121"/>
  <c r="K18" i="121"/>
  <c r="J18" i="121"/>
  <c r="H18" i="121"/>
  <c r="G18" i="121"/>
  <c r="F18" i="121"/>
  <c r="E18" i="121"/>
  <c r="D18" i="121"/>
  <c r="C18" i="121"/>
  <c r="B18" i="121"/>
  <c r="X17" i="121"/>
  <c r="W17" i="121"/>
  <c r="V17" i="121"/>
  <c r="U17" i="121"/>
  <c r="T17" i="121"/>
  <c r="S17" i="121"/>
  <c r="R17" i="121"/>
  <c r="P17" i="121"/>
  <c r="O17" i="121"/>
  <c r="N17" i="121"/>
  <c r="M17" i="121"/>
  <c r="L17" i="121"/>
  <c r="K17" i="121"/>
  <c r="J17" i="121"/>
  <c r="H17" i="121"/>
  <c r="G17" i="121"/>
  <c r="F17" i="121"/>
  <c r="E17" i="121"/>
  <c r="D17" i="121"/>
  <c r="C17" i="121"/>
  <c r="B17" i="121"/>
  <c r="X13" i="121"/>
  <c r="W13" i="121"/>
  <c r="V13" i="121"/>
  <c r="U13" i="121"/>
  <c r="T13" i="121"/>
  <c r="S13" i="121"/>
  <c r="R13" i="121"/>
  <c r="P13" i="121"/>
  <c r="O13" i="121"/>
  <c r="N13" i="121"/>
  <c r="M13" i="121"/>
  <c r="L13" i="121"/>
  <c r="K13" i="121"/>
  <c r="J13" i="121"/>
  <c r="H13" i="121"/>
  <c r="G13" i="121"/>
  <c r="F13" i="121"/>
  <c r="E13" i="121"/>
  <c r="D13" i="121"/>
  <c r="C13" i="121"/>
  <c r="B13" i="121"/>
  <c r="X12" i="121"/>
  <c r="W12" i="121"/>
  <c r="V12" i="121"/>
  <c r="U12" i="121"/>
  <c r="T12" i="121"/>
  <c r="S12" i="121"/>
  <c r="R12" i="121"/>
  <c r="P12" i="121"/>
  <c r="O12" i="121"/>
  <c r="N12" i="121"/>
  <c r="M12" i="121"/>
  <c r="L12" i="121"/>
  <c r="K12" i="121"/>
  <c r="J12" i="121"/>
  <c r="H12" i="121"/>
  <c r="G12" i="121"/>
  <c r="F12" i="121"/>
  <c r="E12" i="121"/>
  <c r="D12" i="121"/>
  <c r="C12" i="121"/>
  <c r="B12" i="121"/>
  <c r="X11" i="121"/>
  <c r="W11" i="121"/>
  <c r="V11" i="121"/>
  <c r="U11" i="121"/>
  <c r="T11" i="121"/>
  <c r="S11" i="121"/>
  <c r="R11" i="121"/>
  <c r="P11" i="121"/>
  <c r="O11" i="121"/>
  <c r="N11" i="121"/>
  <c r="M11" i="121"/>
  <c r="L11" i="121"/>
  <c r="K11" i="121"/>
  <c r="J11" i="121"/>
  <c r="H11" i="121"/>
  <c r="G11" i="121"/>
  <c r="F11" i="121"/>
  <c r="E11" i="121"/>
  <c r="D11" i="121"/>
  <c r="C11" i="121"/>
  <c r="B11" i="121"/>
  <c r="X10" i="121"/>
  <c r="W10" i="121"/>
  <c r="V10" i="121"/>
  <c r="U10" i="121"/>
  <c r="T10" i="121"/>
  <c r="S10" i="121"/>
  <c r="R10" i="121"/>
  <c r="P10" i="121"/>
  <c r="O10" i="121"/>
  <c r="N10" i="121"/>
  <c r="M10" i="121"/>
  <c r="L10" i="121"/>
  <c r="K10" i="121"/>
  <c r="J10" i="121"/>
  <c r="H10" i="121"/>
  <c r="G10" i="121"/>
  <c r="F10" i="121"/>
  <c r="E10" i="121"/>
  <c r="D10" i="121"/>
  <c r="C10" i="121"/>
  <c r="B10" i="121"/>
  <c r="X9" i="121"/>
  <c r="W9" i="121"/>
  <c r="V9" i="121"/>
  <c r="U9" i="121"/>
  <c r="T9" i="121"/>
  <c r="S9" i="121"/>
  <c r="R9" i="121"/>
  <c r="P9" i="121"/>
  <c r="O9" i="121"/>
  <c r="N9" i="121"/>
  <c r="M9" i="121"/>
  <c r="L9" i="121"/>
  <c r="K9" i="121"/>
  <c r="J9" i="121"/>
  <c r="H9" i="121"/>
  <c r="G9" i="121"/>
  <c r="F9" i="121"/>
  <c r="E9" i="121"/>
  <c r="D9" i="121"/>
  <c r="C9" i="121"/>
  <c r="B9" i="121"/>
  <c r="X8" i="121"/>
  <c r="W8" i="121"/>
  <c r="V8" i="121"/>
  <c r="U8" i="121"/>
  <c r="T8" i="121"/>
  <c r="S8" i="121"/>
  <c r="R8" i="121"/>
  <c r="P8" i="121"/>
  <c r="O8" i="121"/>
  <c r="N8" i="121"/>
  <c r="M8" i="121"/>
  <c r="L8" i="121"/>
  <c r="K8" i="121"/>
  <c r="J8" i="121"/>
  <c r="H8" i="121"/>
  <c r="G8" i="121"/>
  <c r="F8" i="121"/>
  <c r="E8" i="121"/>
  <c r="D8" i="121"/>
  <c r="C8" i="121"/>
  <c r="B8" i="121"/>
  <c r="D7" i="5" l="1"/>
</calcChain>
</file>

<file path=xl/sharedStrings.xml><?xml version="1.0" encoding="utf-8"?>
<sst xmlns="http://schemas.openxmlformats.org/spreadsheetml/2006/main" count="2074" uniqueCount="33">
  <si>
    <t>CALENDRIER LUNAIRE</t>
  </si>
  <si>
    <t>JANVIER</t>
  </si>
  <si>
    <t>Lu</t>
  </si>
  <si>
    <t>AVRIL</t>
  </si>
  <si>
    <t>JUILLET</t>
  </si>
  <si>
    <t>OCTOBRE</t>
  </si>
  <si>
    <t>Ma</t>
  </si>
  <si>
    <t>Me</t>
  </si>
  <si>
    <t>Je</t>
  </si>
  <si>
    <t>Ve</t>
  </si>
  <si>
    <t>Sa</t>
  </si>
  <si>
    <t>Di</t>
  </si>
  <si>
    <t>FÉVRIER</t>
  </si>
  <si>
    <t>MAI</t>
  </si>
  <si>
    <t>AOÛT</t>
  </si>
  <si>
    <t>NOVEMBRE</t>
  </si>
  <si>
    <t>MARS</t>
  </si>
  <si>
    <t>JUIN</t>
  </si>
  <si>
    <t>SEPTEMBRE</t>
  </si>
  <si>
    <t>DÉCEMBRE</t>
  </si>
  <si>
    <t xml:space="preserve"> </t>
  </si>
  <si>
    <t>DONNÉES DE PHASES DE LA LUNE</t>
  </si>
  <si>
    <r>
      <rPr>
        <vertAlign val="superscript"/>
        <sz val="10"/>
        <rFont val="Century Gothic"/>
        <family val="2"/>
        <scheme val="minor"/>
      </rPr>
      <t>1</t>
    </r>
    <r>
      <rPr>
        <sz val="10"/>
        <rFont val="Century Gothic"/>
        <family val="2"/>
        <scheme val="minor"/>
      </rPr>
      <t xml:space="preserve"> Horaire ajusté calculé pour MST (-7:00 UTC)</t>
    </r>
  </si>
  <si>
    <r>
      <rPr>
        <vertAlign val="superscript"/>
        <sz val="10"/>
        <rFont val="Century Gothic"/>
        <family val="2"/>
        <scheme val="minor"/>
      </rPr>
      <t>2</t>
    </r>
    <r>
      <rPr>
        <sz val="10"/>
        <rFont val="Century Gothic"/>
        <family val="2"/>
        <scheme val="minor"/>
      </rPr>
      <t xml:space="preserve"> Données techniques provenant de https://aa.usno.navy.mil/data/docs/MoonPhase.php</t>
    </r>
  </si>
  <si>
    <t>Jour et heure (UTC)*</t>
  </si>
  <si>
    <r>
      <t>Heure ajustée</t>
    </r>
    <r>
      <rPr>
        <vertAlign val="superscript"/>
        <sz val="10"/>
        <color theme="0"/>
        <rFont val="Century Gothic"/>
        <family val="2"/>
        <scheme val="minor"/>
      </rPr>
      <t>1</t>
    </r>
  </si>
  <si>
    <t>Date</t>
  </si>
  <si>
    <r>
      <t>Phase de la lune</t>
    </r>
    <r>
      <rPr>
        <vertAlign val="superscript"/>
        <sz val="10"/>
        <color theme="0"/>
        <rFont val="Century Gothic"/>
        <family val="2"/>
        <scheme val="minor"/>
      </rPr>
      <t>2</t>
    </r>
  </si>
  <si>
    <t>Premier quartier</t>
  </si>
  <si>
    <t>Pleine lune</t>
  </si>
  <si>
    <t>Dernier quartier</t>
  </si>
  <si>
    <t>Nouvelle lune</t>
  </si>
  <si>
    <t>Années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</si>
</sst>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d"/>
    <numFmt numFmtId="165" formatCode="mmmm"/>
    <numFmt numFmtId="166" formatCode="mm/dd/yyyy;@"/>
    <numFmt numFmtId="167" formatCode="mm/dd/yyyy\ h:mm:ss"/>
  </numFmts>
  <fonts count="16" x14ac:knownFonts="1">
    <font>
      <sz val="10"/>
      <color theme="1"/>
      <name val="Century Gothic"/>
      <family val="2"/>
      <scheme val="minor"/>
    </font>
    <font>
      <sz val="1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sz val="48"/>
      <color theme="1" tint="0.249977111117893"/>
      <name val="Tw Cen MT"/>
      <family val="2"/>
      <scheme val="major"/>
    </font>
    <font>
      <sz val="10"/>
      <color theme="1" tint="0.249977111117893"/>
      <name val="Tw Cen MT"/>
      <family val="2"/>
      <scheme val="major"/>
    </font>
    <font>
      <sz val="64"/>
      <color theme="1" tint="0.249977111117893"/>
      <name val="Tw Cen MT"/>
      <family val="2"/>
      <scheme val="major"/>
    </font>
    <font>
      <sz val="10"/>
      <name val="Century Gothic"/>
      <family val="2"/>
      <scheme val="minor"/>
    </font>
    <font>
      <sz val="48"/>
      <color theme="0"/>
      <name val="Tw Cen MT"/>
      <family val="2"/>
      <scheme val="major"/>
    </font>
    <font>
      <sz val="10"/>
      <color theme="0"/>
      <name val="Century Gothic"/>
      <family val="2"/>
      <scheme val="minor"/>
    </font>
    <font>
      <sz val="48"/>
      <color theme="0"/>
      <name val="Tw Cen MT"/>
      <family val="2"/>
    </font>
    <font>
      <sz val="54"/>
      <color theme="0"/>
      <name val="Tw Cen MT"/>
      <family val="2"/>
      <scheme val="major"/>
    </font>
    <font>
      <sz val="26"/>
      <color theme="3" tint="-0.499984740745262"/>
      <name val="Tw Cen MT"/>
      <family val="2"/>
      <scheme val="major"/>
    </font>
    <font>
      <sz val="10"/>
      <color theme="3" tint="-0.499984740745262"/>
      <name val="Century Gothic"/>
      <family val="2"/>
      <scheme val="minor"/>
    </font>
    <font>
      <sz val="28"/>
      <color theme="3" tint="-0.499984740745262"/>
      <name val="Tw Cen MT"/>
      <family val="2"/>
      <scheme val="major"/>
    </font>
    <font>
      <vertAlign val="superscript"/>
      <sz val="10"/>
      <color theme="0"/>
      <name val="Century Gothic"/>
      <family val="2"/>
      <scheme val="minor"/>
    </font>
    <font>
      <vertAlign val="superscript"/>
      <sz val="10"/>
      <name val="Century Gothic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top"/>
    </xf>
    <xf numFmtId="164" fontId="2" fillId="0" borderId="0" xfId="0" applyNumberFormat="1" applyFont="1" applyFill="1" applyBorder="1" applyAlignment="1">
      <alignment horizontal="left" vertical="top"/>
    </xf>
    <xf numFmtId="164" fontId="2" fillId="2" borderId="1" xfId="0" applyNumberFormat="1" applyFont="1" applyFill="1" applyBorder="1" applyAlignment="1">
      <alignment horizontal="left" vertical="top"/>
    </xf>
    <xf numFmtId="164" fontId="2" fillId="2" borderId="3" xfId="0" applyNumberFormat="1" applyFont="1" applyFill="1" applyBorder="1" applyAlignment="1">
      <alignment horizontal="left" vertical="top"/>
    </xf>
    <xf numFmtId="164" fontId="2" fillId="2" borderId="4" xfId="0" applyNumberFormat="1" applyFont="1" applyFill="1" applyBorder="1" applyAlignment="1">
      <alignment horizontal="left" vertical="top"/>
    </xf>
    <xf numFmtId="164" fontId="2" fillId="2" borderId="5" xfId="0" applyNumberFormat="1" applyFont="1" applyFill="1" applyBorder="1" applyAlignment="1">
      <alignment horizontal="left" vertical="top"/>
    </xf>
    <xf numFmtId="164" fontId="2" fillId="2" borderId="2" xfId="0" applyNumberFormat="1" applyFont="1" applyFill="1" applyBorder="1" applyAlignment="1">
      <alignment horizontal="left" vertical="top"/>
    </xf>
    <xf numFmtId="164" fontId="2" fillId="2" borderId="6" xfId="0" applyNumberFormat="1" applyFont="1" applyFill="1" applyBorder="1" applyAlignment="1">
      <alignment horizontal="left" vertical="top"/>
    </xf>
    <xf numFmtId="0" fontId="4" fillId="0" borderId="0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top"/>
    </xf>
    <xf numFmtId="0" fontId="7" fillId="3" borderId="0" xfId="0" applyFont="1" applyFill="1" applyBorder="1" applyAlignment="1">
      <alignment horizontal="left" indent="2"/>
    </xf>
    <xf numFmtId="0" fontId="9" fillId="3" borderId="0" xfId="0" applyFont="1" applyFill="1" applyBorder="1" applyAlignment="1">
      <alignment horizontal="left" vertical="top"/>
    </xf>
    <xf numFmtId="0" fontId="7" fillId="3" borderId="0" xfId="0" applyFont="1" applyFill="1" applyBorder="1" applyAlignment="1">
      <alignment horizontal="left" vertical="top"/>
    </xf>
    <xf numFmtId="0" fontId="7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top"/>
    </xf>
    <xf numFmtId="0" fontId="4" fillId="3" borderId="7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vertical="top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vertical="center" wrapText="1"/>
    </xf>
    <xf numFmtId="166" fontId="8" fillId="4" borderId="12" xfId="0" applyNumberFormat="1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NumberFormat="1" applyFont="1" applyFill="1" applyBorder="1" applyAlignment="1">
      <alignment horizontal="left" vertical="top"/>
    </xf>
    <xf numFmtId="0" fontId="11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vertical="center"/>
    </xf>
    <xf numFmtId="0" fontId="6" fillId="0" borderId="0" xfId="0" applyNumberFormat="1" applyFont="1" applyAlignment="1">
      <alignment horizontal="center" vertical="center"/>
    </xf>
    <xf numFmtId="0" fontId="13" fillId="0" borderId="9" xfId="0" applyNumberFormat="1" applyFont="1" applyFill="1" applyBorder="1" applyAlignment="1">
      <alignment horizontal="left" vertical="top"/>
    </xf>
    <xf numFmtId="0" fontId="6" fillId="0" borderId="0" xfId="0" applyNumberFormat="1" applyFont="1" applyBorder="1" applyAlignment="1">
      <alignment horizontal="center" vertical="center"/>
    </xf>
    <xf numFmtId="167" fontId="8" fillId="4" borderId="11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8" fillId="4" borderId="12" xfId="0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7" fillId="3" borderId="8" xfId="0" applyFont="1" applyFill="1" applyBorder="1" applyAlignment="1">
      <alignment horizontal="left" vertical="top" indent="2"/>
    </xf>
    <xf numFmtId="165" fontId="11" fillId="0" borderId="10" xfId="0" applyNumberFormat="1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</cellXfs>
  <cellStyles count="2">
    <cellStyle name="Normal" xfId="0" builtinId="0" customBuiltin="1"/>
    <cellStyle name="Normal 2" xfId="1" xr:uid="{00000000-0005-0000-0000-000001000000}"/>
  </cellStyles>
  <dxfs count="17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166" formatCode="mm/dd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167" formatCode="mm/dd/yyyy\ h:mm:ss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167" formatCode="mm/dd/yyyy\ h:mm:ss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alignment horizontal="center" vertical="center" textRotation="0" wrapText="0" indent="0" justifyLastLine="0" shrinkToFit="0" readingOrder="0"/>
    </dxf>
    <dxf>
      <border>
        <bottom style="thin">
          <color theme="4" tint="-0.499984740745262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Century Gothic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4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theme="3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thin">
          <color theme="4"/>
        </bottom>
      </border>
    </dxf>
    <dxf>
      <font>
        <color theme="4" tint="-0.249977111117893"/>
      </font>
      <border>
        <top style="thin">
          <color theme="4"/>
        </top>
        <bottom style="thin">
          <color theme="4"/>
        </bottom>
      </border>
    </dxf>
  </dxfs>
  <tableStyles count="1" defaultTableStyle="TableStyleMedium2" defaultPivotStyle="PivotStyleLight16">
    <tableStyle name="TableStyleLight2 2" pivot="0" count="7" xr9:uid="{00000000-0011-0000-FFFF-FFFF00000000}">
      <tableStyleElement type="wholeTable" dxfId="1739"/>
      <tableStyleElement type="headerRow" dxfId="1738"/>
      <tableStyleElement type="totalRow" dxfId="1737"/>
      <tableStyleElement type="firstColumn" dxfId="1736"/>
      <tableStyleElement type="lastColumn" dxfId="1735"/>
      <tableStyleElement type="firstRowStripe" dxfId="1734"/>
      <tableStyleElement type="firstColumnStripe" dxfId="1733"/>
    </tableStyle>
  </tableStyles>
  <colors>
    <mruColors>
      <color rgb="FFCC9B00"/>
      <color rgb="FF0C2A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131.xml" Id="rId13" /><Relationship Type="http://schemas.openxmlformats.org/officeDocument/2006/relationships/externalLink" Target="/xl/externalLinks/externalLink21.xml" Id="rId18" /><Relationship Type="http://schemas.openxmlformats.org/officeDocument/2006/relationships/externalLink" Target="/xl/externalLinks/externalLink102.xml" Id="rId26" /><Relationship Type="http://schemas.openxmlformats.org/officeDocument/2006/relationships/externalLink" Target="/xl/externalLinks/externalLink53.xml" Id="rId21" /><Relationship Type="http://schemas.openxmlformats.org/officeDocument/2006/relationships/calcChain" Target="/xl/calcChain.xml" Id="rId34" /><Relationship Type="http://schemas.openxmlformats.org/officeDocument/2006/relationships/worksheet" Target="/xl/worksheets/sheet72.xml" Id="rId7" /><Relationship Type="http://schemas.openxmlformats.org/officeDocument/2006/relationships/worksheet" Target="/xl/worksheets/sheet123.xml" Id="rId12" /><Relationship Type="http://schemas.openxmlformats.org/officeDocument/2006/relationships/externalLink" Target="/xl/externalLinks/externalLink14.xml" Id="rId17" /><Relationship Type="http://schemas.openxmlformats.org/officeDocument/2006/relationships/externalLink" Target="/xl/externalLinks/externalLink95.xml" Id="rId25" /><Relationship Type="http://schemas.openxmlformats.org/officeDocument/2006/relationships/sharedStrings" Target="/xl/sharedStrings.xml" Id="rId33" /><Relationship Type="http://schemas.microsoft.com/office/2006/relationships/vbaProject" Target="/xl/vbaProject.bin" Id="rId38" /><Relationship Type="http://schemas.openxmlformats.org/officeDocument/2006/relationships/worksheet" Target="/xl/worksheets/sheet24.xml" Id="rId2" /><Relationship Type="http://schemas.openxmlformats.org/officeDocument/2006/relationships/worksheet" Target="/xl/worksheets/sheet165.xml" Id="rId16" /><Relationship Type="http://schemas.openxmlformats.org/officeDocument/2006/relationships/externalLink" Target="/xl/externalLinks/externalLink46.xml" Id="rId20" /><Relationship Type="http://schemas.openxmlformats.org/officeDocument/2006/relationships/externalLink" Target="/xl/externalLinks/externalLink137.xml" Id="rId29" /><Relationship Type="http://schemas.openxmlformats.org/officeDocument/2006/relationships/worksheet" Target="/xl/worksheets/sheet16.xml" Id="rId1" /><Relationship Type="http://schemas.openxmlformats.org/officeDocument/2006/relationships/worksheet" Target="/xl/worksheets/sheet67.xml" Id="rId6" /><Relationship Type="http://schemas.openxmlformats.org/officeDocument/2006/relationships/worksheet" Target="/xl/worksheets/sheet118.xml" Id="rId11" /><Relationship Type="http://schemas.openxmlformats.org/officeDocument/2006/relationships/externalLink" Target="/xl/externalLinks/externalLink88.xml" Id="rId24" /><Relationship Type="http://schemas.openxmlformats.org/officeDocument/2006/relationships/styles" Target="/xl/styles.xml" Id="rId32" /><Relationship Type="http://schemas.openxmlformats.org/officeDocument/2006/relationships/customXml" Target="/customXml/item3.xml" Id="rId37" /><Relationship Type="http://schemas.openxmlformats.org/officeDocument/2006/relationships/worksheet" Target="/xl/worksheets/sheet59.xml" Id="rId5" /><Relationship Type="http://schemas.openxmlformats.org/officeDocument/2006/relationships/worksheet" Target="/xl/worksheets/sheet1510.xml" Id="rId15" /><Relationship Type="http://schemas.openxmlformats.org/officeDocument/2006/relationships/externalLink" Target="/xl/externalLinks/externalLink79.xml" Id="rId23" /><Relationship Type="http://schemas.openxmlformats.org/officeDocument/2006/relationships/externalLink" Target="/xl/externalLinks/externalLink1210.xml" Id="rId28" /><Relationship Type="http://schemas.openxmlformats.org/officeDocument/2006/relationships/customXml" Target="/customXml/item22.xml" Id="rId36" /><Relationship Type="http://schemas.openxmlformats.org/officeDocument/2006/relationships/worksheet" Target="/xl/worksheets/sheet1011.xml" Id="rId10" /><Relationship Type="http://schemas.openxmlformats.org/officeDocument/2006/relationships/externalLink" Target="/xl/externalLinks/externalLink311.xml" Id="rId19" /><Relationship Type="http://schemas.openxmlformats.org/officeDocument/2006/relationships/theme" Target="/xl/theme/theme11.xml" Id="rId31" /><Relationship Type="http://schemas.openxmlformats.org/officeDocument/2006/relationships/worksheet" Target="/xl/worksheets/sheet412.xml" Id="rId4" /><Relationship Type="http://schemas.openxmlformats.org/officeDocument/2006/relationships/worksheet" Target="/xl/worksheets/sheet913.xml" Id="rId9" /><Relationship Type="http://schemas.openxmlformats.org/officeDocument/2006/relationships/worksheet" Target="/xl/worksheets/sheet1414.xml" Id="rId14" /><Relationship Type="http://schemas.openxmlformats.org/officeDocument/2006/relationships/externalLink" Target="/xl/externalLinks/externalLink612.xml" Id="rId22" /><Relationship Type="http://schemas.openxmlformats.org/officeDocument/2006/relationships/externalLink" Target="/xl/externalLinks/externalLink1113.xml" Id="rId27" /><Relationship Type="http://schemas.openxmlformats.org/officeDocument/2006/relationships/externalLink" Target="/xl/externalLinks/externalLink1414.xml" Id="rId30" /><Relationship Type="http://schemas.openxmlformats.org/officeDocument/2006/relationships/customXml" Target="/customXml/item13.xml" Id="rId35" /><Relationship Type="http://schemas.openxmlformats.org/officeDocument/2006/relationships/worksheet" Target="/xl/worksheets/sheet815.xml" Id="rId8" /><Relationship Type="http://schemas.openxmlformats.org/officeDocument/2006/relationships/worksheet" Target="/xl/worksheets/sheet316.xml" Id="rId3" /></Relationships>
</file>

<file path=xl/drawings/_rels/drawing109.xml.rels>&#65279;<?xml version="1.0" encoding="utf-8"?><Relationships xmlns="http://schemas.openxmlformats.org/package/2006/relationships"><Relationship Type="http://schemas.openxmlformats.org/officeDocument/2006/relationships/image" Target="/xl/media/image136.png" Id="rId8" /><Relationship Type="http://schemas.openxmlformats.org/officeDocument/2006/relationships/image" Target="/xl/media/image1819.png" Id="rId13" /><Relationship Type="http://schemas.openxmlformats.org/officeDocument/2006/relationships/image" Target="/xl/media/image2311.png" Id="rId18" /><Relationship Type="http://schemas.openxmlformats.org/officeDocument/2006/relationships/image" Target="/xl/media/image810.png" Id="rId3" /><Relationship Type="http://schemas.openxmlformats.org/officeDocument/2006/relationships/image" Target="/xl/media/image512.png" Id="rId21" /><Relationship Type="http://schemas.openxmlformats.org/officeDocument/2006/relationships/image" Target="/xl/media/image1214.png" Id="rId7" /><Relationship Type="http://schemas.openxmlformats.org/officeDocument/2006/relationships/image" Target="/xl/media/image1715.png" Id="rId12" /><Relationship Type="http://schemas.openxmlformats.org/officeDocument/2006/relationships/image" Target="/xl/media/image2218.png" Id="rId17" /><Relationship Type="http://schemas.openxmlformats.org/officeDocument/2006/relationships/image" Target="/xl/media/image268.png" Id="rId25" /><Relationship Type="http://schemas.openxmlformats.org/officeDocument/2006/relationships/image" Target="/xl/media/image725.png" Id="rId2" /><Relationship Type="http://schemas.openxmlformats.org/officeDocument/2006/relationships/image" Target="/xl/media/image2124.png" Id="rId16" /><Relationship Type="http://schemas.openxmlformats.org/officeDocument/2006/relationships/image" Target="/xl/media/image421.png" Id="rId20" /><Relationship Type="http://schemas.openxmlformats.org/officeDocument/2006/relationships/image" Target="/xl/media/image113.png" Id="rId1" /><Relationship Type="http://schemas.openxmlformats.org/officeDocument/2006/relationships/image" Target="/xl/media/image1117.png" Id="rId6" /><Relationship Type="http://schemas.openxmlformats.org/officeDocument/2006/relationships/image" Target="/xl/media/image1620.png" Id="rId11" /><Relationship Type="http://schemas.openxmlformats.org/officeDocument/2006/relationships/image" Target="/xl/media/image259.png" Id="rId24" /><Relationship Type="http://schemas.openxmlformats.org/officeDocument/2006/relationships/image" Target="/xl/media/image1022.png" Id="rId5" /><Relationship Type="http://schemas.openxmlformats.org/officeDocument/2006/relationships/image" Target="/xl/media/image202.png" Id="rId15" /><Relationship Type="http://schemas.openxmlformats.org/officeDocument/2006/relationships/image" Target="/xl/media/image2416.png" Id="rId23" /><Relationship Type="http://schemas.openxmlformats.org/officeDocument/2006/relationships/image" Target="/xl/media/image1523.png" Id="rId10" /><Relationship Type="http://schemas.openxmlformats.org/officeDocument/2006/relationships/image" Target="/xl/media/image33.png" Id="rId19" /><Relationship Type="http://schemas.openxmlformats.org/officeDocument/2006/relationships/image" Target="/xl/media/image94.png" Id="rId4" /><Relationship Type="http://schemas.openxmlformats.org/officeDocument/2006/relationships/image" Target="/xl/media/image14.png" Id="rId9" /><Relationship Type="http://schemas.openxmlformats.org/officeDocument/2006/relationships/image" Target="/xl/media/image197.png" Id="rId14" /><Relationship Type="http://schemas.openxmlformats.org/officeDocument/2006/relationships/image" Target="/xl/media/image65.png" Id="rId22" /></Relationships>
</file>

<file path=xl/drawings/_rels/drawing117.xml.rels>&#65279;<?xml version="1.0" encoding="utf-8"?><Relationships xmlns="http://schemas.openxmlformats.org/package/2006/relationships"><Relationship Type="http://schemas.openxmlformats.org/officeDocument/2006/relationships/image" Target="/xl/media/image202.png" Id="rId8" /><Relationship Type="http://schemas.openxmlformats.org/officeDocument/2006/relationships/image" Target="/xl/media/image33.png" Id="rId13" /><Relationship Type="http://schemas.openxmlformats.org/officeDocument/2006/relationships/image" Target="/xl/media/image810.png" Id="rId18" /><Relationship Type="http://schemas.openxmlformats.org/officeDocument/2006/relationships/image" Target="/xl/media/image259.png" Id="rId26" /><Relationship Type="http://schemas.openxmlformats.org/officeDocument/2006/relationships/image" Target="/xl/media/image1523.png" Id="rId3" /><Relationship Type="http://schemas.openxmlformats.org/officeDocument/2006/relationships/image" Target="/xl/media/image1117.png" Id="rId21" /><Relationship Type="http://schemas.openxmlformats.org/officeDocument/2006/relationships/image" Target="/xl/media/image197.png" Id="rId7" /><Relationship Type="http://schemas.openxmlformats.org/officeDocument/2006/relationships/image" Target="/xl/media/image268.png" Id="rId12" /><Relationship Type="http://schemas.openxmlformats.org/officeDocument/2006/relationships/image" Target="/xl/media/image725.png" Id="rId17" /><Relationship Type="http://schemas.openxmlformats.org/officeDocument/2006/relationships/image" Target="/xl/media/image2416.png" Id="rId25" /><Relationship Type="http://schemas.openxmlformats.org/officeDocument/2006/relationships/image" Target="/xl/media/image14.png" Id="rId2" /><Relationship Type="http://schemas.openxmlformats.org/officeDocument/2006/relationships/image" Target="/xl/media/image65.png" Id="rId16" /><Relationship Type="http://schemas.openxmlformats.org/officeDocument/2006/relationships/image" Target="/xl/media/image1022.png" Id="rId20" /><Relationship Type="http://schemas.openxmlformats.org/officeDocument/2006/relationships/image" Target="/xl/media/image113.png" Id="rId1" /><Relationship Type="http://schemas.openxmlformats.org/officeDocument/2006/relationships/image" Target="/xl/media/image1819.png" Id="rId6" /><Relationship Type="http://schemas.openxmlformats.org/officeDocument/2006/relationships/image" Target="/xl/media/image2311.png" Id="rId11" /><Relationship Type="http://schemas.openxmlformats.org/officeDocument/2006/relationships/image" Target="/xl/media/image226.png" Id="rId24" /><Relationship Type="http://schemas.openxmlformats.org/officeDocument/2006/relationships/image" Target="/xl/media/image1715.png" Id="rId5" /><Relationship Type="http://schemas.openxmlformats.org/officeDocument/2006/relationships/image" Target="/xl/media/image512.png" Id="rId15" /><Relationship Type="http://schemas.openxmlformats.org/officeDocument/2006/relationships/image" Target="/xl/media/image136.png" Id="rId23" /><Relationship Type="http://schemas.openxmlformats.org/officeDocument/2006/relationships/image" Target="/xl/media/image2218.png" Id="rId10" /><Relationship Type="http://schemas.openxmlformats.org/officeDocument/2006/relationships/image" Target="/xl/media/image94.png" Id="rId19" /><Relationship Type="http://schemas.openxmlformats.org/officeDocument/2006/relationships/image" Target="/xl/media/image1620.png" Id="rId4" /><Relationship Type="http://schemas.openxmlformats.org/officeDocument/2006/relationships/image" Target="/xl/media/image2124.png" Id="rId9" /><Relationship Type="http://schemas.openxmlformats.org/officeDocument/2006/relationships/image" Target="/xl/media/image421.png" Id="rId14" /><Relationship Type="http://schemas.openxmlformats.org/officeDocument/2006/relationships/image" Target="/xl/media/image1214.png" Id="rId22" /></Relationships>
</file>

<file path=xl/drawings/_rels/drawing123.xml.rels>&#65279;<?xml version="1.0" encoding="utf-8"?><Relationships xmlns="http://schemas.openxmlformats.org/package/2006/relationships"><Relationship Type="http://schemas.openxmlformats.org/officeDocument/2006/relationships/image" Target="/xl/media/image725.png" Id="rId8" /><Relationship Type="http://schemas.openxmlformats.org/officeDocument/2006/relationships/image" Target="/xl/media/image1214.png" Id="rId13" /><Relationship Type="http://schemas.openxmlformats.org/officeDocument/2006/relationships/image" Target="/xl/media/image1715.png" Id="rId18" /><Relationship Type="http://schemas.openxmlformats.org/officeDocument/2006/relationships/image" Target="/xl/media/image268.png" Id="rId3" /><Relationship Type="http://schemas.openxmlformats.org/officeDocument/2006/relationships/image" Target="/xl/media/image202.png" Id="rId21" /><Relationship Type="http://schemas.openxmlformats.org/officeDocument/2006/relationships/image" Target="/xl/media/image65.png" Id="rId7" /><Relationship Type="http://schemas.openxmlformats.org/officeDocument/2006/relationships/image" Target="/xl/media/image1117.png" Id="rId12" /><Relationship Type="http://schemas.openxmlformats.org/officeDocument/2006/relationships/image" Target="/xl/media/image1620.png" Id="rId17" /><Relationship Type="http://schemas.openxmlformats.org/officeDocument/2006/relationships/image" Target="/xl/media/image259.png" Id="rId25" /><Relationship Type="http://schemas.openxmlformats.org/officeDocument/2006/relationships/image" Target="/xl/media/image2311.png" Id="rId2" /><Relationship Type="http://schemas.openxmlformats.org/officeDocument/2006/relationships/image" Target="/xl/media/image1523.png" Id="rId16" /><Relationship Type="http://schemas.openxmlformats.org/officeDocument/2006/relationships/image" Target="/xl/media/image197.png" Id="rId20" /><Relationship Type="http://schemas.openxmlformats.org/officeDocument/2006/relationships/image" Target="/xl/media/image113.png" Id="rId1" /><Relationship Type="http://schemas.openxmlformats.org/officeDocument/2006/relationships/image" Target="/xl/media/image512.png" Id="rId6" /><Relationship Type="http://schemas.openxmlformats.org/officeDocument/2006/relationships/image" Target="/xl/media/image1022.png" Id="rId11" /><Relationship Type="http://schemas.openxmlformats.org/officeDocument/2006/relationships/image" Target="/xl/media/image2416.png" Id="rId24" /><Relationship Type="http://schemas.openxmlformats.org/officeDocument/2006/relationships/image" Target="/xl/media/image421.png" Id="rId5" /><Relationship Type="http://schemas.openxmlformats.org/officeDocument/2006/relationships/image" Target="/xl/media/image14.png" Id="rId15" /><Relationship Type="http://schemas.openxmlformats.org/officeDocument/2006/relationships/image" Target="/xl/media/image2218.png" Id="rId23" /><Relationship Type="http://schemas.openxmlformats.org/officeDocument/2006/relationships/image" Target="/xl/media/image94.png" Id="rId10" /><Relationship Type="http://schemas.openxmlformats.org/officeDocument/2006/relationships/image" Target="/xl/media/image1819.png" Id="rId19" /><Relationship Type="http://schemas.openxmlformats.org/officeDocument/2006/relationships/image" Target="/xl/media/image33.png" Id="rId4" /><Relationship Type="http://schemas.openxmlformats.org/officeDocument/2006/relationships/image" Target="/xl/media/image810.png" Id="rId9" /><Relationship Type="http://schemas.openxmlformats.org/officeDocument/2006/relationships/image" Target="/xl/media/image136.png" Id="rId14" /><Relationship Type="http://schemas.openxmlformats.org/officeDocument/2006/relationships/image" Target="/xl/media/image2124.png" Id="rId22" /></Relationships>
</file>

<file path=xl/drawings/_rels/drawing131.xml.rels>&#65279;<?xml version="1.0" encoding="utf-8"?><Relationships xmlns="http://schemas.openxmlformats.org/package/2006/relationships"><Relationship Type="http://schemas.openxmlformats.org/officeDocument/2006/relationships/image" Target="/xl/media/image14.png" Id="rId8" /><Relationship Type="http://schemas.openxmlformats.org/officeDocument/2006/relationships/image" Target="/xl/media/image202.png" Id="rId13" /><Relationship Type="http://schemas.openxmlformats.org/officeDocument/2006/relationships/image" Target="/xl/media/image33.png" Id="rId18" /><Relationship Type="http://schemas.openxmlformats.org/officeDocument/2006/relationships/image" Target="/xl/media/image94.png" Id="rId3" /><Relationship Type="http://schemas.openxmlformats.org/officeDocument/2006/relationships/image" Target="/xl/media/image65.png" Id="rId21" /><Relationship Type="http://schemas.openxmlformats.org/officeDocument/2006/relationships/image" Target="/xl/media/image136.png" Id="rId7" /><Relationship Type="http://schemas.openxmlformats.org/officeDocument/2006/relationships/image" Target="/xl/media/image197.png" Id="rId12" /><Relationship Type="http://schemas.openxmlformats.org/officeDocument/2006/relationships/image" Target="/xl/media/image268.png" Id="rId17" /><Relationship Type="http://schemas.openxmlformats.org/officeDocument/2006/relationships/image" Target="/xl/media/image259.png" Id="rId25" /><Relationship Type="http://schemas.openxmlformats.org/officeDocument/2006/relationships/image" Target="/xl/media/image810.png" Id="rId2" /><Relationship Type="http://schemas.openxmlformats.org/officeDocument/2006/relationships/image" Target="/xl/media/image2311.png" Id="rId16" /><Relationship Type="http://schemas.openxmlformats.org/officeDocument/2006/relationships/image" Target="/xl/media/image512.png" Id="rId20" /><Relationship Type="http://schemas.openxmlformats.org/officeDocument/2006/relationships/image" Target="/xl/media/image113.png" Id="rId1" /><Relationship Type="http://schemas.openxmlformats.org/officeDocument/2006/relationships/image" Target="/xl/media/image1214.png" Id="rId6" /><Relationship Type="http://schemas.openxmlformats.org/officeDocument/2006/relationships/image" Target="/xl/media/image1715.png" Id="rId11" /><Relationship Type="http://schemas.openxmlformats.org/officeDocument/2006/relationships/image" Target="/xl/media/image2416.png" Id="rId24" /><Relationship Type="http://schemas.openxmlformats.org/officeDocument/2006/relationships/image" Target="/xl/media/image1117.png" Id="rId5" /><Relationship Type="http://schemas.openxmlformats.org/officeDocument/2006/relationships/image" Target="/xl/media/image2218.png" Id="rId15" /><Relationship Type="http://schemas.openxmlformats.org/officeDocument/2006/relationships/image" Target="/xl/media/image1819.png" Id="rId23" /><Relationship Type="http://schemas.openxmlformats.org/officeDocument/2006/relationships/image" Target="/xl/media/image1620.png" Id="rId10" /><Relationship Type="http://schemas.openxmlformats.org/officeDocument/2006/relationships/image" Target="/xl/media/image421.png" Id="rId19" /><Relationship Type="http://schemas.openxmlformats.org/officeDocument/2006/relationships/image" Target="/xl/media/image1022.png" Id="rId4" /><Relationship Type="http://schemas.openxmlformats.org/officeDocument/2006/relationships/image" Target="/xl/media/image1523.png" Id="rId9" /><Relationship Type="http://schemas.openxmlformats.org/officeDocument/2006/relationships/image" Target="/xl/media/image2124.png" Id="rId14" /><Relationship Type="http://schemas.openxmlformats.org/officeDocument/2006/relationships/image" Target="/xl/media/image725.png" Id="rId22" /></Relationships>
</file>

<file path=xl/drawings/_rels/drawing1412.xml.rels>&#65279;<?xml version="1.0" encoding="utf-8"?><Relationships xmlns="http://schemas.openxmlformats.org/package/2006/relationships"><Relationship Type="http://schemas.openxmlformats.org/officeDocument/2006/relationships/image" Target="/xl/media/image2311.png" Id="rId8" /><Relationship Type="http://schemas.openxmlformats.org/officeDocument/2006/relationships/image" Target="/xl/media/image65.png" Id="rId13" /><Relationship Type="http://schemas.openxmlformats.org/officeDocument/2006/relationships/image" Target="/xl/media/image1022.png" Id="rId18" /><Relationship Type="http://schemas.openxmlformats.org/officeDocument/2006/relationships/image" Target="/xl/media/image1715.png" Id="rId3" /><Relationship Type="http://schemas.openxmlformats.org/officeDocument/2006/relationships/image" Target="/xl/media/image136.png" Id="rId21" /><Relationship Type="http://schemas.openxmlformats.org/officeDocument/2006/relationships/image" Target="/xl/media/image2218.png" Id="rId7" /><Relationship Type="http://schemas.openxmlformats.org/officeDocument/2006/relationships/image" Target="/xl/media/image512.png" Id="rId12" /><Relationship Type="http://schemas.openxmlformats.org/officeDocument/2006/relationships/image" Target="/xl/media/image94.png" Id="rId17" /><Relationship Type="http://schemas.openxmlformats.org/officeDocument/2006/relationships/image" Target="/xl/media/image2416.png" Id="rId25" /><Relationship Type="http://schemas.openxmlformats.org/officeDocument/2006/relationships/image" Target="/xl/media/image1620.png" Id="rId2" /><Relationship Type="http://schemas.openxmlformats.org/officeDocument/2006/relationships/image" Target="/xl/media/image810.png" Id="rId16" /><Relationship Type="http://schemas.openxmlformats.org/officeDocument/2006/relationships/image" Target="/xl/media/image1214.png" Id="rId20" /><Relationship Type="http://schemas.openxmlformats.org/officeDocument/2006/relationships/image" Target="/xl/media/image113.png" Id="rId1" /><Relationship Type="http://schemas.openxmlformats.org/officeDocument/2006/relationships/image" Target="/xl/media/image2124.png" Id="rId6" /><Relationship Type="http://schemas.openxmlformats.org/officeDocument/2006/relationships/image" Target="/xl/media/image421.png" Id="rId11" /><Relationship Type="http://schemas.openxmlformats.org/officeDocument/2006/relationships/image" Target="/xl/media/image1819.png" Id="rId24" /><Relationship Type="http://schemas.openxmlformats.org/officeDocument/2006/relationships/image" Target="/xl/media/image202.png" Id="rId5" /><Relationship Type="http://schemas.openxmlformats.org/officeDocument/2006/relationships/image" Target="/xl/media/image259.png" Id="rId15" /><Relationship Type="http://schemas.openxmlformats.org/officeDocument/2006/relationships/image" Target="/xl/media/image1523.png" Id="rId23" /><Relationship Type="http://schemas.openxmlformats.org/officeDocument/2006/relationships/image" Target="/xl/media/image33.png" Id="rId10" /><Relationship Type="http://schemas.openxmlformats.org/officeDocument/2006/relationships/image" Target="/xl/media/image1117.png" Id="rId19" /><Relationship Type="http://schemas.openxmlformats.org/officeDocument/2006/relationships/image" Target="/xl/media/image197.png" Id="rId4" /><Relationship Type="http://schemas.openxmlformats.org/officeDocument/2006/relationships/image" Target="/xl/media/image268.png" Id="rId9" /><Relationship Type="http://schemas.openxmlformats.org/officeDocument/2006/relationships/image" Target="/xl/media/image725.png" Id="rId14" /><Relationship Type="http://schemas.openxmlformats.org/officeDocument/2006/relationships/image" Target="/xl/media/image14.png" Id="rId2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image" Target="/xl/media/image810.png" Id="rId8" /><Relationship Type="http://schemas.openxmlformats.org/officeDocument/2006/relationships/image" Target="/xl/media/image136.png" Id="rId13" /><Relationship Type="http://schemas.openxmlformats.org/officeDocument/2006/relationships/image" Target="/xl/media/image1819.png" Id="rId18" /><Relationship Type="http://schemas.openxmlformats.org/officeDocument/2006/relationships/image" Target="/xl/media/image268.png" Id="rId26" /><Relationship Type="http://schemas.openxmlformats.org/officeDocument/2006/relationships/image" Target="/xl/media/image33.png" Id="rId3" /><Relationship Type="http://schemas.openxmlformats.org/officeDocument/2006/relationships/image" Target="/xl/media/image2124.png" Id="rId21" /><Relationship Type="http://schemas.openxmlformats.org/officeDocument/2006/relationships/image" Target="/xl/media/image725.png" Id="rId7" /><Relationship Type="http://schemas.openxmlformats.org/officeDocument/2006/relationships/image" Target="/xl/media/image1214.png" Id="rId12" /><Relationship Type="http://schemas.openxmlformats.org/officeDocument/2006/relationships/image" Target="/xl/media/image1715.png" Id="rId17" /><Relationship Type="http://schemas.openxmlformats.org/officeDocument/2006/relationships/image" Target="/xl/media/image259.png" Id="rId25" /><Relationship Type="http://schemas.openxmlformats.org/officeDocument/2006/relationships/image" Target="/xl/media/image226.png" Id="rId2" /><Relationship Type="http://schemas.openxmlformats.org/officeDocument/2006/relationships/image" Target="/xl/media/image1620.png" Id="rId16" /><Relationship Type="http://schemas.openxmlformats.org/officeDocument/2006/relationships/image" Target="/xl/media/image202.png" Id="rId20" /><Relationship Type="http://schemas.openxmlformats.org/officeDocument/2006/relationships/image" Target="/xl/media/image113.png" Id="rId1" /><Relationship Type="http://schemas.openxmlformats.org/officeDocument/2006/relationships/image" Target="/xl/media/image65.png" Id="rId6" /><Relationship Type="http://schemas.openxmlformats.org/officeDocument/2006/relationships/image" Target="/xl/media/image1117.png" Id="rId11" /><Relationship Type="http://schemas.openxmlformats.org/officeDocument/2006/relationships/image" Target="/xl/media/image2416.png" Id="rId24" /><Relationship Type="http://schemas.openxmlformats.org/officeDocument/2006/relationships/image" Target="/xl/media/image512.png" Id="rId5" /><Relationship Type="http://schemas.openxmlformats.org/officeDocument/2006/relationships/image" Target="/xl/media/image1523.png" Id="rId15" /><Relationship Type="http://schemas.openxmlformats.org/officeDocument/2006/relationships/image" Target="/xl/media/image2311.png" Id="rId23" /><Relationship Type="http://schemas.openxmlformats.org/officeDocument/2006/relationships/image" Target="/xl/media/image1022.png" Id="rId10" /><Relationship Type="http://schemas.openxmlformats.org/officeDocument/2006/relationships/image" Target="/xl/media/image197.png" Id="rId19" /><Relationship Type="http://schemas.openxmlformats.org/officeDocument/2006/relationships/image" Target="/xl/media/image421.png" Id="rId4" /><Relationship Type="http://schemas.openxmlformats.org/officeDocument/2006/relationships/image" Target="/xl/media/image94.png" Id="rId9" /><Relationship Type="http://schemas.openxmlformats.org/officeDocument/2006/relationships/image" Target="/xl/media/image14.png" Id="rId14" /><Relationship Type="http://schemas.openxmlformats.org/officeDocument/2006/relationships/image" Target="/xl/media/image2218.png" Id="rId2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/xl/media/image14.png" Id="rId8" /><Relationship Type="http://schemas.openxmlformats.org/officeDocument/2006/relationships/image" Target="/xl/media/image197.png" Id="rId13" /><Relationship Type="http://schemas.openxmlformats.org/officeDocument/2006/relationships/image" Target="/xl/media/image268.png" Id="rId18" /><Relationship Type="http://schemas.openxmlformats.org/officeDocument/2006/relationships/image" Target="/xl/media/image94.png" Id="rId3" /><Relationship Type="http://schemas.openxmlformats.org/officeDocument/2006/relationships/image" Target="/xl/media/image512.png" Id="rId21" /><Relationship Type="http://schemas.openxmlformats.org/officeDocument/2006/relationships/image" Target="/xl/media/image136.png" Id="rId7" /><Relationship Type="http://schemas.openxmlformats.org/officeDocument/2006/relationships/image" Target="/xl/media/image1819.png" Id="rId12" /><Relationship Type="http://schemas.openxmlformats.org/officeDocument/2006/relationships/image" Target="/xl/media/image2311.png" Id="rId17" /><Relationship Type="http://schemas.openxmlformats.org/officeDocument/2006/relationships/image" Target="/xl/media/image259.png" Id="rId25" /><Relationship Type="http://schemas.openxmlformats.org/officeDocument/2006/relationships/image" Target="/xl/media/image810.png" Id="rId2" /><Relationship Type="http://schemas.openxmlformats.org/officeDocument/2006/relationships/image" Target="/xl/media/image2218.png" Id="rId16" /><Relationship Type="http://schemas.openxmlformats.org/officeDocument/2006/relationships/image" Target="/xl/media/image421.png" Id="rId20" /><Relationship Type="http://schemas.openxmlformats.org/officeDocument/2006/relationships/image" Target="/xl/media/image113.png" Id="rId1" /><Relationship Type="http://schemas.openxmlformats.org/officeDocument/2006/relationships/image" Target="/xl/media/image1214.png" Id="rId6" /><Relationship Type="http://schemas.openxmlformats.org/officeDocument/2006/relationships/image" Target="/xl/media/image1715.png" Id="rId11" /><Relationship Type="http://schemas.openxmlformats.org/officeDocument/2006/relationships/image" Target="/xl/media/image2416.png" Id="rId24" /><Relationship Type="http://schemas.openxmlformats.org/officeDocument/2006/relationships/image" Target="/xl/media/image1117.png" Id="rId5" /><Relationship Type="http://schemas.openxmlformats.org/officeDocument/2006/relationships/image" Target="/xl/media/image2124.png" Id="rId15" /><Relationship Type="http://schemas.openxmlformats.org/officeDocument/2006/relationships/image" Target="/xl/media/image725.png" Id="rId23" /><Relationship Type="http://schemas.openxmlformats.org/officeDocument/2006/relationships/image" Target="/xl/media/image1620.png" Id="rId10" /><Relationship Type="http://schemas.openxmlformats.org/officeDocument/2006/relationships/image" Target="/xl/media/image33.png" Id="rId19" /><Relationship Type="http://schemas.openxmlformats.org/officeDocument/2006/relationships/image" Target="/xl/media/image1022.png" Id="rId4" /><Relationship Type="http://schemas.openxmlformats.org/officeDocument/2006/relationships/image" Target="/xl/media/image1523.png" Id="rId9" /><Relationship Type="http://schemas.openxmlformats.org/officeDocument/2006/relationships/image" Target="/xl/media/image202.png" Id="rId14" /><Relationship Type="http://schemas.openxmlformats.org/officeDocument/2006/relationships/image" Target="/xl/media/image65.png" Id="rId22" /></Relationships>
</file>

<file path=xl/drawings/_rels/drawing314.xml.rels>&#65279;<?xml version="1.0" encoding="utf-8"?><Relationships xmlns="http://schemas.openxmlformats.org/package/2006/relationships"><Relationship Type="http://schemas.openxmlformats.org/officeDocument/2006/relationships/image" Target="/xl/media/image2218.png" Id="rId8" /><Relationship Type="http://schemas.openxmlformats.org/officeDocument/2006/relationships/image" Target="/xl/media/image512.png" Id="rId13" /><Relationship Type="http://schemas.openxmlformats.org/officeDocument/2006/relationships/image" Target="/xl/media/image1022.png" Id="rId18" /><Relationship Type="http://schemas.openxmlformats.org/officeDocument/2006/relationships/image" Target="/xl/media/image259.png" Id="rId26" /><Relationship Type="http://schemas.openxmlformats.org/officeDocument/2006/relationships/image" Target="/xl/media/image1620.png" Id="rId3" /><Relationship Type="http://schemas.openxmlformats.org/officeDocument/2006/relationships/image" Target="/xl/media/image136.png" Id="rId21" /><Relationship Type="http://schemas.openxmlformats.org/officeDocument/2006/relationships/image" Target="/xl/media/image2124.png" Id="rId7" /><Relationship Type="http://schemas.openxmlformats.org/officeDocument/2006/relationships/image" Target="/xl/media/image421.png" Id="rId12" /><Relationship Type="http://schemas.openxmlformats.org/officeDocument/2006/relationships/image" Target="/xl/media/image94.png" Id="rId17" /><Relationship Type="http://schemas.openxmlformats.org/officeDocument/2006/relationships/image" Target="/xl/media/image2416.png" Id="rId25" /><Relationship Type="http://schemas.openxmlformats.org/officeDocument/2006/relationships/image" Target="/xl/media/image1523.png" Id="rId2" /><Relationship Type="http://schemas.openxmlformats.org/officeDocument/2006/relationships/image" Target="/xl/media/image810.png" Id="rId16" /><Relationship Type="http://schemas.openxmlformats.org/officeDocument/2006/relationships/image" Target="/xl/media/image1214.png" Id="rId20" /><Relationship Type="http://schemas.openxmlformats.org/officeDocument/2006/relationships/image" Target="/xl/media/image113.png" Id="rId1" /><Relationship Type="http://schemas.openxmlformats.org/officeDocument/2006/relationships/image" Target="/xl/media/image202.png" Id="rId6" /><Relationship Type="http://schemas.openxmlformats.org/officeDocument/2006/relationships/image" Target="/xl/media/image33.png" Id="rId11" /><Relationship Type="http://schemas.openxmlformats.org/officeDocument/2006/relationships/image" Target="/xl/media/image226.png" Id="rId24" /><Relationship Type="http://schemas.openxmlformats.org/officeDocument/2006/relationships/image" Target="/xl/media/image197.png" Id="rId5" /><Relationship Type="http://schemas.openxmlformats.org/officeDocument/2006/relationships/image" Target="/xl/media/image725.png" Id="rId15" /><Relationship Type="http://schemas.openxmlformats.org/officeDocument/2006/relationships/image" Target="/xl/media/image1819.png" Id="rId23" /><Relationship Type="http://schemas.openxmlformats.org/officeDocument/2006/relationships/image" Target="/xl/media/image268.png" Id="rId10" /><Relationship Type="http://schemas.openxmlformats.org/officeDocument/2006/relationships/image" Target="/xl/media/image1117.png" Id="rId19" /><Relationship Type="http://schemas.openxmlformats.org/officeDocument/2006/relationships/image" Target="/xl/media/image1715.png" Id="rId4" /><Relationship Type="http://schemas.openxmlformats.org/officeDocument/2006/relationships/image" Target="/xl/media/image2311.png" Id="rId9" /><Relationship Type="http://schemas.openxmlformats.org/officeDocument/2006/relationships/image" Target="/xl/media/image65.png" Id="rId14" /><Relationship Type="http://schemas.openxmlformats.org/officeDocument/2006/relationships/image" Target="/xl/media/image14.png" Id="rId22" /></Relationships>
</file>

<file path=xl/drawings/_rels/drawing410.xml.rels>&#65279;<?xml version="1.0" encoding="utf-8"?><Relationships xmlns="http://schemas.openxmlformats.org/package/2006/relationships"><Relationship Type="http://schemas.openxmlformats.org/officeDocument/2006/relationships/image" Target="/xl/media/image259.png" Id="rId8" /><Relationship Type="http://schemas.openxmlformats.org/officeDocument/2006/relationships/image" Target="/xl/media/image1214.png" Id="rId13" /><Relationship Type="http://schemas.openxmlformats.org/officeDocument/2006/relationships/image" Target="/xl/media/image1715.png" Id="rId18" /><Relationship Type="http://schemas.openxmlformats.org/officeDocument/2006/relationships/image" Target="/xl/media/image33.png" Id="rId3" /><Relationship Type="http://schemas.openxmlformats.org/officeDocument/2006/relationships/image" Target="/xl/media/image2124.png" Id="rId21" /><Relationship Type="http://schemas.openxmlformats.org/officeDocument/2006/relationships/image" Target="/xl/media/image725.png" Id="rId7" /><Relationship Type="http://schemas.openxmlformats.org/officeDocument/2006/relationships/image" Target="/xl/media/image1117.png" Id="rId12" /><Relationship Type="http://schemas.openxmlformats.org/officeDocument/2006/relationships/image" Target="/xl/media/image1620.png" Id="rId17" /><Relationship Type="http://schemas.openxmlformats.org/officeDocument/2006/relationships/image" Target="/xl/media/image2416.png" Id="rId25" /><Relationship Type="http://schemas.openxmlformats.org/officeDocument/2006/relationships/image" Target="/xl/media/image268.png" Id="rId2" /><Relationship Type="http://schemas.openxmlformats.org/officeDocument/2006/relationships/image" Target="/xl/media/image1523.png" Id="rId16" /><Relationship Type="http://schemas.openxmlformats.org/officeDocument/2006/relationships/image" Target="/xl/media/image202.png" Id="rId20" /><Relationship Type="http://schemas.openxmlformats.org/officeDocument/2006/relationships/image" Target="/xl/media/image113.png" Id="rId1" /><Relationship Type="http://schemas.openxmlformats.org/officeDocument/2006/relationships/image" Target="/xl/media/image65.png" Id="rId6" /><Relationship Type="http://schemas.openxmlformats.org/officeDocument/2006/relationships/image" Target="/xl/media/image1022.png" Id="rId11" /><Relationship Type="http://schemas.openxmlformats.org/officeDocument/2006/relationships/image" Target="/xl/media/image1819.png" Id="rId24" /><Relationship Type="http://schemas.openxmlformats.org/officeDocument/2006/relationships/image" Target="/xl/media/image512.png" Id="rId5" /><Relationship Type="http://schemas.openxmlformats.org/officeDocument/2006/relationships/image" Target="/xl/media/image14.png" Id="rId15" /><Relationship Type="http://schemas.openxmlformats.org/officeDocument/2006/relationships/image" Target="/xl/media/image2311.png" Id="rId23" /><Relationship Type="http://schemas.openxmlformats.org/officeDocument/2006/relationships/image" Target="/xl/media/image94.png" Id="rId10" /><Relationship Type="http://schemas.openxmlformats.org/officeDocument/2006/relationships/image" Target="/xl/media/image197.png" Id="rId19" /><Relationship Type="http://schemas.openxmlformats.org/officeDocument/2006/relationships/image" Target="/xl/media/image421.png" Id="rId4" /><Relationship Type="http://schemas.openxmlformats.org/officeDocument/2006/relationships/image" Target="/xl/media/image810.png" Id="rId9" /><Relationship Type="http://schemas.openxmlformats.org/officeDocument/2006/relationships/image" Target="/xl/media/image136.png" Id="rId14" /><Relationship Type="http://schemas.openxmlformats.org/officeDocument/2006/relationships/image" Target="/xl/media/image2218.png" Id="rId22" /></Relationships>
</file>

<file path=xl/drawings/_rels/drawing58.xml.rels>&#65279;<?xml version="1.0" encoding="utf-8"?><Relationships xmlns="http://schemas.openxmlformats.org/package/2006/relationships"><Relationship Type="http://schemas.openxmlformats.org/officeDocument/2006/relationships/image" Target="/xl/media/image1523.png" Id="rId8" /><Relationship Type="http://schemas.openxmlformats.org/officeDocument/2006/relationships/image" Target="/xl/media/image2124.png" Id="rId13" /><Relationship Type="http://schemas.openxmlformats.org/officeDocument/2006/relationships/image" Target="/xl/media/image421.png" Id="rId18" /><Relationship Type="http://schemas.openxmlformats.org/officeDocument/2006/relationships/image" Target="/xl/media/image1117.png" Id="rId3" /><Relationship Type="http://schemas.openxmlformats.org/officeDocument/2006/relationships/image" Target="/xl/media/image725.png" Id="rId21" /><Relationship Type="http://schemas.openxmlformats.org/officeDocument/2006/relationships/image" Target="/xl/media/image14.png" Id="rId7" /><Relationship Type="http://schemas.openxmlformats.org/officeDocument/2006/relationships/image" Target="/xl/media/image202.png" Id="rId12" /><Relationship Type="http://schemas.openxmlformats.org/officeDocument/2006/relationships/image" Target="/xl/media/image33.png" Id="rId17" /><Relationship Type="http://schemas.openxmlformats.org/officeDocument/2006/relationships/image" Target="/xl/media/image1819.png" Id="rId25" /><Relationship Type="http://schemas.openxmlformats.org/officeDocument/2006/relationships/image" Target="/xl/media/image1022.png" Id="rId2" /><Relationship Type="http://schemas.openxmlformats.org/officeDocument/2006/relationships/image" Target="/xl/media/image268.png" Id="rId16" /><Relationship Type="http://schemas.openxmlformats.org/officeDocument/2006/relationships/image" Target="/xl/media/image65.png" Id="rId20" /><Relationship Type="http://schemas.openxmlformats.org/officeDocument/2006/relationships/image" Target="/xl/media/image113.png" Id="rId1" /><Relationship Type="http://schemas.openxmlformats.org/officeDocument/2006/relationships/image" Target="/xl/media/image136.png" Id="rId6" /><Relationship Type="http://schemas.openxmlformats.org/officeDocument/2006/relationships/image" Target="/xl/media/image197.png" Id="rId11" /><Relationship Type="http://schemas.openxmlformats.org/officeDocument/2006/relationships/image" Target="/xl/media/image94.png" Id="rId24" /><Relationship Type="http://schemas.openxmlformats.org/officeDocument/2006/relationships/image" Target="/xl/media/image2416.png" Id="rId5" /><Relationship Type="http://schemas.openxmlformats.org/officeDocument/2006/relationships/image" Target="/xl/media/image2311.png" Id="rId15" /><Relationship Type="http://schemas.openxmlformats.org/officeDocument/2006/relationships/image" Target="/xl/media/image810.png" Id="rId23" /><Relationship Type="http://schemas.openxmlformats.org/officeDocument/2006/relationships/image" Target="/xl/media/image1715.png" Id="rId10" /><Relationship Type="http://schemas.openxmlformats.org/officeDocument/2006/relationships/image" Target="/xl/media/image512.png" Id="rId19" /><Relationship Type="http://schemas.openxmlformats.org/officeDocument/2006/relationships/image" Target="/xl/media/image1214.png" Id="rId4" /><Relationship Type="http://schemas.openxmlformats.org/officeDocument/2006/relationships/image" Target="/xl/media/image1620.png" Id="rId9" /><Relationship Type="http://schemas.openxmlformats.org/officeDocument/2006/relationships/image" Target="/xl/media/image2218.png" Id="rId14" /><Relationship Type="http://schemas.openxmlformats.org/officeDocument/2006/relationships/image" Target="/xl/media/image259.png" Id="rId22" /></Relationships>
</file>

<file path=xl/drawings/_rels/drawing66.xml.rels>&#65279;<?xml version="1.0" encoding="utf-8"?><Relationships xmlns="http://schemas.openxmlformats.org/package/2006/relationships"><Relationship Type="http://schemas.openxmlformats.org/officeDocument/2006/relationships/image" Target="/xl/media/image33.png" Id="rId8" /><Relationship Type="http://schemas.openxmlformats.org/officeDocument/2006/relationships/image" Target="/xl/media/image259.png" Id="rId13" /><Relationship Type="http://schemas.openxmlformats.org/officeDocument/2006/relationships/image" Target="/xl/media/image1214.png" Id="rId18" /><Relationship Type="http://schemas.openxmlformats.org/officeDocument/2006/relationships/image" Target="/xl/media/image226.png" Id="rId26" /><Relationship Type="http://schemas.openxmlformats.org/officeDocument/2006/relationships/image" Target="/xl/media/image197.png" Id="rId3" /><Relationship Type="http://schemas.openxmlformats.org/officeDocument/2006/relationships/image" Target="/xl/media/image14.png" Id="rId21" /><Relationship Type="http://schemas.openxmlformats.org/officeDocument/2006/relationships/image" Target="/xl/media/image2311.png" Id="rId7" /><Relationship Type="http://schemas.openxmlformats.org/officeDocument/2006/relationships/image" Target="/xl/media/image725.png" Id="rId12" /><Relationship Type="http://schemas.openxmlformats.org/officeDocument/2006/relationships/image" Target="/xl/media/image1117.png" Id="rId17" /><Relationship Type="http://schemas.openxmlformats.org/officeDocument/2006/relationships/image" Target="/xl/media/image1819.png" Id="rId25" /><Relationship Type="http://schemas.openxmlformats.org/officeDocument/2006/relationships/image" Target="/xl/media/image1715.png" Id="rId2" /><Relationship Type="http://schemas.openxmlformats.org/officeDocument/2006/relationships/image" Target="/xl/media/image1022.png" Id="rId16" /><Relationship Type="http://schemas.openxmlformats.org/officeDocument/2006/relationships/image" Target="/xl/media/image136.png" Id="rId20" /><Relationship Type="http://schemas.openxmlformats.org/officeDocument/2006/relationships/image" Target="/xl/media/image113.png" Id="rId1" /><Relationship Type="http://schemas.openxmlformats.org/officeDocument/2006/relationships/image" Target="/xl/media/image2218.png" Id="rId6" /><Relationship Type="http://schemas.openxmlformats.org/officeDocument/2006/relationships/image" Target="/xl/media/image65.png" Id="rId11" /><Relationship Type="http://schemas.openxmlformats.org/officeDocument/2006/relationships/image" Target="/xl/media/image268.png" Id="rId24" /><Relationship Type="http://schemas.openxmlformats.org/officeDocument/2006/relationships/image" Target="/xl/media/image2124.png" Id="rId5" /><Relationship Type="http://schemas.openxmlformats.org/officeDocument/2006/relationships/image" Target="/xl/media/image94.png" Id="rId15" /><Relationship Type="http://schemas.openxmlformats.org/officeDocument/2006/relationships/image" Target="/xl/media/image1620.png" Id="rId23" /><Relationship Type="http://schemas.openxmlformats.org/officeDocument/2006/relationships/image" Target="/xl/media/image512.png" Id="rId10" /><Relationship Type="http://schemas.openxmlformats.org/officeDocument/2006/relationships/image" Target="/xl/media/image2416.png" Id="rId19" /><Relationship Type="http://schemas.openxmlformats.org/officeDocument/2006/relationships/image" Target="/xl/media/image202.png" Id="rId4" /><Relationship Type="http://schemas.openxmlformats.org/officeDocument/2006/relationships/image" Target="/xl/media/image421.png" Id="rId9" /><Relationship Type="http://schemas.openxmlformats.org/officeDocument/2006/relationships/image" Target="/xl/media/image810.png" Id="rId14" /><Relationship Type="http://schemas.openxmlformats.org/officeDocument/2006/relationships/image" Target="/xl/media/image1523.png" Id="rId22" /></Relationships>
</file>

<file path=xl/drawings/_rels/drawing72.xml.rels>&#65279;<?xml version="1.0" encoding="utf-8"?><Relationships xmlns="http://schemas.openxmlformats.org/package/2006/relationships"><Relationship Type="http://schemas.openxmlformats.org/officeDocument/2006/relationships/image" Target="/xl/media/image1022.png" Id="rId8" /><Relationship Type="http://schemas.openxmlformats.org/officeDocument/2006/relationships/image" Target="/xl/media/image14.png" Id="rId13" /><Relationship Type="http://schemas.openxmlformats.org/officeDocument/2006/relationships/image" Target="/xl/media/image202.png" Id="rId18" /><Relationship Type="http://schemas.openxmlformats.org/officeDocument/2006/relationships/image" Target="/xl/media/image65.png" Id="rId3" /><Relationship Type="http://schemas.openxmlformats.org/officeDocument/2006/relationships/image" Target="/xl/media/image2311.png" Id="rId21" /><Relationship Type="http://schemas.openxmlformats.org/officeDocument/2006/relationships/image" Target="/xl/media/image94.png" Id="rId7" /><Relationship Type="http://schemas.openxmlformats.org/officeDocument/2006/relationships/image" Target="/xl/media/image136.png" Id="rId12" /><Relationship Type="http://schemas.openxmlformats.org/officeDocument/2006/relationships/image" Target="/xl/media/image197.png" Id="rId17" /><Relationship Type="http://schemas.openxmlformats.org/officeDocument/2006/relationships/image" Target="/xl/media/image1819.png" Id="rId25" /><Relationship Type="http://schemas.openxmlformats.org/officeDocument/2006/relationships/image" Target="/xl/media/image512.png" Id="rId2" /><Relationship Type="http://schemas.openxmlformats.org/officeDocument/2006/relationships/image" Target="/xl/media/image1715.png" Id="rId16" /><Relationship Type="http://schemas.openxmlformats.org/officeDocument/2006/relationships/image" Target="/xl/media/image2218.png" Id="rId20" /><Relationship Type="http://schemas.openxmlformats.org/officeDocument/2006/relationships/image" Target="/xl/media/image113.png" Id="rId1" /><Relationship Type="http://schemas.openxmlformats.org/officeDocument/2006/relationships/image" Target="/xl/media/image810.png" Id="rId6" /><Relationship Type="http://schemas.openxmlformats.org/officeDocument/2006/relationships/image" Target="/xl/media/image2416.png" Id="rId11" /><Relationship Type="http://schemas.openxmlformats.org/officeDocument/2006/relationships/image" Target="/xl/media/image268.png" Id="rId24" /><Relationship Type="http://schemas.openxmlformats.org/officeDocument/2006/relationships/image" Target="/xl/media/image259.png" Id="rId5" /><Relationship Type="http://schemas.openxmlformats.org/officeDocument/2006/relationships/image" Target="/xl/media/image1620.png" Id="rId15" /><Relationship Type="http://schemas.openxmlformats.org/officeDocument/2006/relationships/image" Target="/xl/media/image421.png" Id="rId23" /><Relationship Type="http://schemas.openxmlformats.org/officeDocument/2006/relationships/image" Target="/xl/media/image1214.png" Id="rId10" /><Relationship Type="http://schemas.openxmlformats.org/officeDocument/2006/relationships/image" Target="/xl/media/image2124.png" Id="rId19" /><Relationship Type="http://schemas.openxmlformats.org/officeDocument/2006/relationships/image" Target="/xl/media/image725.png" Id="rId4" /><Relationship Type="http://schemas.openxmlformats.org/officeDocument/2006/relationships/image" Target="/xl/media/image1117.png" Id="rId9" /><Relationship Type="http://schemas.openxmlformats.org/officeDocument/2006/relationships/image" Target="/xl/media/image1523.png" Id="rId14" /><Relationship Type="http://schemas.openxmlformats.org/officeDocument/2006/relationships/image" Target="/xl/media/image33.png" Id="rId22" /></Relationships>
</file>

<file path=xl/drawings/_rels/drawing813.xml.rels>&#65279;<?xml version="1.0" encoding="utf-8"?><Relationships xmlns="http://schemas.openxmlformats.org/package/2006/relationships"><Relationship Type="http://schemas.openxmlformats.org/officeDocument/2006/relationships/image" Target="/xl/media/image1715.png" Id="rId8" /><Relationship Type="http://schemas.openxmlformats.org/officeDocument/2006/relationships/image" Target="/xl/media/image2218.png" Id="rId13" /><Relationship Type="http://schemas.openxmlformats.org/officeDocument/2006/relationships/image" Target="/xl/media/image65.png" Id="rId18" /><Relationship Type="http://schemas.openxmlformats.org/officeDocument/2006/relationships/image" Target="/xl/media/image2416.png" Id="rId3" /><Relationship Type="http://schemas.openxmlformats.org/officeDocument/2006/relationships/image" Target="/xl/media/image810.png" Id="rId21" /><Relationship Type="http://schemas.openxmlformats.org/officeDocument/2006/relationships/image" Target="/xl/media/image1620.png" Id="rId7" /><Relationship Type="http://schemas.openxmlformats.org/officeDocument/2006/relationships/image" Target="/xl/media/image2124.png" Id="rId12" /><Relationship Type="http://schemas.openxmlformats.org/officeDocument/2006/relationships/image" Target="/xl/media/image512.png" Id="rId17" /><Relationship Type="http://schemas.openxmlformats.org/officeDocument/2006/relationships/image" Target="/xl/media/image268.png" Id="rId25" /><Relationship Type="http://schemas.openxmlformats.org/officeDocument/2006/relationships/image" Target="/xl/media/image1214.png" Id="rId2" /><Relationship Type="http://schemas.openxmlformats.org/officeDocument/2006/relationships/image" Target="/xl/media/image421.png" Id="rId16" /><Relationship Type="http://schemas.openxmlformats.org/officeDocument/2006/relationships/image" Target="/xl/media/image259.png" Id="rId20" /><Relationship Type="http://schemas.openxmlformats.org/officeDocument/2006/relationships/image" Target="/xl/media/image113.png" Id="rId1" /><Relationship Type="http://schemas.openxmlformats.org/officeDocument/2006/relationships/image" Target="/xl/media/image1523.png" Id="rId6" /><Relationship Type="http://schemas.openxmlformats.org/officeDocument/2006/relationships/image" Target="/xl/media/image202.png" Id="rId11" /><Relationship Type="http://schemas.openxmlformats.org/officeDocument/2006/relationships/image" Target="/xl/media/image1117.png" Id="rId24" /><Relationship Type="http://schemas.openxmlformats.org/officeDocument/2006/relationships/image" Target="/xl/media/image14.png" Id="rId5" /><Relationship Type="http://schemas.openxmlformats.org/officeDocument/2006/relationships/image" Target="/xl/media/image33.png" Id="rId15" /><Relationship Type="http://schemas.openxmlformats.org/officeDocument/2006/relationships/image" Target="/xl/media/image1022.png" Id="rId23" /><Relationship Type="http://schemas.openxmlformats.org/officeDocument/2006/relationships/image" Target="/xl/media/image197.png" Id="rId10" /><Relationship Type="http://schemas.openxmlformats.org/officeDocument/2006/relationships/image" Target="/xl/media/image725.png" Id="rId19" /><Relationship Type="http://schemas.openxmlformats.org/officeDocument/2006/relationships/image" Target="/xl/media/image136.png" Id="rId4" /><Relationship Type="http://schemas.openxmlformats.org/officeDocument/2006/relationships/image" Target="/xl/media/image1819.png" Id="rId9" /><Relationship Type="http://schemas.openxmlformats.org/officeDocument/2006/relationships/image" Target="/xl/media/image2311.png" Id="rId14" /><Relationship Type="http://schemas.openxmlformats.org/officeDocument/2006/relationships/image" Target="/xl/media/image94.png" Id="rId22" /></Relationships>
</file>

<file path=xl/drawings/_rels/drawing911.xml.rels>&#65279;<?xml version="1.0" encoding="utf-8"?><Relationships xmlns="http://schemas.openxmlformats.org/package/2006/relationships"><Relationship Type="http://schemas.openxmlformats.org/officeDocument/2006/relationships/image" Target="/xl/media/image512.png" Id="rId8" /><Relationship Type="http://schemas.openxmlformats.org/officeDocument/2006/relationships/image" Target="/xl/media/image1022.png" Id="rId13" /><Relationship Type="http://schemas.openxmlformats.org/officeDocument/2006/relationships/image" Target="/xl/media/image14.png" Id="rId18" /><Relationship Type="http://schemas.openxmlformats.org/officeDocument/2006/relationships/image" Target="/xl/media/image2124.png" Id="rId3" /><Relationship Type="http://schemas.openxmlformats.org/officeDocument/2006/relationships/image" Target="/xl/media/image1715.png" Id="rId21" /><Relationship Type="http://schemas.openxmlformats.org/officeDocument/2006/relationships/image" Target="/xl/media/image421.png" Id="rId7" /><Relationship Type="http://schemas.openxmlformats.org/officeDocument/2006/relationships/image" Target="/xl/media/image94.png" Id="rId12" /><Relationship Type="http://schemas.openxmlformats.org/officeDocument/2006/relationships/image" Target="/xl/media/image136.png" Id="rId17" /><Relationship Type="http://schemas.openxmlformats.org/officeDocument/2006/relationships/image" Target="/xl/media/image268.png" Id="rId25" /><Relationship Type="http://schemas.openxmlformats.org/officeDocument/2006/relationships/image" Target="/xl/media/image202.png" Id="rId2" /><Relationship Type="http://schemas.openxmlformats.org/officeDocument/2006/relationships/image" Target="/xl/media/image2416.png" Id="rId16" /><Relationship Type="http://schemas.openxmlformats.org/officeDocument/2006/relationships/image" Target="/xl/media/image1620.png" Id="rId20" /><Relationship Type="http://schemas.openxmlformats.org/officeDocument/2006/relationships/image" Target="/xl/media/image113.png" Id="rId1" /><Relationship Type="http://schemas.openxmlformats.org/officeDocument/2006/relationships/image" Target="/xl/media/image33.png" Id="rId6" /><Relationship Type="http://schemas.openxmlformats.org/officeDocument/2006/relationships/image" Target="/xl/media/image810.png" Id="rId11" /><Relationship Type="http://schemas.openxmlformats.org/officeDocument/2006/relationships/image" Target="/xl/media/image259.png" Id="rId24" /><Relationship Type="http://schemas.openxmlformats.org/officeDocument/2006/relationships/image" Target="/xl/media/image2311.png" Id="rId5" /><Relationship Type="http://schemas.openxmlformats.org/officeDocument/2006/relationships/image" Target="/xl/media/image1214.png" Id="rId15" /><Relationship Type="http://schemas.openxmlformats.org/officeDocument/2006/relationships/image" Target="/xl/media/image197.png" Id="rId23" /><Relationship Type="http://schemas.openxmlformats.org/officeDocument/2006/relationships/image" Target="/xl/media/image725.png" Id="rId10" /><Relationship Type="http://schemas.openxmlformats.org/officeDocument/2006/relationships/image" Target="/xl/media/image1523.png" Id="rId19" /><Relationship Type="http://schemas.openxmlformats.org/officeDocument/2006/relationships/image" Target="/xl/media/image2218.png" Id="rId4" /><Relationship Type="http://schemas.openxmlformats.org/officeDocument/2006/relationships/image" Target="/xl/media/image65.png" Id="rId9" /><Relationship Type="http://schemas.openxmlformats.org/officeDocument/2006/relationships/image" Target="/xl/media/image1117.png" Id="rId14" /><Relationship Type="http://schemas.openxmlformats.org/officeDocument/2006/relationships/image" Target="/xl/media/image1819.png" Id="rId22" /></Relationship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</xdr:row>
      <xdr:rowOff>114300</xdr:rowOff>
    </xdr:from>
    <xdr:to>
      <xdr:col>4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7</xdr:row>
      <xdr:rowOff>114300</xdr:rowOff>
    </xdr:from>
    <xdr:to>
      <xdr:col>5</xdr:col>
      <xdr:colOff>385445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7</xdr:row>
      <xdr:rowOff>114300</xdr:rowOff>
    </xdr:from>
    <xdr:to>
      <xdr:col>6</xdr:col>
      <xdr:colOff>384893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104775</xdr:rowOff>
    </xdr:from>
    <xdr:to>
      <xdr:col>7</xdr:col>
      <xdr:colOff>394418</xdr:colOff>
      <xdr:row>7</xdr:row>
      <xdr:rowOff>379095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24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385445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384893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104775</xdr:rowOff>
    </xdr:from>
    <xdr:to>
      <xdr:col>7</xdr:col>
      <xdr:colOff>394418</xdr:colOff>
      <xdr:row>8</xdr:row>
      <xdr:rowOff>379095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385445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385445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104775</xdr:rowOff>
    </xdr:from>
    <xdr:to>
      <xdr:col>7</xdr:col>
      <xdr:colOff>394970</xdr:colOff>
      <xdr:row>9</xdr:row>
      <xdr:rowOff>379095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379095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104775</xdr:rowOff>
    </xdr:from>
    <xdr:to>
      <xdr:col>7</xdr:col>
      <xdr:colOff>394418</xdr:colOff>
      <xdr:row>10</xdr:row>
      <xdr:rowOff>379095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384893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114300</xdr:rowOff>
    </xdr:from>
    <xdr:to>
      <xdr:col>4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11</xdr:row>
      <xdr:rowOff>114300</xdr:rowOff>
    </xdr:from>
    <xdr:to>
      <xdr:col>5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11</xdr:row>
      <xdr:rowOff>114300</xdr:rowOff>
    </xdr:from>
    <xdr:to>
      <xdr:col>6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394418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</xdr:row>
      <xdr:rowOff>104775</xdr:rowOff>
    </xdr:from>
    <xdr:to>
      <xdr:col>9</xdr:col>
      <xdr:colOff>384893</xdr:colOff>
      <xdr:row>8</xdr:row>
      <xdr:rowOff>379095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</xdr:row>
      <xdr:rowOff>104775</xdr:rowOff>
    </xdr:from>
    <xdr:to>
      <xdr:col>10</xdr:col>
      <xdr:colOff>385445</xdr:colOff>
      <xdr:row>8</xdr:row>
      <xdr:rowOff>379095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8</xdr:row>
      <xdr:rowOff>104775</xdr:rowOff>
    </xdr:from>
    <xdr:to>
      <xdr:col>11</xdr:col>
      <xdr:colOff>385445</xdr:colOff>
      <xdr:row>8</xdr:row>
      <xdr:rowOff>379095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8</xdr:row>
      <xdr:rowOff>104775</xdr:rowOff>
    </xdr:from>
    <xdr:to>
      <xdr:col>12</xdr:col>
      <xdr:colOff>385445</xdr:colOff>
      <xdr:row>8</xdr:row>
      <xdr:rowOff>379095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8</xdr:row>
      <xdr:rowOff>104775</xdr:rowOff>
    </xdr:from>
    <xdr:to>
      <xdr:col>13</xdr:col>
      <xdr:colOff>385445</xdr:colOff>
      <xdr:row>8</xdr:row>
      <xdr:rowOff>379095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8</xdr:row>
      <xdr:rowOff>104775</xdr:rowOff>
    </xdr:from>
    <xdr:to>
      <xdr:col>14</xdr:col>
      <xdr:colOff>385445</xdr:colOff>
      <xdr:row>8</xdr:row>
      <xdr:rowOff>379095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9</xdr:row>
      <xdr:rowOff>104775</xdr:rowOff>
    </xdr:from>
    <xdr:to>
      <xdr:col>9</xdr:col>
      <xdr:colOff>384893</xdr:colOff>
      <xdr:row>9</xdr:row>
      <xdr:rowOff>379095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9</xdr:row>
      <xdr:rowOff>104775</xdr:rowOff>
    </xdr:from>
    <xdr:to>
      <xdr:col>10</xdr:col>
      <xdr:colOff>384893</xdr:colOff>
      <xdr:row>9</xdr:row>
      <xdr:rowOff>379095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9</xdr:row>
      <xdr:rowOff>104775</xdr:rowOff>
    </xdr:from>
    <xdr:to>
      <xdr:col>11</xdr:col>
      <xdr:colOff>385445</xdr:colOff>
      <xdr:row>9</xdr:row>
      <xdr:rowOff>379095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9</xdr:row>
      <xdr:rowOff>104775</xdr:rowOff>
    </xdr:from>
    <xdr:to>
      <xdr:col>12</xdr:col>
      <xdr:colOff>385445</xdr:colOff>
      <xdr:row>9</xdr:row>
      <xdr:rowOff>379095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9</xdr:row>
      <xdr:rowOff>104775</xdr:rowOff>
    </xdr:from>
    <xdr:to>
      <xdr:col>13</xdr:col>
      <xdr:colOff>385445</xdr:colOff>
      <xdr:row>9</xdr:row>
      <xdr:rowOff>379095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9</xdr:row>
      <xdr:rowOff>104775</xdr:rowOff>
    </xdr:from>
    <xdr:to>
      <xdr:col>14</xdr:col>
      <xdr:colOff>385445</xdr:colOff>
      <xdr:row>9</xdr:row>
      <xdr:rowOff>379095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10</xdr:row>
      <xdr:rowOff>104775</xdr:rowOff>
    </xdr:from>
    <xdr:to>
      <xdr:col>9</xdr:col>
      <xdr:colOff>385445</xdr:colOff>
      <xdr:row>10</xdr:row>
      <xdr:rowOff>379095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10</xdr:row>
      <xdr:rowOff>104775</xdr:rowOff>
    </xdr:from>
    <xdr:to>
      <xdr:col>10</xdr:col>
      <xdr:colOff>385445</xdr:colOff>
      <xdr:row>10</xdr:row>
      <xdr:rowOff>379095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10</xdr:row>
      <xdr:rowOff>104775</xdr:rowOff>
    </xdr:from>
    <xdr:to>
      <xdr:col>11</xdr:col>
      <xdr:colOff>385445</xdr:colOff>
      <xdr:row>10</xdr:row>
      <xdr:rowOff>379095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10</xdr:row>
      <xdr:rowOff>104775</xdr:rowOff>
    </xdr:from>
    <xdr:to>
      <xdr:col>12</xdr:col>
      <xdr:colOff>385445</xdr:colOff>
      <xdr:row>10</xdr:row>
      <xdr:rowOff>379095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10</xdr:row>
      <xdr:rowOff>104775</xdr:rowOff>
    </xdr:from>
    <xdr:to>
      <xdr:col>13</xdr:col>
      <xdr:colOff>385445</xdr:colOff>
      <xdr:row>10</xdr:row>
      <xdr:rowOff>379095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10</xdr:row>
      <xdr:rowOff>104775</xdr:rowOff>
    </xdr:from>
    <xdr:to>
      <xdr:col>14</xdr:col>
      <xdr:colOff>385445</xdr:colOff>
      <xdr:row>10</xdr:row>
      <xdr:rowOff>379095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11</xdr:row>
      <xdr:rowOff>104775</xdr:rowOff>
    </xdr:from>
    <xdr:to>
      <xdr:col>9</xdr:col>
      <xdr:colOff>385445</xdr:colOff>
      <xdr:row>11</xdr:row>
      <xdr:rowOff>379095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11</xdr:row>
      <xdr:rowOff>104775</xdr:rowOff>
    </xdr:from>
    <xdr:to>
      <xdr:col>10</xdr:col>
      <xdr:colOff>384893</xdr:colOff>
      <xdr:row>11</xdr:row>
      <xdr:rowOff>379095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5353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11</xdr:row>
      <xdr:rowOff>104775</xdr:rowOff>
    </xdr:from>
    <xdr:to>
      <xdr:col>11</xdr:col>
      <xdr:colOff>384893</xdr:colOff>
      <xdr:row>11</xdr:row>
      <xdr:rowOff>379095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5353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11</xdr:row>
      <xdr:rowOff>104775</xdr:rowOff>
    </xdr:from>
    <xdr:to>
      <xdr:col>12</xdr:col>
      <xdr:colOff>385445</xdr:colOff>
      <xdr:row>11</xdr:row>
      <xdr:rowOff>379095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11</xdr:row>
      <xdr:rowOff>104775</xdr:rowOff>
    </xdr:from>
    <xdr:to>
      <xdr:col>13</xdr:col>
      <xdr:colOff>385445</xdr:colOff>
      <xdr:row>11</xdr:row>
      <xdr:rowOff>379095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11</xdr:row>
      <xdr:rowOff>104775</xdr:rowOff>
    </xdr:from>
    <xdr:to>
      <xdr:col>14</xdr:col>
      <xdr:colOff>385445</xdr:colOff>
      <xdr:row>11</xdr:row>
      <xdr:rowOff>379095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114300</xdr:rowOff>
    </xdr:from>
    <xdr:to>
      <xdr:col>23</xdr:col>
      <xdr:colOff>404495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8</xdr:row>
      <xdr:rowOff>114300</xdr:rowOff>
    </xdr:from>
    <xdr:to>
      <xdr:col>17</xdr:col>
      <xdr:colOff>394970</xdr:colOff>
      <xdr:row>8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8</xdr:row>
      <xdr:rowOff>114300</xdr:rowOff>
    </xdr:from>
    <xdr:to>
      <xdr:col>18</xdr:col>
      <xdr:colOff>394418</xdr:colOff>
      <xdr:row>8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8</xdr:row>
      <xdr:rowOff>114300</xdr:rowOff>
    </xdr:from>
    <xdr:to>
      <xdr:col>19</xdr:col>
      <xdr:colOff>394418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8</xdr:row>
      <xdr:rowOff>114300</xdr:rowOff>
    </xdr:from>
    <xdr:to>
      <xdr:col>20</xdr:col>
      <xdr:colOff>394970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8</xdr:row>
      <xdr:rowOff>114300</xdr:rowOff>
    </xdr:from>
    <xdr:to>
      <xdr:col>21</xdr:col>
      <xdr:colOff>394970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8</xdr:row>
      <xdr:rowOff>114300</xdr:rowOff>
    </xdr:from>
    <xdr:to>
      <xdr:col>22</xdr:col>
      <xdr:colOff>394970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114300</xdr:rowOff>
    </xdr:from>
    <xdr:to>
      <xdr:col>23</xdr:col>
      <xdr:colOff>404495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9</xdr:row>
      <xdr:rowOff>114300</xdr:rowOff>
    </xdr:from>
    <xdr:to>
      <xdr:col>17</xdr:col>
      <xdr:colOff>394970</xdr:colOff>
      <xdr:row>9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9</xdr:row>
      <xdr:rowOff>114300</xdr:rowOff>
    </xdr:from>
    <xdr:to>
      <xdr:col>18</xdr:col>
      <xdr:colOff>394970</xdr:colOff>
      <xdr:row>9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9</xdr:row>
      <xdr:rowOff>114300</xdr:rowOff>
    </xdr:from>
    <xdr:to>
      <xdr:col>19</xdr:col>
      <xdr:colOff>394418</xdr:colOff>
      <xdr:row>9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9</xdr:row>
      <xdr:rowOff>114300</xdr:rowOff>
    </xdr:from>
    <xdr:to>
      <xdr:col>20</xdr:col>
      <xdr:colOff>394418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9</xdr:row>
      <xdr:rowOff>114300</xdr:rowOff>
    </xdr:from>
    <xdr:to>
      <xdr:col>21</xdr:col>
      <xdr:colOff>394970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9</xdr:row>
      <xdr:rowOff>114300</xdr:rowOff>
    </xdr:from>
    <xdr:to>
      <xdr:col>22</xdr:col>
      <xdr:colOff>394970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114300</xdr:rowOff>
    </xdr:from>
    <xdr:to>
      <xdr:col>23</xdr:col>
      <xdr:colOff>404495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394970</xdr:colOff>
      <xdr:row>10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394970</xdr:colOff>
      <xdr:row>10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10</xdr:row>
      <xdr:rowOff>114300</xdr:rowOff>
    </xdr:from>
    <xdr:to>
      <xdr:col>19</xdr:col>
      <xdr:colOff>394970</xdr:colOff>
      <xdr:row>10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10</xdr:row>
      <xdr:rowOff>114300</xdr:rowOff>
    </xdr:from>
    <xdr:to>
      <xdr:col>20</xdr:col>
      <xdr:colOff>394970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10</xdr:row>
      <xdr:rowOff>114300</xdr:rowOff>
    </xdr:from>
    <xdr:to>
      <xdr:col>21</xdr:col>
      <xdr:colOff>394970</xdr:colOff>
      <xdr:row>10</xdr:row>
      <xdr:rowOff>379095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10</xdr:row>
      <xdr:rowOff>114300</xdr:rowOff>
    </xdr:from>
    <xdr:to>
      <xdr:col>22</xdr:col>
      <xdr:colOff>394970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114300</xdr:rowOff>
    </xdr:from>
    <xdr:to>
      <xdr:col>23</xdr:col>
      <xdr:colOff>404495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394970</xdr:colOff>
      <xdr:row>11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114300</xdr:rowOff>
    </xdr:from>
    <xdr:to>
      <xdr:col>19</xdr:col>
      <xdr:colOff>394418</xdr:colOff>
      <xdr:row>11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11</xdr:row>
      <xdr:rowOff>114300</xdr:rowOff>
    </xdr:from>
    <xdr:to>
      <xdr:col>20</xdr:col>
      <xdr:colOff>394418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11</xdr:row>
      <xdr:rowOff>114300</xdr:rowOff>
    </xdr:from>
    <xdr:to>
      <xdr:col>21</xdr:col>
      <xdr:colOff>394970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11</xdr:row>
      <xdr:rowOff>114300</xdr:rowOff>
    </xdr:from>
    <xdr:to>
      <xdr:col>22</xdr:col>
      <xdr:colOff>394970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114300</xdr:rowOff>
    </xdr:from>
    <xdr:to>
      <xdr:col>23</xdr:col>
      <xdr:colOff>404495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12</xdr:row>
      <xdr:rowOff>114300</xdr:rowOff>
    </xdr:from>
    <xdr:to>
      <xdr:col>17</xdr:col>
      <xdr:colOff>394970</xdr:colOff>
      <xdr:row>12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12</xdr:row>
      <xdr:rowOff>114300</xdr:rowOff>
    </xdr:from>
    <xdr:to>
      <xdr:col>18</xdr:col>
      <xdr:colOff>394970</xdr:colOff>
      <xdr:row>12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16</xdr:row>
      <xdr:rowOff>114300</xdr:rowOff>
    </xdr:from>
    <xdr:to>
      <xdr:col>3</xdr:col>
      <xdr:colOff>365843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16</xdr:row>
      <xdr:rowOff>114300</xdr:rowOff>
    </xdr:from>
    <xdr:to>
      <xdr:col>4</xdr:col>
      <xdr:colOff>365843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16</xdr:row>
      <xdr:rowOff>114300</xdr:rowOff>
    </xdr:from>
    <xdr:to>
      <xdr:col>5</xdr:col>
      <xdr:colOff>366395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16</xdr:row>
      <xdr:rowOff>114300</xdr:rowOff>
    </xdr:from>
    <xdr:to>
      <xdr:col>6</xdr:col>
      <xdr:colOff>366395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17</xdr:row>
      <xdr:rowOff>114300</xdr:rowOff>
    </xdr:from>
    <xdr:to>
      <xdr:col>1</xdr:col>
      <xdr:colOff>366395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17</xdr:row>
      <xdr:rowOff>114300</xdr:rowOff>
    </xdr:from>
    <xdr:to>
      <xdr:col>2</xdr:col>
      <xdr:colOff>366395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17</xdr:row>
      <xdr:rowOff>114300</xdr:rowOff>
    </xdr:from>
    <xdr:to>
      <xdr:col>3</xdr:col>
      <xdr:colOff>366395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17</xdr:row>
      <xdr:rowOff>114300</xdr:rowOff>
    </xdr:from>
    <xdr:to>
      <xdr:col>4</xdr:col>
      <xdr:colOff>365843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17</xdr:row>
      <xdr:rowOff>114300</xdr:rowOff>
    </xdr:from>
    <xdr:to>
      <xdr:col>5</xdr:col>
      <xdr:colOff>365843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17</xdr:row>
      <xdr:rowOff>114300</xdr:rowOff>
    </xdr:from>
    <xdr:to>
      <xdr:col>6</xdr:col>
      <xdr:colOff>366395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18</xdr:row>
      <xdr:rowOff>114300</xdr:rowOff>
    </xdr:from>
    <xdr:to>
      <xdr:col>1</xdr:col>
      <xdr:colOff>366395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18</xdr:row>
      <xdr:rowOff>114300</xdr:rowOff>
    </xdr:from>
    <xdr:to>
      <xdr:col>2</xdr:col>
      <xdr:colOff>366395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18</xdr:row>
      <xdr:rowOff>114300</xdr:rowOff>
    </xdr:from>
    <xdr:to>
      <xdr:col>3</xdr:col>
      <xdr:colOff>366395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18</xdr:row>
      <xdr:rowOff>114300</xdr:rowOff>
    </xdr:from>
    <xdr:to>
      <xdr:col>4</xdr:col>
      <xdr:colOff>366395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18</xdr:row>
      <xdr:rowOff>114300</xdr:rowOff>
    </xdr:from>
    <xdr:to>
      <xdr:col>5</xdr:col>
      <xdr:colOff>366395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18</xdr:row>
      <xdr:rowOff>114300</xdr:rowOff>
    </xdr:from>
    <xdr:to>
      <xdr:col>6</xdr:col>
      <xdr:colOff>366395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19</xdr:row>
      <xdr:rowOff>114300</xdr:rowOff>
    </xdr:from>
    <xdr:to>
      <xdr:col>1</xdr:col>
      <xdr:colOff>366395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19</xdr:row>
      <xdr:rowOff>114300</xdr:rowOff>
    </xdr:from>
    <xdr:to>
      <xdr:col>2</xdr:col>
      <xdr:colOff>366395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19</xdr:row>
      <xdr:rowOff>114300</xdr:rowOff>
    </xdr:from>
    <xdr:to>
      <xdr:col>3</xdr:col>
      <xdr:colOff>366395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19</xdr:row>
      <xdr:rowOff>114300</xdr:rowOff>
    </xdr:from>
    <xdr:to>
      <xdr:col>4</xdr:col>
      <xdr:colOff>365843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19</xdr:row>
      <xdr:rowOff>114300</xdr:rowOff>
    </xdr:from>
    <xdr:to>
      <xdr:col>5</xdr:col>
      <xdr:colOff>365843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</xdr:colOff>
      <xdr:row>19</xdr:row>
      <xdr:rowOff>114300</xdr:rowOff>
    </xdr:from>
    <xdr:to>
      <xdr:col>6</xdr:col>
      <xdr:colOff>366395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20</xdr:row>
      <xdr:rowOff>114300</xdr:rowOff>
    </xdr:from>
    <xdr:to>
      <xdr:col>1</xdr:col>
      <xdr:colOff>366395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20</xdr:row>
      <xdr:rowOff>114300</xdr:rowOff>
    </xdr:from>
    <xdr:to>
      <xdr:col>2</xdr:col>
      <xdr:colOff>366395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20</xdr:row>
      <xdr:rowOff>114300</xdr:rowOff>
    </xdr:from>
    <xdr:to>
      <xdr:col>3</xdr:col>
      <xdr:colOff>366395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</xdr:colOff>
      <xdr:row>20</xdr:row>
      <xdr:rowOff>114300</xdr:rowOff>
    </xdr:from>
    <xdr:to>
      <xdr:col>4</xdr:col>
      <xdr:colOff>366395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16</xdr:row>
      <xdr:rowOff>114300</xdr:rowOff>
    </xdr:from>
    <xdr:to>
      <xdr:col>13</xdr:col>
      <xdr:colOff>403943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16</xdr:row>
      <xdr:rowOff>114300</xdr:rowOff>
    </xdr:from>
    <xdr:to>
      <xdr:col>14</xdr:col>
      <xdr:colOff>403943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16</xdr:row>
      <xdr:rowOff>123825</xdr:rowOff>
    </xdr:from>
    <xdr:to>
      <xdr:col>15</xdr:col>
      <xdr:colOff>385445</xdr:colOff>
      <xdr:row>16</xdr:row>
      <xdr:rowOff>398145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17</xdr:row>
      <xdr:rowOff>114300</xdr:rowOff>
    </xdr:from>
    <xdr:to>
      <xdr:col>9</xdr:col>
      <xdr:colOff>404495</xdr:colOff>
      <xdr:row>17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17</xdr:row>
      <xdr:rowOff>114300</xdr:rowOff>
    </xdr:from>
    <xdr:to>
      <xdr:col>10</xdr:col>
      <xdr:colOff>404495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17</xdr:row>
      <xdr:rowOff>114300</xdr:rowOff>
    </xdr:from>
    <xdr:to>
      <xdr:col>11</xdr:col>
      <xdr:colOff>404495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17</xdr:row>
      <xdr:rowOff>114300</xdr:rowOff>
    </xdr:from>
    <xdr:to>
      <xdr:col>12</xdr:col>
      <xdr:colOff>404495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17</xdr:row>
      <xdr:rowOff>114300</xdr:rowOff>
    </xdr:from>
    <xdr:to>
      <xdr:col>13</xdr:col>
      <xdr:colOff>404495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17</xdr:row>
      <xdr:rowOff>114300</xdr:rowOff>
    </xdr:from>
    <xdr:to>
      <xdr:col>14</xdr:col>
      <xdr:colOff>403943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17</xdr:row>
      <xdr:rowOff>123825</xdr:rowOff>
    </xdr:from>
    <xdr:to>
      <xdr:col>15</xdr:col>
      <xdr:colOff>384893</xdr:colOff>
      <xdr:row>17</xdr:row>
      <xdr:rowOff>398145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858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18</xdr:row>
      <xdr:rowOff>114300</xdr:rowOff>
    </xdr:from>
    <xdr:to>
      <xdr:col>9</xdr:col>
      <xdr:colOff>404495</xdr:colOff>
      <xdr:row>18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18</xdr:row>
      <xdr:rowOff>114300</xdr:rowOff>
    </xdr:from>
    <xdr:to>
      <xdr:col>10</xdr:col>
      <xdr:colOff>404495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18</xdr:row>
      <xdr:rowOff>114300</xdr:rowOff>
    </xdr:from>
    <xdr:to>
      <xdr:col>11</xdr:col>
      <xdr:colOff>404495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18</xdr:row>
      <xdr:rowOff>114300</xdr:rowOff>
    </xdr:from>
    <xdr:to>
      <xdr:col>12</xdr:col>
      <xdr:colOff>404495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18</xdr:row>
      <xdr:rowOff>114300</xdr:rowOff>
    </xdr:from>
    <xdr:to>
      <xdr:col>13</xdr:col>
      <xdr:colOff>404495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18</xdr:row>
      <xdr:rowOff>114300</xdr:rowOff>
    </xdr:from>
    <xdr:to>
      <xdr:col>14</xdr:col>
      <xdr:colOff>404495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18</xdr:row>
      <xdr:rowOff>123825</xdr:rowOff>
    </xdr:from>
    <xdr:to>
      <xdr:col>15</xdr:col>
      <xdr:colOff>385445</xdr:colOff>
      <xdr:row>18</xdr:row>
      <xdr:rowOff>398145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19</xdr:row>
      <xdr:rowOff>114300</xdr:rowOff>
    </xdr:from>
    <xdr:to>
      <xdr:col>9</xdr:col>
      <xdr:colOff>404495</xdr:colOff>
      <xdr:row>19</xdr:row>
      <xdr:rowOff>379095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19</xdr:row>
      <xdr:rowOff>114300</xdr:rowOff>
    </xdr:from>
    <xdr:to>
      <xdr:col>10</xdr:col>
      <xdr:colOff>404495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19</xdr:row>
      <xdr:rowOff>114300</xdr:rowOff>
    </xdr:from>
    <xdr:to>
      <xdr:col>11</xdr:col>
      <xdr:colOff>404495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19</xdr:row>
      <xdr:rowOff>114300</xdr:rowOff>
    </xdr:from>
    <xdr:to>
      <xdr:col>12</xdr:col>
      <xdr:colOff>404495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19</xdr:row>
      <xdr:rowOff>114300</xdr:rowOff>
    </xdr:from>
    <xdr:to>
      <xdr:col>13</xdr:col>
      <xdr:colOff>404495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19</xdr:row>
      <xdr:rowOff>114300</xdr:rowOff>
    </xdr:from>
    <xdr:to>
      <xdr:col>14</xdr:col>
      <xdr:colOff>403943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19</xdr:row>
      <xdr:rowOff>123825</xdr:rowOff>
    </xdr:from>
    <xdr:to>
      <xdr:col>15</xdr:col>
      <xdr:colOff>384893</xdr:colOff>
      <xdr:row>19</xdr:row>
      <xdr:rowOff>398145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20</xdr:row>
      <xdr:rowOff>114300</xdr:rowOff>
    </xdr:from>
    <xdr:to>
      <xdr:col>9</xdr:col>
      <xdr:colOff>404495</xdr:colOff>
      <xdr:row>20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20</xdr:row>
      <xdr:rowOff>114300</xdr:rowOff>
    </xdr:from>
    <xdr:to>
      <xdr:col>10</xdr:col>
      <xdr:colOff>404495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20</xdr:row>
      <xdr:rowOff>114300</xdr:rowOff>
    </xdr:from>
    <xdr:to>
      <xdr:col>11</xdr:col>
      <xdr:colOff>404495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20</xdr:row>
      <xdr:rowOff>114300</xdr:rowOff>
    </xdr:from>
    <xdr:to>
      <xdr:col>12</xdr:col>
      <xdr:colOff>404495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20</xdr:row>
      <xdr:rowOff>114300</xdr:rowOff>
    </xdr:from>
    <xdr:to>
      <xdr:col>13</xdr:col>
      <xdr:colOff>404495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20</xdr:row>
      <xdr:rowOff>114300</xdr:rowOff>
    </xdr:from>
    <xdr:to>
      <xdr:col>14</xdr:col>
      <xdr:colOff>404495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20</xdr:row>
      <xdr:rowOff>123825</xdr:rowOff>
    </xdr:from>
    <xdr:to>
      <xdr:col>15</xdr:col>
      <xdr:colOff>384893</xdr:colOff>
      <xdr:row>20</xdr:row>
      <xdr:rowOff>398145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9229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16</xdr:row>
      <xdr:rowOff>114300</xdr:rowOff>
    </xdr:from>
    <xdr:to>
      <xdr:col>17</xdr:col>
      <xdr:colOff>384893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16</xdr:row>
      <xdr:rowOff>114300</xdr:rowOff>
    </xdr:from>
    <xdr:to>
      <xdr:col>18</xdr:col>
      <xdr:colOff>385445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16</xdr:row>
      <xdr:rowOff>114300</xdr:rowOff>
    </xdr:from>
    <xdr:to>
      <xdr:col>19</xdr:col>
      <xdr:colOff>385445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16</xdr:row>
      <xdr:rowOff>114300</xdr:rowOff>
    </xdr:from>
    <xdr:to>
      <xdr:col>20</xdr:col>
      <xdr:colOff>385445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16</xdr:row>
      <xdr:rowOff>114300</xdr:rowOff>
    </xdr:from>
    <xdr:to>
      <xdr:col>21</xdr:col>
      <xdr:colOff>385445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16</xdr:row>
      <xdr:rowOff>114300</xdr:rowOff>
    </xdr:from>
    <xdr:to>
      <xdr:col>22</xdr:col>
      <xdr:colOff>385445</xdr:colOff>
      <xdr:row>16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16</xdr:row>
      <xdr:rowOff>104775</xdr:rowOff>
    </xdr:from>
    <xdr:to>
      <xdr:col>23</xdr:col>
      <xdr:colOff>404495</xdr:colOff>
      <xdr:row>16</xdr:row>
      <xdr:rowOff>379095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17</xdr:row>
      <xdr:rowOff>114300</xdr:rowOff>
    </xdr:from>
    <xdr:to>
      <xdr:col>17</xdr:col>
      <xdr:colOff>384893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17</xdr:row>
      <xdr:rowOff>114300</xdr:rowOff>
    </xdr:from>
    <xdr:to>
      <xdr:col>18</xdr:col>
      <xdr:colOff>384893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17</xdr:row>
      <xdr:rowOff>114300</xdr:rowOff>
    </xdr:from>
    <xdr:to>
      <xdr:col>19</xdr:col>
      <xdr:colOff>385445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17</xdr:row>
      <xdr:rowOff>114300</xdr:rowOff>
    </xdr:from>
    <xdr:to>
      <xdr:col>20</xdr:col>
      <xdr:colOff>385445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17</xdr:row>
      <xdr:rowOff>114300</xdr:rowOff>
    </xdr:from>
    <xdr:to>
      <xdr:col>21</xdr:col>
      <xdr:colOff>385445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114300</xdr:rowOff>
    </xdr:from>
    <xdr:to>
      <xdr:col>22</xdr:col>
      <xdr:colOff>385445</xdr:colOff>
      <xdr:row>17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17</xdr:row>
      <xdr:rowOff>104775</xdr:rowOff>
    </xdr:from>
    <xdr:to>
      <xdr:col>23</xdr:col>
      <xdr:colOff>404495</xdr:colOff>
      <xdr:row>17</xdr:row>
      <xdr:rowOff>379095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18</xdr:row>
      <xdr:rowOff>114300</xdr:rowOff>
    </xdr:from>
    <xdr:to>
      <xdr:col>17</xdr:col>
      <xdr:colOff>385445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18</xdr:row>
      <xdr:rowOff>114300</xdr:rowOff>
    </xdr:from>
    <xdr:to>
      <xdr:col>18</xdr:col>
      <xdr:colOff>385445</xdr:colOff>
      <xdr:row>18</xdr:row>
      <xdr:rowOff>379095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18</xdr:row>
      <xdr:rowOff>114300</xdr:rowOff>
    </xdr:from>
    <xdr:to>
      <xdr:col>19</xdr:col>
      <xdr:colOff>385445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18</xdr:row>
      <xdr:rowOff>114300</xdr:rowOff>
    </xdr:from>
    <xdr:to>
      <xdr:col>20</xdr:col>
      <xdr:colOff>385445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18</xdr:row>
      <xdr:rowOff>114300</xdr:rowOff>
    </xdr:from>
    <xdr:to>
      <xdr:col>21</xdr:col>
      <xdr:colOff>385445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18</xdr:row>
      <xdr:rowOff>114300</xdr:rowOff>
    </xdr:from>
    <xdr:to>
      <xdr:col>22</xdr:col>
      <xdr:colOff>385445</xdr:colOff>
      <xdr:row>18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18</xdr:row>
      <xdr:rowOff>104775</xdr:rowOff>
    </xdr:from>
    <xdr:to>
      <xdr:col>23</xdr:col>
      <xdr:colOff>403943</xdr:colOff>
      <xdr:row>18</xdr:row>
      <xdr:rowOff>379095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296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19</xdr:row>
      <xdr:rowOff>114300</xdr:rowOff>
    </xdr:from>
    <xdr:to>
      <xdr:col>17</xdr:col>
      <xdr:colOff>384893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19</xdr:row>
      <xdr:rowOff>114300</xdr:rowOff>
    </xdr:from>
    <xdr:to>
      <xdr:col>18</xdr:col>
      <xdr:colOff>385445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19</xdr:row>
      <xdr:rowOff>114300</xdr:rowOff>
    </xdr:from>
    <xdr:to>
      <xdr:col>19</xdr:col>
      <xdr:colOff>385445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19</xdr:row>
      <xdr:rowOff>114300</xdr:rowOff>
    </xdr:from>
    <xdr:to>
      <xdr:col>20</xdr:col>
      <xdr:colOff>385445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19</xdr:row>
      <xdr:rowOff>114300</xdr:rowOff>
    </xdr:from>
    <xdr:to>
      <xdr:col>21</xdr:col>
      <xdr:colOff>385445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19</xdr:row>
      <xdr:rowOff>114300</xdr:rowOff>
    </xdr:from>
    <xdr:to>
      <xdr:col>22</xdr:col>
      <xdr:colOff>385445</xdr:colOff>
      <xdr:row>19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19</xdr:row>
      <xdr:rowOff>104775</xdr:rowOff>
    </xdr:from>
    <xdr:to>
      <xdr:col>23</xdr:col>
      <xdr:colOff>404495</xdr:colOff>
      <xdr:row>19</xdr:row>
      <xdr:rowOff>379095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20</xdr:row>
      <xdr:rowOff>114300</xdr:rowOff>
    </xdr:from>
    <xdr:to>
      <xdr:col>17</xdr:col>
      <xdr:colOff>384893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20</xdr:row>
      <xdr:rowOff>114300</xdr:rowOff>
    </xdr:from>
    <xdr:to>
      <xdr:col>18</xdr:col>
      <xdr:colOff>384893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123825</xdr:rowOff>
    </xdr:from>
    <xdr:to>
      <xdr:col>7</xdr:col>
      <xdr:colOff>394970</xdr:colOff>
      <xdr:row>25</xdr:row>
      <xdr:rowOff>398145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375368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375368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123825</xdr:rowOff>
    </xdr:from>
    <xdr:to>
      <xdr:col>7</xdr:col>
      <xdr:colOff>394970</xdr:colOff>
      <xdr:row>26</xdr:row>
      <xdr:rowOff>398145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375920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379095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9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123825</xdr:rowOff>
    </xdr:from>
    <xdr:to>
      <xdr:col>7</xdr:col>
      <xdr:colOff>394970</xdr:colOff>
      <xdr:row>27</xdr:row>
      <xdr:rowOff>398145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375920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375368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375368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9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123825</xdr:rowOff>
    </xdr:from>
    <xdr:to>
      <xdr:col>7</xdr:col>
      <xdr:colOff>394970</xdr:colOff>
      <xdr:row>28</xdr:row>
      <xdr:rowOff>398145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9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9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375368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9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29</xdr:row>
      <xdr:rowOff>114300</xdr:rowOff>
    </xdr:from>
    <xdr:to>
      <xdr:col>4</xdr:col>
      <xdr:colOff>375368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9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29</xdr:row>
      <xdr:rowOff>114300</xdr:rowOff>
    </xdr:from>
    <xdr:to>
      <xdr:col>5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25</xdr:row>
      <xdr:rowOff>114300</xdr:rowOff>
    </xdr:from>
    <xdr:to>
      <xdr:col>14</xdr:col>
      <xdr:colOff>404495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123825</xdr:rowOff>
    </xdr:from>
    <xdr:to>
      <xdr:col>15</xdr:col>
      <xdr:colOff>404495</xdr:colOff>
      <xdr:row>25</xdr:row>
      <xdr:rowOff>398145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26</xdr:row>
      <xdr:rowOff>114300</xdr:rowOff>
    </xdr:from>
    <xdr:to>
      <xdr:col>9</xdr:col>
      <xdr:colOff>404495</xdr:colOff>
      <xdr:row>26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26</xdr:row>
      <xdr:rowOff>114300</xdr:rowOff>
    </xdr:from>
    <xdr:to>
      <xdr:col>10</xdr:col>
      <xdr:colOff>404495</xdr:colOff>
      <xdr:row>26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26</xdr:row>
      <xdr:rowOff>114300</xdr:rowOff>
    </xdr:from>
    <xdr:to>
      <xdr:col>11</xdr:col>
      <xdr:colOff>403943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26</xdr:row>
      <xdr:rowOff>114300</xdr:rowOff>
    </xdr:from>
    <xdr:to>
      <xdr:col>12</xdr:col>
      <xdr:colOff>403943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26</xdr:row>
      <xdr:rowOff>114300</xdr:rowOff>
    </xdr:from>
    <xdr:to>
      <xdr:col>13</xdr:col>
      <xdr:colOff>404495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26</xdr:row>
      <xdr:rowOff>114300</xdr:rowOff>
    </xdr:from>
    <xdr:to>
      <xdr:col>14</xdr:col>
      <xdr:colOff>404495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123825</xdr:rowOff>
    </xdr:from>
    <xdr:to>
      <xdr:col>15</xdr:col>
      <xdr:colOff>404495</xdr:colOff>
      <xdr:row>26</xdr:row>
      <xdr:rowOff>398145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27</xdr:row>
      <xdr:rowOff>114300</xdr:rowOff>
    </xdr:from>
    <xdr:to>
      <xdr:col>9</xdr:col>
      <xdr:colOff>404495</xdr:colOff>
      <xdr:row>27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27</xdr:row>
      <xdr:rowOff>114300</xdr:rowOff>
    </xdr:from>
    <xdr:to>
      <xdr:col>10</xdr:col>
      <xdr:colOff>404495</xdr:colOff>
      <xdr:row>27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9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27</xdr:row>
      <xdr:rowOff>114300</xdr:rowOff>
    </xdr:from>
    <xdr:to>
      <xdr:col>11</xdr:col>
      <xdr:colOff>404495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9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27</xdr:row>
      <xdr:rowOff>114300</xdr:rowOff>
    </xdr:from>
    <xdr:to>
      <xdr:col>12</xdr:col>
      <xdr:colOff>404495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9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27</xdr:row>
      <xdr:rowOff>114300</xdr:rowOff>
    </xdr:from>
    <xdr:to>
      <xdr:col>13</xdr:col>
      <xdr:colOff>404495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9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27</xdr:row>
      <xdr:rowOff>114300</xdr:rowOff>
    </xdr:from>
    <xdr:to>
      <xdr:col>14</xdr:col>
      <xdr:colOff>404495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9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123825</xdr:rowOff>
    </xdr:from>
    <xdr:to>
      <xdr:col>15</xdr:col>
      <xdr:colOff>404495</xdr:colOff>
      <xdr:row>27</xdr:row>
      <xdr:rowOff>398145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9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28</xdr:row>
      <xdr:rowOff>114300</xdr:rowOff>
    </xdr:from>
    <xdr:to>
      <xdr:col>9</xdr:col>
      <xdr:colOff>404495</xdr:colOff>
      <xdr:row>28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9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28</xdr:row>
      <xdr:rowOff>114300</xdr:rowOff>
    </xdr:from>
    <xdr:to>
      <xdr:col>10</xdr:col>
      <xdr:colOff>404495</xdr:colOff>
      <xdr:row>28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9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28</xdr:row>
      <xdr:rowOff>114300</xdr:rowOff>
    </xdr:from>
    <xdr:to>
      <xdr:col>11</xdr:col>
      <xdr:colOff>403943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9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28</xdr:row>
      <xdr:rowOff>114300</xdr:rowOff>
    </xdr:from>
    <xdr:to>
      <xdr:col>12</xdr:col>
      <xdr:colOff>403943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9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28</xdr:row>
      <xdr:rowOff>114300</xdr:rowOff>
    </xdr:from>
    <xdr:to>
      <xdr:col>13</xdr:col>
      <xdr:colOff>404495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9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28</xdr:row>
      <xdr:rowOff>114300</xdr:rowOff>
    </xdr:from>
    <xdr:to>
      <xdr:col>14</xdr:col>
      <xdr:colOff>404495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9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123825</xdr:rowOff>
    </xdr:from>
    <xdr:to>
      <xdr:col>15</xdr:col>
      <xdr:colOff>404495</xdr:colOff>
      <xdr:row>28</xdr:row>
      <xdr:rowOff>398145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9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29</xdr:row>
      <xdr:rowOff>114300</xdr:rowOff>
    </xdr:from>
    <xdr:to>
      <xdr:col>9</xdr:col>
      <xdr:colOff>404495</xdr:colOff>
      <xdr:row>29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9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29</xdr:row>
      <xdr:rowOff>114300</xdr:rowOff>
    </xdr:from>
    <xdr:to>
      <xdr:col>10</xdr:col>
      <xdr:colOff>404495</xdr:colOff>
      <xdr:row>29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29</xdr:row>
      <xdr:rowOff>114300</xdr:rowOff>
    </xdr:from>
    <xdr:to>
      <xdr:col>11</xdr:col>
      <xdr:colOff>404495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9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29</xdr:row>
      <xdr:rowOff>114300</xdr:rowOff>
    </xdr:from>
    <xdr:to>
      <xdr:col>12</xdr:col>
      <xdr:colOff>403943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9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29</xdr:row>
      <xdr:rowOff>114300</xdr:rowOff>
    </xdr:from>
    <xdr:to>
      <xdr:col>13</xdr:col>
      <xdr:colOff>403943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9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29</xdr:row>
      <xdr:rowOff>114300</xdr:rowOff>
    </xdr:from>
    <xdr:to>
      <xdr:col>14</xdr:col>
      <xdr:colOff>404495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9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29</xdr:row>
      <xdr:rowOff>123825</xdr:rowOff>
    </xdr:from>
    <xdr:to>
      <xdr:col>15</xdr:col>
      <xdr:colOff>404495</xdr:colOff>
      <xdr:row>29</xdr:row>
      <xdr:rowOff>398145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9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30</xdr:row>
      <xdr:rowOff>114300</xdr:rowOff>
    </xdr:from>
    <xdr:to>
      <xdr:col>9</xdr:col>
      <xdr:colOff>404495</xdr:colOff>
      <xdr:row>30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9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25</xdr:row>
      <xdr:rowOff>114300</xdr:rowOff>
    </xdr:from>
    <xdr:to>
      <xdr:col>18</xdr:col>
      <xdr:colOff>394970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9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25</xdr:row>
      <xdr:rowOff>114300</xdr:rowOff>
    </xdr:from>
    <xdr:to>
      <xdr:col>19</xdr:col>
      <xdr:colOff>394970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9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25</xdr:row>
      <xdr:rowOff>114300</xdr:rowOff>
    </xdr:from>
    <xdr:to>
      <xdr:col>20</xdr:col>
      <xdr:colOff>394970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9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25</xdr:row>
      <xdr:rowOff>114300</xdr:rowOff>
    </xdr:from>
    <xdr:to>
      <xdr:col>21</xdr:col>
      <xdr:colOff>394418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9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25</xdr:row>
      <xdr:rowOff>114300</xdr:rowOff>
    </xdr:from>
    <xdr:to>
      <xdr:col>22</xdr:col>
      <xdr:colOff>394418</xdr:colOff>
      <xdr:row>25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9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104775</xdr:rowOff>
    </xdr:from>
    <xdr:to>
      <xdr:col>23</xdr:col>
      <xdr:colOff>404495</xdr:colOff>
      <xdr:row>25</xdr:row>
      <xdr:rowOff>379095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9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394970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9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9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394970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9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394970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9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9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379095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9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104775</xdr:rowOff>
    </xdr:from>
    <xdr:to>
      <xdr:col>23</xdr:col>
      <xdr:colOff>404495</xdr:colOff>
      <xdr:row>26</xdr:row>
      <xdr:rowOff>379095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9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394970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9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394970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9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394970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9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394970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9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394418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9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394418</xdr:colOff>
      <xdr:row>27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9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104775</xdr:rowOff>
    </xdr:from>
    <xdr:to>
      <xdr:col>23</xdr:col>
      <xdr:colOff>404495</xdr:colOff>
      <xdr:row>27</xdr:row>
      <xdr:rowOff>379095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9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9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9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9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394970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9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394970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9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394418</xdr:colOff>
      <xdr:row>28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9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104775</xdr:rowOff>
    </xdr:from>
    <xdr:to>
      <xdr:col>23</xdr:col>
      <xdr:colOff>403943</xdr:colOff>
      <xdr:row>28</xdr:row>
      <xdr:rowOff>379095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9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394970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9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394970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9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29</xdr:row>
      <xdr:rowOff>114300</xdr:rowOff>
    </xdr:from>
    <xdr:to>
      <xdr:col>19</xdr:col>
      <xdr:colOff>394970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9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34</xdr:row>
      <xdr:rowOff>114300</xdr:rowOff>
    </xdr:from>
    <xdr:to>
      <xdr:col>4</xdr:col>
      <xdr:colOff>375920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9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34</xdr:row>
      <xdr:rowOff>114300</xdr:rowOff>
    </xdr:from>
    <xdr:to>
      <xdr:col>5</xdr:col>
      <xdr:colOff>375920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9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34</xdr:row>
      <xdr:rowOff>114300</xdr:rowOff>
    </xdr:from>
    <xdr:to>
      <xdr:col>6</xdr:col>
      <xdr:colOff>375368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9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104775</xdr:rowOff>
    </xdr:from>
    <xdr:to>
      <xdr:col>7</xdr:col>
      <xdr:colOff>394418</xdr:colOff>
      <xdr:row>34</xdr:row>
      <xdr:rowOff>379095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9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097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9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9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9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375920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9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375920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9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104775</xdr:rowOff>
    </xdr:from>
    <xdr:to>
      <xdr:col>7</xdr:col>
      <xdr:colOff>394970</xdr:colOff>
      <xdr:row>35</xdr:row>
      <xdr:rowOff>379095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9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375920</xdr:colOff>
      <xdr:row>36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9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9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9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9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9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375920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9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104775</xdr:rowOff>
    </xdr:from>
    <xdr:to>
      <xdr:col>7</xdr:col>
      <xdr:colOff>394418</xdr:colOff>
      <xdr:row>36</xdr:row>
      <xdr:rowOff>379095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9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375368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9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375920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9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9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9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9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375920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9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104775</xdr:rowOff>
    </xdr:from>
    <xdr:to>
      <xdr:col>7</xdr:col>
      <xdr:colOff>394418</xdr:colOff>
      <xdr:row>37</xdr:row>
      <xdr:rowOff>379095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9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375368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9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9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9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9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38</xdr:row>
      <xdr:rowOff>114300</xdr:rowOff>
    </xdr:from>
    <xdr:to>
      <xdr:col>5</xdr:col>
      <xdr:colOff>375920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9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114300</xdr:rowOff>
    </xdr:from>
    <xdr:to>
      <xdr:col>6</xdr:col>
      <xdr:colOff>375920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9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394418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9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95250</xdr:rowOff>
    </xdr:from>
    <xdr:to>
      <xdr:col>9</xdr:col>
      <xdr:colOff>384893</xdr:colOff>
      <xdr:row>35</xdr:row>
      <xdr:rowOff>369570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9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44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95250</xdr:rowOff>
    </xdr:from>
    <xdr:to>
      <xdr:col>10</xdr:col>
      <xdr:colOff>385445</xdr:colOff>
      <xdr:row>35</xdr:row>
      <xdr:rowOff>369570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9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95250</xdr:rowOff>
    </xdr:from>
    <xdr:to>
      <xdr:col>11</xdr:col>
      <xdr:colOff>385445</xdr:colOff>
      <xdr:row>35</xdr:row>
      <xdr:rowOff>369570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9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95250</xdr:rowOff>
    </xdr:from>
    <xdr:to>
      <xdr:col>12</xdr:col>
      <xdr:colOff>385445</xdr:colOff>
      <xdr:row>35</xdr:row>
      <xdr:rowOff>369570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9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95250</xdr:rowOff>
    </xdr:from>
    <xdr:to>
      <xdr:col>13</xdr:col>
      <xdr:colOff>385445</xdr:colOff>
      <xdr:row>35</xdr:row>
      <xdr:rowOff>369570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9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95250</xdr:rowOff>
    </xdr:from>
    <xdr:to>
      <xdr:col>14</xdr:col>
      <xdr:colOff>385445</xdr:colOff>
      <xdr:row>35</xdr:row>
      <xdr:rowOff>369570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9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9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95250</xdr:rowOff>
    </xdr:from>
    <xdr:to>
      <xdr:col>9</xdr:col>
      <xdr:colOff>385445</xdr:colOff>
      <xdr:row>36</xdr:row>
      <xdr:rowOff>369570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9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95250</xdr:rowOff>
    </xdr:from>
    <xdr:to>
      <xdr:col>10</xdr:col>
      <xdr:colOff>385445</xdr:colOff>
      <xdr:row>36</xdr:row>
      <xdr:rowOff>369570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9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95250</xdr:rowOff>
    </xdr:from>
    <xdr:to>
      <xdr:col>11</xdr:col>
      <xdr:colOff>385445</xdr:colOff>
      <xdr:row>36</xdr:row>
      <xdr:rowOff>360045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02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95250</xdr:rowOff>
    </xdr:from>
    <xdr:to>
      <xdr:col>12</xdr:col>
      <xdr:colOff>385445</xdr:colOff>
      <xdr:row>36</xdr:row>
      <xdr:rowOff>369570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9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95250</xdr:rowOff>
    </xdr:from>
    <xdr:to>
      <xdr:col>13</xdr:col>
      <xdr:colOff>385445</xdr:colOff>
      <xdr:row>36</xdr:row>
      <xdr:rowOff>369570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9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95250</xdr:rowOff>
    </xdr:from>
    <xdr:to>
      <xdr:col>14</xdr:col>
      <xdr:colOff>385445</xdr:colOff>
      <xdr:row>36</xdr:row>
      <xdr:rowOff>369570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9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394970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9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95250</xdr:rowOff>
    </xdr:from>
    <xdr:to>
      <xdr:col>9</xdr:col>
      <xdr:colOff>385445</xdr:colOff>
      <xdr:row>37</xdr:row>
      <xdr:rowOff>369570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9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95250</xdr:rowOff>
    </xdr:from>
    <xdr:to>
      <xdr:col>10</xdr:col>
      <xdr:colOff>384893</xdr:colOff>
      <xdr:row>37</xdr:row>
      <xdr:rowOff>369570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9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95250</xdr:rowOff>
    </xdr:from>
    <xdr:to>
      <xdr:col>11</xdr:col>
      <xdr:colOff>384893</xdr:colOff>
      <xdr:row>37</xdr:row>
      <xdr:rowOff>369570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9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95250</xdr:rowOff>
    </xdr:from>
    <xdr:to>
      <xdr:col>12</xdr:col>
      <xdr:colOff>385445</xdr:colOff>
      <xdr:row>37</xdr:row>
      <xdr:rowOff>369570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9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95250</xdr:rowOff>
    </xdr:from>
    <xdr:to>
      <xdr:col>13</xdr:col>
      <xdr:colOff>385445</xdr:colOff>
      <xdr:row>37</xdr:row>
      <xdr:rowOff>369570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9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95250</xdr:rowOff>
    </xdr:from>
    <xdr:to>
      <xdr:col>14</xdr:col>
      <xdr:colOff>385445</xdr:colOff>
      <xdr:row>37</xdr:row>
      <xdr:rowOff>369570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9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9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95250</xdr:rowOff>
    </xdr:from>
    <xdr:to>
      <xdr:col>9</xdr:col>
      <xdr:colOff>385445</xdr:colOff>
      <xdr:row>38</xdr:row>
      <xdr:rowOff>369570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9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95250</xdr:rowOff>
    </xdr:from>
    <xdr:to>
      <xdr:col>10</xdr:col>
      <xdr:colOff>384893</xdr:colOff>
      <xdr:row>38</xdr:row>
      <xdr:rowOff>369570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9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16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95250</xdr:rowOff>
    </xdr:from>
    <xdr:to>
      <xdr:col>11</xdr:col>
      <xdr:colOff>384893</xdr:colOff>
      <xdr:row>38</xdr:row>
      <xdr:rowOff>369570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9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16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95250</xdr:rowOff>
    </xdr:from>
    <xdr:to>
      <xdr:col>12</xdr:col>
      <xdr:colOff>385445</xdr:colOff>
      <xdr:row>38</xdr:row>
      <xdr:rowOff>369570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9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95250</xdr:rowOff>
    </xdr:from>
    <xdr:to>
      <xdr:col>13</xdr:col>
      <xdr:colOff>385445</xdr:colOff>
      <xdr:row>38</xdr:row>
      <xdr:rowOff>369570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9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95250</xdr:rowOff>
    </xdr:from>
    <xdr:to>
      <xdr:col>14</xdr:col>
      <xdr:colOff>385445</xdr:colOff>
      <xdr:row>38</xdr:row>
      <xdr:rowOff>369570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9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38</xdr:row>
      <xdr:rowOff>114300</xdr:rowOff>
    </xdr:from>
    <xdr:to>
      <xdr:col>15</xdr:col>
      <xdr:colOff>394970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9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39</xdr:row>
      <xdr:rowOff>95250</xdr:rowOff>
    </xdr:from>
    <xdr:to>
      <xdr:col>9</xdr:col>
      <xdr:colOff>384893</xdr:colOff>
      <xdr:row>39</xdr:row>
      <xdr:rowOff>369570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9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7373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34</xdr:row>
      <xdr:rowOff>114300</xdr:rowOff>
    </xdr:from>
    <xdr:to>
      <xdr:col>18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9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34</xdr:row>
      <xdr:rowOff>114300</xdr:rowOff>
    </xdr:from>
    <xdr:to>
      <xdr:col>19</xdr:col>
      <xdr:colOff>394970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9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34</xdr:row>
      <xdr:rowOff>114300</xdr:rowOff>
    </xdr:from>
    <xdr:to>
      <xdr:col>20</xdr:col>
      <xdr:colOff>394970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9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394970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9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394970</xdr:colOff>
      <xdr:row>34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9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104775</xdr:rowOff>
    </xdr:from>
    <xdr:to>
      <xdr:col>23</xdr:col>
      <xdr:colOff>414020</xdr:colOff>
      <xdr:row>34</xdr:row>
      <xdr:rowOff>379095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9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394970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9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394970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9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394970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9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394970</xdr:colOff>
      <xdr:row>35</xdr:row>
      <xdr:rowOff>379095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9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394970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9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394970</xdr:colOff>
      <xdr:row>35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9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104775</xdr:rowOff>
    </xdr:from>
    <xdr:to>
      <xdr:col>23</xdr:col>
      <xdr:colOff>414020</xdr:colOff>
      <xdr:row>35</xdr:row>
      <xdr:rowOff>379095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9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9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9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394418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9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394418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9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394970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9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394970</xdr:colOff>
      <xdr:row>36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9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104775</xdr:rowOff>
    </xdr:from>
    <xdr:to>
      <xdr:col>23</xdr:col>
      <xdr:colOff>414020</xdr:colOff>
      <xdr:row>36</xdr:row>
      <xdr:rowOff>379095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9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9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9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394418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9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394418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9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9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394970</xdr:colOff>
      <xdr:row>37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9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104775</xdr:rowOff>
    </xdr:from>
    <xdr:to>
      <xdr:col>23</xdr:col>
      <xdr:colOff>414020</xdr:colOff>
      <xdr:row>37</xdr:row>
      <xdr:rowOff>379095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9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9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9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394418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9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394418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9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3768" cy="27432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7</xdr:row>
      <xdr:rowOff>114300</xdr:rowOff>
    </xdr:from>
    <xdr:to>
      <xdr:col>5</xdr:col>
      <xdr:colOff>404495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7</xdr:row>
      <xdr:rowOff>114300</xdr:rowOff>
    </xdr:from>
    <xdr:to>
      <xdr:col>6</xdr:col>
      <xdr:colOff>404495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114300</xdr:rowOff>
    </xdr:from>
    <xdr:to>
      <xdr:col>7</xdr:col>
      <xdr:colOff>385445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8</xdr:row>
      <xdr:rowOff>114300</xdr:rowOff>
    </xdr:from>
    <xdr:to>
      <xdr:col>1</xdr:col>
      <xdr:colOff>404495</xdr:colOff>
      <xdr:row>8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8</xdr:row>
      <xdr:rowOff>114300</xdr:rowOff>
    </xdr:from>
    <xdr:to>
      <xdr:col>2</xdr:col>
      <xdr:colOff>404495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8</xdr:row>
      <xdr:rowOff>114300</xdr:rowOff>
    </xdr:from>
    <xdr:to>
      <xdr:col>3</xdr:col>
      <xdr:colOff>404495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8</xdr:row>
      <xdr:rowOff>114300</xdr:rowOff>
    </xdr:from>
    <xdr:to>
      <xdr:col>4</xdr:col>
      <xdr:colOff>404495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8</xdr:row>
      <xdr:rowOff>114300</xdr:rowOff>
    </xdr:from>
    <xdr:to>
      <xdr:col>5</xdr:col>
      <xdr:colOff>404495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8</xdr:row>
      <xdr:rowOff>114300</xdr:rowOff>
    </xdr:from>
    <xdr:to>
      <xdr:col>6</xdr:col>
      <xdr:colOff>404495</xdr:colOff>
      <xdr:row>8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9</xdr:row>
      <xdr:rowOff>114300</xdr:rowOff>
    </xdr:from>
    <xdr:to>
      <xdr:col>1</xdr:col>
      <xdr:colOff>404495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9</xdr:row>
      <xdr:rowOff>114300</xdr:rowOff>
    </xdr:from>
    <xdr:to>
      <xdr:col>2</xdr:col>
      <xdr:colOff>404495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9</xdr:row>
      <xdr:rowOff>114300</xdr:rowOff>
    </xdr:from>
    <xdr:to>
      <xdr:col>3</xdr:col>
      <xdr:colOff>404495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9</xdr:row>
      <xdr:rowOff>114300</xdr:rowOff>
    </xdr:from>
    <xdr:to>
      <xdr:col>4</xdr:col>
      <xdr:colOff>404495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9</xdr:row>
      <xdr:rowOff>114300</xdr:rowOff>
    </xdr:from>
    <xdr:to>
      <xdr:col>5</xdr:col>
      <xdr:colOff>404495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9</xdr:row>
      <xdr:rowOff>114300</xdr:rowOff>
    </xdr:from>
    <xdr:to>
      <xdr:col>6</xdr:col>
      <xdr:colOff>403943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114300</xdr:rowOff>
    </xdr:from>
    <xdr:to>
      <xdr:col>7</xdr:col>
      <xdr:colOff>385445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404495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404495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404495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403943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403943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114300</xdr:rowOff>
    </xdr:from>
    <xdr:to>
      <xdr:col>7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404495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403943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11</xdr:row>
      <xdr:rowOff>114300</xdr:rowOff>
    </xdr:from>
    <xdr:to>
      <xdr:col>6</xdr:col>
      <xdr:colOff>403943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11</xdr:row>
      <xdr:rowOff>114300</xdr:rowOff>
    </xdr:from>
    <xdr:to>
      <xdr:col>7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7</xdr:row>
      <xdr:rowOff>114300</xdr:rowOff>
    </xdr:from>
    <xdr:to>
      <xdr:col>9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7</xdr:row>
      <xdr:rowOff>114300</xdr:rowOff>
    </xdr:from>
    <xdr:to>
      <xdr:col>10</xdr:col>
      <xdr:colOff>394970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7</xdr:row>
      <xdr:rowOff>114300</xdr:rowOff>
    </xdr:from>
    <xdr:to>
      <xdr:col>11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379095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394418</xdr:colOff>
      <xdr:row>8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394418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394418</xdr:colOff>
      <xdr:row>9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394418</xdr:colOff>
      <xdr:row>9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394418</xdr:colOff>
      <xdr:row>10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394418</xdr:colOff>
      <xdr:row>10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7</xdr:row>
      <xdr:rowOff>114300</xdr:rowOff>
    </xdr:from>
    <xdr:to>
      <xdr:col>17</xdr:col>
      <xdr:colOff>404495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7</xdr:row>
      <xdr:rowOff>114300</xdr:rowOff>
    </xdr:from>
    <xdr:to>
      <xdr:col>18</xdr:col>
      <xdr:colOff>404495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7</xdr:row>
      <xdr:rowOff>114300</xdr:rowOff>
    </xdr:from>
    <xdr:to>
      <xdr:col>19</xdr:col>
      <xdr:colOff>404495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7</xdr:row>
      <xdr:rowOff>114300</xdr:rowOff>
    </xdr:from>
    <xdr:to>
      <xdr:col>20</xdr:col>
      <xdr:colOff>404495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7</xdr:row>
      <xdr:rowOff>114300</xdr:rowOff>
    </xdr:from>
    <xdr:to>
      <xdr:col>21</xdr:col>
      <xdr:colOff>404495</xdr:colOff>
      <xdr:row>7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7</xdr:row>
      <xdr:rowOff>114300</xdr:rowOff>
    </xdr:from>
    <xdr:to>
      <xdr:col>22</xdr:col>
      <xdr:colOff>404495</xdr:colOff>
      <xdr:row>7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104775</xdr:rowOff>
    </xdr:from>
    <xdr:to>
      <xdr:col>23</xdr:col>
      <xdr:colOff>404495</xdr:colOff>
      <xdr:row>7</xdr:row>
      <xdr:rowOff>379095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8</xdr:row>
      <xdr:rowOff>114300</xdr:rowOff>
    </xdr:from>
    <xdr:to>
      <xdr:col>17</xdr:col>
      <xdr:colOff>404495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8</xdr:row>
      <xdr:rowOff>114300</xdr:rowOff>
    </xdr:from>
    <xdr:to>
      <xdr:col>18</xdr:col>
      <xdr:colOff>404495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8</xdr:row>
      <xdr:rowOff>114300</xdr:rowOff>
    </xdr:from>
    <xdr:to>
      <xdr:col>19</xdr:col>
      <xdr:colOff>404495</xdr:colOff>
      <xdr:row>8</xdr:row>
      <xdr:rowOff>379095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8</xdr:row>
      <xdr:rowOff>114300</xdr:rowOff>
    </xdr:from>
    <xdr:to>
      <xdr:col>20</xdr:col>
      <xdr:colOff>404495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8</xdr:row>
      <xdr:rowOff>114300</xdr:rowOff>
    </xdr:from>
    <xdr:to>
      <xdr:col>21</xdr:col>
      <xdr:colOff>404495</xdr:colOff>
      <xdr:row>8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8</xdr:row>
      <xdr:rowOff>114300</xdr:rowOff>
    </xdr:from>
    <xdr:to>
      <xdr:col>22</xdr:col>
      <xdr:colOff>404495</xdr:colOff>
      <xdr:row>8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104775</xdr:rowOff>
    </xdr:from>
    <xdr:to>
      <xdr:col>23</xdr:col>
      <xdr:colOff>404495</xdr:colOff>
      <xdr:row>8</xdr:row>
      <xdr:rowOff>379095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9</xdr:row>
      <xdr:rowOff>114300</xdr:rowOff>
    </xdr:from>
    <xdr:to>
      <xdr:col>17</xdr:col>
      <xdr:colOff>403943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9</xdr:row>
      <xdr:rowOff>114300</xdr:rowOff>
    </xdr:from>
    <xdr:to>
      <xdr:col>18</xdr:col>
      <xdr:colOff>403943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9</xdr:row>
      <xdr:rowOff>114300</xdr:rowOff>
    </xdr:from>
    <xdr:to>
      <xdr:col>19</xdr:col>
      <xdr:colOff>404495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9</xdr:row>
      <xdr:rowOff>114300</xdr:rowOff>
    </xdr:from>
    <xdr:to>
      <xdr:col>20</xdr:col>
      <xdr:colOff>404495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9</xdr:row>
      <xdr:rowOff>114300</xdr:rowOff>
    </xdr:from>
    <xdr:to>
      <xdr:col>21</xdr:col>
      <xdr:colOff>404495</xdr:colOff>
      <xdr:row>9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9</xdr:row>
      <xdr:rowOff>114300</xdr:rowOff>
    </xdr:from>
    <xdr:to>
      <xdr:col>22</xdr:col>
      <xdr:colOff>404495</xdr:colOff>
      <xdr:row>9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104775</xdr:rowOff>
    </xdr:from>
    <xdr:to>
      <xdr:col>23</xdr:col>
      <xdr:colOff>404495</xdr:colOff>
      <xdr:row>9</xdr:row>
      <xdr:rowOff>379095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10</xdr:row>
      <xdr:rowOff>114300</xdr:rowOff>
    </xdr:from>
    <xdr:to>
      <xdr:col>17</xdr:col>
      <xdr:colOff>403943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10</xdr:row>
      <xdr:rowOff>114300</xdr:rowOff>
    </xdr:from>
    <xdr:to>
      <xdr:col>18</xdr:col>
      <xdr:colOff>403943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10</xdr:row>
      <xdr:rowOff>114300</xdr:rowOff>
    </xdr:from>
    <xdr:to>
      <xdr:col>19</xdr:col>
      <xdr:colOff>404495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10</xdr:row>
      <xdr:rowOff>114300</xdr:rowOff>
    </xdr:from>
    <xdr:to>
      <xdr:col>20</xdr:col>
      <xdr:colOff>404495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10</xdr:row>
      <xdr:rowOff>114300</xdr:rowOff>
    </xdr:from>
    <xdr:to>
      <xdr:col>21</xdr:col>
      <xdr:colOff>404495</xdr:colOff>
      <xdr:row>10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10</xdr:row>
      <xdr:rowOff>114300</xdr:rowOff>
    </xdr:from>
    <xdr:to>
      <xdr:col>22</xdr:col>
      <xdr:colOff>404495</xdr:colOff>
      <xdr:row>10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104775</xdr:rowOff>
    </xdr:from>
    <xdr:to>
      <xdr:col>23</xdr:col>
      <xdr:colOff>404495</xdr:colOff>
      <xdr:row>10</xdr:row>
      <xdr:rowOff>379095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11</xdr:row>
      <xdr:rowOff>114300</xdr:rowOff>
    </xdr:from>
    <xdr:to>
      <xdr:col>17</xdr:col>
      <xdr:colOff>403943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11</xdr:row>
      <xdr:rowOff>114300</xdr:rowOff>
    </xdr:from>
    <xdr:to>
      <xdr:col>18</xdr:col>
      <xdr:colOff>403943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11</xdr:row>
      <xdr:rowOff>114300</xdr:rowOff>
    </xdr:from>
    <xdr:to>
      <xdr:col>19</xdr:col>
      <xdr:colOff>404495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16</xdr:row>
      <xdr:rowOff>114300</xdr:rowOff>
    </xdr:from>
    <xdr:to>
      <xdr:col>4</xdr:col>
      <xdr:colOff>375920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114300</xdr:rowOff>
    </xdr:from>
    <xdr:to>
      <xdr:col>5</xdr:col>
      <xdr:colOff>375920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375920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375920</xdr:colOff>
      <xdr:row>17</xdr:row>
      <xdr:rowOff>379095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375368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375368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375920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375368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375368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375920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20</xdr:row>
      <xdr:rowOff>114300</xdr:rowOff>
    </xdr:from>
    <xdr:to>
      <xdr:col>3</xdr:col>
      <xdr:colOff>375368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20</xdr:row>
      <xdr:rowOff>114300</xdr:rowOff>
    </xdr:from>
    <xdr:to>
      <xdr:col>4</xdr:col>
      <xdr:colOff>375368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20</xdr:row>
      <xdr:rowOff>114300</xdr:rowOff>
    </xdr:from>
    <xdr:to>
      <xdr:col>5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16</xdr:row>
      <xdr:rowOff>114300</xdr:rowOff>
    </xdr:from>
    <xdr:to>
      <xdr:col>14</xdr:col>
      <xdr:colOff>404495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95250</xdr:rowOff>
    </xdr:from>
    <xdr:to>
      <xdr:col>15</xdr:col>
      <xdr:colOff>404495</xdr:colOff>
      <xdr:row>16</xdr:row>
      <xdr:rowOff>369570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372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17</xdr:row>
      <xdr:rowOff>114300</xdr:rowOff>
    </xdr:from>
    <xdr:to>
      <xdr:col>9</xdr:col>
      <xdr:colOff>404495</xdr:colOff>
      <xdr:row>17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17</xdr:row>
      <xdr:rowOff>114300</xdr:rowOff>
    </xdr:from>
    <xdr:to>
      <xdr:col>10</xdr:col>
      <xdr:colOff>404495</xdr:colOff>
      <xdr:row>17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17</xdr:row>
      <xdr:rowOff>114300</xdr:rowOff>
    </xdr:from>
    <xdr:to>
      <xdr:col>11</xdr:col>
      <xdr:colOff>404495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17</xdr:row>
      <xdr:rowOff>114300</xdr:rowOff>
    </xdr:from>
    <xdr:to>
      <xdr:col>12</xdr:col>
      <xdr:colOff>404495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17</xdr:row>
      <xdr:rowOff>114300</xdr:rowOff>
    </xdr:from>
    <xdr:to>
      <xdr:col>13</xdr:col>
      <xdr:colOff>404495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17</xdr:row>
      <xdr:rowOff>114300</xdr:rowOff>
    </xdr:from>
    <xdr:to>
      <xdr:col>14</xdr:col>
      <xdr:colOff>404495</xdr:colOff>
      <xdr:row>17</xdr:row>
      <xdr:rowOff>379095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95250</xdr:rowOff>
    </xdr:from>
    <xdr:to>
      <xdr:col>15</xdr:col>
      <xdr:colOff>404495</xdr:colOff>
      <xdr:row>17</xdr:row>
      <xdr:rowOff>369570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18</xdr:row>
      <xdr:rowOff>114300</xdr:rowOff>
    </xdr:from>
    <xdr:to>
      <xdr:col>9</xdr:col>
      <xdr:colOff>404495</xdr:colOff>
      <xdr:row>18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18</xdr:row>
      <xdr:rowOff>114300</xdr:rowOff>
    </xdr:from>
    <xdr:to>
      <xdr:col>10</xdr:col>
      <xdr:colOff>404495</xdr:colOff>
      <xdr:row>18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18</xdr:row>
      <xdr:rowOff>114300</xdr:rowOff>
    </xdr:from>
    <xdr:to>
      <xdr:col>11</xdr:col>
      <xdr:colOff>403943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18</xdr:row>
      <xdr:rowOff>114300</xdr:rowOff>
    </xdr:from>
    <xdr:to>
      <xdr:col>12</xdr:col>
      <xdr:colOff>403943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18</xdr:row>
      <xdr:rowOff>114300</xdr:rowOff>
    </xdr:from>
    <xdr:to>
      <xdr:col>13</xdr:col>
      <xdr:colOff>404495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18</xdr:row>
      <xdr:rowOff>114300</xdr:rowOff>
    </xdr:from>
    <xdr:to>
      <xdr:col>14</xdr:col>
      <xdr:colOff>404495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95250</xdr:rowOff>
    </xdr:from>
    <xdr:to>
      <xdr:col>15</xdr:col>
      <xdr:colOff>404495</xdr:colOff>
      <xdr:row>18</xdr:row>
      <xdr:rowOff>369570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286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19</xdr:row>
      <xdr:rowOff>114300</xdr:rowOff>
    </xdr:from>
    <xdr:to>
      <xdr:col>9</xdr:col>
      <xdr:colOff>404495</xdr:colOff>
      <xdr:row>19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19</xdr:row>
      <xdr:rowOff>114300</xdr:rowOff>
    </xdr:from>
    <xdr:to>
      <xdr:col>10</xdr:col>
      <xdr:colOff>404495</xdr:colOff>
      <xdr:row>19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19</xdr:row>
      <xdr:rowOff>114300</xdr:rowOff>
    </xdr:from>
    <xdr:to>
      <xdr:col>11</xdr:col>
      <xdr:colOff>404495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19</xdr:row>
      <xdr:rowOff>114300</xdr:rowOff>
    </xdr:from>
    <xdr:to>
      <xdr:col>12</xdr:col>
      <xdr:colOff>403943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19</xdr:row>
      <xdr:rowOff>114300</xdr:rowOff>
    </xdr:from>
    <xdr:to>
      <xdr:col>13</xdr:col>
      <xdr:colOff>403943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19</xdr:row>
      <xdr:rowOff>114300</xdr:rowOff>
    </xdr:from>
    <xdr:to>
      <xdr:col>14</xdr:col>
      <xdr:colOff>404495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95250</xdr:rowOff>
    </xdr:from>
    <xdr:to>
      <xdr:col>15</xdr:col>
      <xdr:colOff>404495</xdr:colOff>
      <xdr:row>19</xdr:row>
      <xdr:rowOff>369570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43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20</xdr:row>
      <xdr:rowOff>114300</xdr:rowOff>
    </xdr:from>
    <xdr:to>
      <xdr:col>9</xdr:col>
      <xdr:colOff>404495</xdr:colOff>
      <xdr:row>20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20</xdr:row>
      <xdr:rowOff>114300</xdr:rowOff>
    </xdr:from>
    <xdr:to>
      <xdr:col>10</xdr:col>
      <xdr:colOff>404495</xdr:colOff>
      <xdr:row>20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20</xdr:row>
      <xdr:rowOff>114300</xdr:rowOff>
    </xdr:from>
    <xdr:to>
      <xdr:col>11</xdr:col>
      <xdr:colOff>404495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20</xdr:row>
      <xdr:rowOff>114300</xdr:rowOff>
    </xdr:from>
    <xdr:to>
      <xdr:col>12</xdr:col>
      <xdr:colOff>404495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20</xdr:row>
      <xdr:rowOff>114300</xdr:rowOff>
    </xdr:from>
    <xdr:to>
      <xdr:col>13</xdr:col>
      <xdr:colOff>403943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20</xdr:row>
      <xdr:rowOff>114300</xdr:rowOff>
    </xdr:from>
    <xdr:to>
      <xdr:col>14</xdr:col>
      <xdr:colOff>403943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20</xdr:row>
      <xdr:rowOff>95250</xdr:rowOff>
    </xdr:from>
    <xdr:to>
      <xdr:col>15</xdr:col>
      <xdr:colOff>404495</xdr:colOff>
      <xdr:row>20</xdr:row>
      <xdr:rowOff>369570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9201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21</xdr:row>
      <xdr:rowOff>114300</xdr:rowOff>
    </xdr:from>
    <xdr:to>
      <xdr:col>9</xdr:col>
      <xdr:colOff>404495</xdr:colOff>
      <xdr:row>21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677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16</xdr:row>
      <xdr:rowOff>114300</xdr:rowOff>
    </xdr:from>
    <xdr:to>
      <xdr:col>18</xdr:col>
      <xdr:colOff>394970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16</xdr:row>
      <xdr:rowOff>114300</xdr:rowOff>
    </xdr:from>
    <xdr:to>
      <xdr:col>19</xdr:col>
      <xdr:colOff>394970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16</xdr:row>
      <xdr:rowOff>114300</xdr:rowOff>
    </xdr:from>
    <xdr:to>
      <xdr:col>20</xdr:col>
      <xdr:colOff>394970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394970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16</xdr:row>
      <xdr:rowOff>114300</xdr:rowOff>
    </xdr:from>
    <xdr:to>
      <xdr:col>23</xdr:col>
      <xdr:colOff>404495</xdr:colOff>
      <xdr:row>16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394418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394418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17</xdr:row>
      <xdr:rowOff>114300</xdr:rowOff>
    </xdr:from>
    <xdr:to>
      <xdr:col>23</xdr:col>
      <xdr:colOff>404495</xdr:colOff>
      <xdr:row>17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394418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394418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18</xdr:row>
      <xdr:rowOff>114300</xdr:rowOff>
    </xdr:from>
    <xdr:to>
      <xdr:col>23</xdr:col>
      <xdr:colOff>404495</xdr:colOff>
      <xdr:row>18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394970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114300</xdr:rowOff>
    </xdr:from>
    <xdr:to>
      <xdr:col>22</xdr:col>
      <xdr:colOff>394418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19</xdr:row>
      <xdr:rowOff>114300</xdr:rowOff>
    </xdr:from>
    <xdr:to>
      <xdr:col>23</xdr:col>
      <xdr:colOff>403943</xdr:colOff>
      <xdr:row>19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25</xdr:row>
      <xdr:rowOff>114300</xdr:rowOff>
    </xdr:from>
    <xdr:to>
      <xdr:col>4</xdr:col>
      <xdr:colOff>385445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25</xdr:row>
      <xdr:rowOff>114300</xdr:rowOff>
    </xdr:from>
    <xdr:to>
      <xdr:col>5</xdr:col>
      <xdr:colOff>385445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A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A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95250</xdr:rowOff>
    </xdr:from>
    <xdr:to>
      <xdr:col>7</xdr:col>
      <xdr:colOff>404495</xdr:colOff>
      <xdr:row>25</xdr:row>
      <xdr:rowOff>369570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379095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384893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A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95250</xdr:rowOff>
    </xdr:from>
    <xdr:to>
      <xdr:col>7</xdr:col>
      <xdr:colOff>403943</xdr:colOff>
      <xdr:row>26</xdr:row>
      <xdr:rowOff>369570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687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95250</xdr:rowOff>
    </xdr:from>
    <xdr:to>
      <xdr:col>7</xdr:col>
      <xdr:colOff>403943</xdr:colOff>
      <xdr:row>27</xdr:row>
      <xdr:rowOff>369570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44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28</xdr:row>
      <xdr:rowOff>114300</xdr:rowOff>
    </xdr:from>
    <xdr:to>
      <xdr:col>1</xdr:col>
      <xdr:colOff>403943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28</xdr:row>
      <xdr:rowOff>114300</xdr:rowOff>
    </xdr:from>
    <xdr:to>
      <xdr:col>2</xdr:col>
      <xdr:colOff>404495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28</xdr:row>
      <xdr:rowOff>114300</xdr:rowOff>
    </xdr:from>
    <xdr:to>
      <xdr:col>3</xdr:col>
      <xdr:colOff>404495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28</xdr:row>
      <xdr:rowOff>114300</xdr:rowOff>
    </xdr:from>
    <xdr:to>
      <xdr:col>4</xdr:col>
      <xdr:colOff>404495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28</xdr:row>
      <xdr:rowOff>114300</xdr:rowOff>
    </xdr:from>
    <xdr:to>
      <xdr:col>5</xdr:col>
      <xdr:colOff>404495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28</xdr:row>
      <xdr:rowOff>114300</xdr:rowOff>
    </xdr:from>
    <xdr:to>
      <xdr:col>6</xdr:col>
      <xdr:colOff>404495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95250</xdr:rowOff>
    </xdr:from>
    <xdr:to>
      <xdr:col>7</xdr:col>
      <xdr:colOff>404495</xdr:colOff>
      <xdr:row>28</xdr:row>
      <xdr:rowOff>369570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29</xdr:row>
      <xdr:rowOff>114300</xdr:rowOff>
    </xdr:from>
    <xdr:to>
      <xdr:col>1</xdr:col>
      <xdr:colOff>403943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29</xdr:row>
      <xdr:rowOff>114300</xdr:rowOff>
    </xdr:from>
    <xdr:to>
      <xdr:col>2</xdr:col>
      <xdr:colOff>403943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29</xdr:row>
      <xdr:rowOff>114300</xdr:rowOff>
    </xdr:from>
    <xdr:to>
      <xdr:col>3</xdr:col>
      <xdr:colOff>404495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29</xdr:row>
      <xdr:rowOff>114300</xdr:rowOff>
    </xdr:from>
    <xdr:to>
      <xdr:col>4</xdr:col>
      <xdr:colOff>404495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29</xdr:row>
      <xdr:rowOff>114300</xdr:rowOff>
    </xdr:from>
    <xdr:to>
      <xdr:col>6</xdr:col>
      <xdr:colOff>404495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114300</xdr:rowOff>
    </xdr:from>
    <xdr:to>
      <xdr:col>15</xdr:col>
      <xdr:colOff>404495</xdr:colOff>
      <xdr:row>25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104775</xdr:rowOff>
    </xdr:from>
    <xdr:to>
      <xdr:col>9</xdr:col>
      <xdr:colOff>385445</xdr:colOff>
      <xdr:row>26</xdr:row>
      <xdr:rowOff>379095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104775</xdr:rowOff>
    </xdr:from>
    <xdr:to>
      <xdr:col>10</xdr:col>
      <xdr:colOff>385445</xdr:colOff>
      <xdr:row>26</xdr:row>
      <xdr:rowOff>379095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104775</xdr:rowOff>
    </xdr:from>
    <xdr:to>
      <xdr:col>11</xdr:col>
      <xdr:colOff>385445</xdr:colOff>
      <xdr:row>26</xdr:row>
      <xdr:rowOff>369570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696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104775</xdr:rowOff>
    </xdr:from>
    <xdr:to>
      <xdr:col>12</xdr:col>
      <xdr:colOff>385445</xdr:colOff>
      <xdr:row>26</xdr:row>
      <xdr:rowOff>379095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104775</xdr:rowOff>
    </xdr:from>
    <xdr:to>
      <xdr:col>13</xdr:col>
      <xdr:colOff>385445</xdr:colOff>
      <xdr:row>26</xdr:row>
      <xdr:rowOff>379095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104775</xdr:rowOff>
    </xdr:from>
    <xdr:to>
      <xdr:col>14</xdr:col>
      <xdr:colOff>385445</xdr:colOff>
      <xdr:row>26</xdr:row>
      <xdr:rowOff>379095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114300</xdr:rowOff>
    </xdr:from>
    <xdr:to>
      <xdr:col>15</xdr:col>
      <xdr:colOff>403943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104775</xdr:rowOff>
    </xdr:from>
    <xdr:to>
      <xdr:col>9</xdr:col>
      <xdr:colOff>384893</xdr:colOff>
      <xdr:row>27</xdr:row>
      <xdr:rowOff>379095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53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104775</xdr:rowOff>
    </xdr:from>
    <xdr:to>
      <xdr:col>10</xdr:col>
      <xdr:colOff>385445</xdr:colOff>
      <xdr:row>27</xdr:row>
      <xdr:rowOff>379095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104775</xdr:rowOff>
    </xdr:from>
    <xdr:to>
      <xdr:col>11</xdr:col>
      <xdr:colOff>385445</xdr:colOff>
      <xdr:row>27</xdr:row>
      <xdr:rowOff>379095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104775</xdr:rowOff>
    </xdr:from>
    <xdr:to>
      <xdr:col>12</xdr:col>
      <xdr:colOff>385445</xdr:colOff>
      <xdr:row>27</xdr:row>
      <xdr:rowOff>379095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104775</xdr:rowOff>
    </xdr:from>
    <xdr:to>
      <xdr:col>13</xdr:col>
      <xdr:colOff>385445</xdr:colOff>
      <xdr:row>27</xdr:row>
      <xdr:rowOff>379095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104775</xdr:rowOff>
    </xdr:from>
    <xdr:to>
      <xdr:col>14</xdr:col>
      <xdr:colOff>385445</xdr:colOff>
      <xdr:row>27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114300</xdr:rowOff>
    </xdr:from>
    <xdr:to>
      <xdr:col>15</xdr:col>
      <xdr:colOff>404495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104775</xdr:rowOff>
    </xdr:from>
    <xdr:to>
      <xdr:col>9</xdr:col>
      <xdr:colOff>384893</xdr:colOff>
      <xdr:row>28</xdr:row>
      <xdr:rowOff>379095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104775</xdr:rowOff>
    </xdr:from>
    <xdr:to>
      <xdr:col>10</xdr:col>
      <xdr:colOff>384893</xdr:colOff>
      <xdr:row>28</xdr:row>
      <xdr:rowOff>379095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104775</xdr:rowOff>
    </xdr:from>
    <xdr:to>
      <xdr:col>11</xdr:col>
      <xdr:colOff>384893</xdr:colOff>
      <xdr:row>28</xdr:row>
      <xdr:rowOff>379095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104775</xdr:rowOff>
    </xdr:from>
    <xdr:to>
      <xdr:col>12</xdr:col>
      <xdr:colOff>385445</xdr:colOff>
      <xdr:row>28</xdr:row>
      <xdr:rowOff>379095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104775</xdr:rowOff>
    </xdr:from>
    <xdr:to>
      <xdr:col>13</xdr:col>
      <xdr:colOff>385445</xdr:colOff>
      <xdr:row>28</xdr:row>
      <xdr:rowOff>379095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104775</xdr:rowOff>
    </xdr:from>
    <xdr:to>
      <xdr:col>14</xdr:col>
      <xdr:colOff>385445</xdr:colOff>
      <xdr:row>28</xdr:row>
      <xdr:rowOff>379095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114300</xdr:rowOff>
    </xdr:from>
    <xdr:to>
      <xdr:col>15</xdr:col>
      <xdr:colOff>404495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104775</xdr:rowOff>
    </xdr:from>
    <xdr:to>
      <xdr:col>9</xdr:col>
      <xdr:colOff>385445</xdr:colOff>
      <xdr:row>29</xdr:row>
      <xdr:rowOff>379095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104775</xdr:rowOff>
    </xdr:from>
    <xdr:to>
      <xdr:col>10</xdr:col>
      <xdr:colOff>384893</xdr:colOff>
      <xdr:row>29</xdr:row>
      <xdr:rowOff>379095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68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104775</xdr:rowOff>
    </xdr:from>
    <xdr:to>
      <xdr:col>11</xdr:col>
      <xdr:colOff>384893</xdr:colOff>
      <xdr:row>29</xdr:row>
      <xdr:rowOff>379095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68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104775</xdr:rowOff>
    </xdr:from>
    <xdr:to>
      <xdr:col>12</xdr:col>
      <xdr:colOff>385445</xdr:colOff>
      <xdr:row>29</xdr:row>
      <xdr:rowOff>379095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104775</xdr:rowOff>
    </xdr:from>
    <xdr:to>
      <xdr:col>13</xdr:col>
      <xdr:colOff>385445</xdr:colOff>
      <xdr:row>29</xdr:row>
      <xdr:rowOff>379095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29</xdr:row>
      <xdr:rowOff>104775</xdr:rowOff>
    </xdr:from>
    <xdr:to>
      <xdr:col>14</xdr:col>
      <xdr:colOff>385445</xdr:colOff>
      <xdr:row>29</xdr:row>
      <xdr:rowOff>379095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29</xdr:row>
      <xdr:rowOff>114300</xdr:rowOff>
    </xdr:from>
    <xdr:to>
      <xdr:col>15</xdr:col>
      <xdr:colOff>404495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30</xdr:row>
      <xdr:rowOff>104775</xdr:rowOff>
    </xdr:from>
    <xdr:to>
      <xdr:col>9</xdr:col>
      <xdr:colOff>385445</xdr:colOff>
      <xdr:row>30</xdr:row>
      <xdr:rowOff>379095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525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30</xdr:row>
      <xdr:rowOff>104775</xdr:rowOff>
    </xdr:from>
    <xdr:to>
      <xdr:col>10</xdr:col>
      <xdr:colOff>385445</xdr:colOff>
      <xdr:row>30</xdr:row>
      <xdr:rowOff>379095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525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25</xdr:row>
      <xdr:rowOff>114300</xdr:rowOff>
    </xdr:from>
    <xdr:to>
      <xdr:col>19</xdr:col>
      <xdr:colOff>385445</xdr:colOff>
      <xdr:row>25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25</xdr:row>
      <xdr:rowOff>114300</xdr:rowOff>
    </xdr:from>
    <xdr:to>
      <xdr:col>20</xdr:col>
      <xdr:colOff>385445</xdr:colOff>
      <xdr:row>25</xdr:row>
      <xdr:rowOff>379095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385445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25</xdr:row>
      <xdr:rowOff>95250</xdr:rowOff>
    </xdr:from>
    <xdr:to>
      <xdr:col>23</xdr:col>
      <xdr:colOff>394970</xdr:colOff>
      <xdr:row>25</xdr:row>
      <xdr:rowOff>369570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384893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384893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385445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26</xdr:row>
      <xdr:rowOff>95250</xdr:rowOff>
    </xdr:from>
    <xdr:to>
      <xdr:col>23</xdr:col>
      <xdr:colOff>394970</xdr:colOff>
      <xdr:row>26</xdr:row>
      <xdr:rowOff>369570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68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385445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385445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384893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384893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385445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27</xdr:row>
      <xdr:rowOff>95250</xdr:rowOff>
    </xdr:from>
    <xdr:to>
      <xdr:col>23</xdr:col>
      <xdr:colOff>394970</xdr:colOff>
      <xdr:row>27</xdr:row>
      <xdr:rowOff>369570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385445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385445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384893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384893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28</xdr:row>
      <xdr:rowOff>95250</xdr:rowOff>
    </xdr:from>
    <xdr:to>
      <xdr:col>23</xdr:col>
      <xdr:colOff>394970</xdr:colOff>
      <xdr:row>28</xdr:row>
      <xdr:rowOff>369570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385445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385445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34</xdr:row>
      <xdr:rowOff>114300</xdr:rowOff>
    </xdr:from>
    <xdr:to>
      <xdr:col>5</xdr:col>
      <xdr:colOff>385445</xdr:colOff>
      <xdr:row>34</xdr:row>
      <xdr:rowOff>379095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106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34</xdr:row>
      <xdr:rowOff>114300</xdr:rowOff>
    </xdr:from>
    <xdr:to>
      <xdr:col>6</xdr:col>
      <xdr:colOff>385445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123825</xdr:rowOff>
    </xdr:from>
    <xdr:to>
      <xdr:col>7</xdr:col>
      <xdr:colOff>394970</xdr:colOff>
      <xdr:row>34</xdr:row>
      <xdr:rowOff>398145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35</xdr:row>
      <xdr:rowOff>114300</xdr:rowOff>
    </xdr:from>
    <xdr:to>
      <xdr:col>1</xdr:col>
      <xdr:colOff>385445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35</xdr:row>
      <xdr:rowOff>114300</xdr:rowOff>
    </xdr:from>
    <xdr:to>
      <xdr:col>2</xdr:col>
      <xdr:colOff>385445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35</xdr:row>
      <xdr:rowOff>114300</xdr:rowOff>
    </xdr:from>
    <xdr:to>
      <xdr:col>3</xdr:col>
      <xdr:colOff>385445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35</xdr:row>
      <xdr:rowOff>114300</xdr:rowOff>
    </xdr:from>
    <xdr:to>
      <xdr:col>4</xdr:col>
      <xdr:colOff>384893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35</xdr:row>
      <xdr:rowOff>114300</xdr:rowOff>
    </xdr:from>
    <xdr:to>
      <xdr:col>5</xdr:col>
      <xdr:colOff>384893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35</xdr:row>
      <xdr:rowOff>114300</xdr:rowOff>
    </xdr:from>
    <xdr:to>
      <xdr:col>6</xdr:col>
      <xdr:colOff>385445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123825</xdr:rowOff>
    </xdr:from>
    <xdr:to>
      <xdr:col>7</xdr:col>
      <xdr:colOff>394970</xdr:colOff>
      <xdr:row>35</xdr:row>
      <xdr:rowOff>398145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</xdr:row>
      <xdr:rowOff>114300</xdr:rowOff>
    </xdr:from>
    <xdr:to>
      <xdr:col>1</xdr:col>
      <xdr:colOff>385445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36</xdr:row>
      <xdr:rowOff>114300</xdr:rowOff>
    </xdr:from>
    <xdr:to>
      <xdr:col>2</xdr:col>
      <xdr:colOff>385445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36</xdr:row>
      <xdr:rowOff>114300</xdr:rowOff>
    </xdr:from>
    <xdr:to>
      <xdr:col>3</xdr:col>
      <xdr:colOff>385445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36</xdr:row>
      <xdr:rowOff>114300</xdr:rowOff>
    </xdr:from>
    <xdr:to>
      <xdr:col>4</xdr:col>
      <xdr:colOff>385445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36</xdr:row>
      <xdr:rowOff>114300</xdr:rowOff>
    </xdr:from>
    <xdr:to>
      <xdr:col>5</xdr:col>
      <xdr:colOff>384893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36</xdr:row>
      <xdr:rowOff>114300</xdr:rowOff>
    </xdr:from>
    <xdr:to>
      <xdr:col>6</xdr:col>
      <xdr:colOff>384893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123825</xdr:rowOff>
    </xdr:from>
    <xdr:to>
      <xdr:col>7</xdr:col>
      <xdr:colOff>394970</xdr:colOff>
      <xdr:row>36</xdr:row>
      <xdr:rowOff>398145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385445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385445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385445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385445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384893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384893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123825</xdr:rowOff>
    </xdr:from>
    <xdr:to>
      <xdr:col>7</xdr:col>
      <xdr:colOff>394970</xdr:colOff>
      <xdr:row>37</xdr:row>
      <xdr:rowOff>398145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385445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385445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38</xdr:row>
      <xdr:rowOff>114300</xdr:rowOff>
    </xdr:from>
    <xdr:to>
      <xdr:col>4</xdr:col>
      <xdr:colOff>385445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38</xdr:row>
      <xdr:rowOff>114300</xdr:rowOff>
    </xdr:from>
    <xdr:to>
      <xdr:col>5</xdr:col>
      <xdr:colOff>385445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38</xdr:row>
      <xdr:rowOff>114300</xdr:rowOff>
    </xdr:from>
    <xdr:to>
      <xdr:col>6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123825</xdr:rowOff>
    </xdr:from>
    <xdr:to>
      <xdr:col>7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44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34</xdr:row>
      <xdr:rowOff>114300</xdr:rowOff>
    </xdr:from>
    <xdr:to>
      <xdr:col>9</xdr:col>
      <xdr:colOff>394970</xdr:colOff>
      <xdr:row>34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34</xdr:row>
      <xdr:rowOff>114300</xdr:rowOff>
    </xdr:from>
    <xdr:to>
      <xdr:col>10</xdr:col>
      <xdr:colOff>394970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34</xdr:row>
      <xdr:rowOff>114300</xdr:rowOff>
    </xdr:from>
    <xdr:to>
      <xdr:col>11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34</xdr:row>
      <xdr:rowOff>114300</xdr:rowOff>
    </xdr:from>
    <xdr:to>
      <xdr:col>12</xdr:col>
      <xdr:colOff>394970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394418</xdr:colOff>
      <xdr:row>34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394418</xdr:colOff>
      <xdr:row>34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394970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394418</xdr:colOff>
      <xdr:row>35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394418</xdr:colOff>
      <xdr:row>35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394970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394970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394970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394970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394418</xdr:colOff>
      <xdr:row>36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394418</xdr:colOff>
      <xdr:row>36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114300</xdr:rowOff>
    </xdr:from>
    <xdr:to>
      <xdr:col>12</xdr:col>
      <xdr:colOff>394970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114300</xdr:rowOff>
    </xdr:from>
    <xdr:to>
      <xdr:col>13</xdr:col>
      <xdr:colOff>394970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114300</xdr:rowOff>
    </xdr:from>
    <xdr:to>
      <xdr:col>14</xdr:col>
      <xdr:colOff>394970</xdr:colOff>
      <xdr:row>37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394970</xdr:colOff>
      <xdr:row>37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379095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34</xdr:row>
      <xdr:rowOff>114300</xdr:rowOff>
    </xdr:from>
    <xdr:to>
      <xdr:col>19</xdr:col>
      <xdr:colOff>375920</xdr:colOff>
      <xdr:row>34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34</xdr:row>
      <xdr:rowOff>114300</xdr:rowOff>
    </xdr:from>
    <xdr:to>
      <xdr:col>20</xdr:col>
      <xdr:colOff>375920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34</xdr:row>
      <xdr:rowOff>114300</xdr:rowOff>
    </xdr:from>
    <xdr:to>
      <xdr:col>21</xdr:col>
      <xdr:colOff>375920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34</xdr:row>
      <xdr:rowOff>114300</xdr:rowOff>
    </xdr:from>
    <xdr:to>
      <xdr:col>22</xdr:col>
      <xdr:colOff>375920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95250</xdr:rowOff>
    </xdr:from>
    <xdr:to>
      <xdr:col>23</xdr:col>
      <xdr:colOff>394418</xdr:colOff>
      <xdr:row>34</xdr:row>
      <xdr:rowOff>369570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087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35</xdr:row>
      <xdr:rowOff>114300</xdr:rowOff>
    </xdr:from>
    <xdr:to>
      <xdr:col>17</xdr:col>
      <xdr:colOff>375368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35</xdr:row>
      <xdr:rowOff>114300</xdr:rowOff>
    </xdr:from>
    <xdr:to>
      <xdr:col>18</xdr:col>
      <xdr:colOff>375920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35</xdr:row>
      <xdr:rowOff>114300</xdr:rowOff>
    </xdr:from>
    <xdr:to>
      <xdr:col>19</xdr:col>
      <xdr:colOff>375920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35</xdr:row>
      <xdr:rowOff>114300</xdr:rowOff>
    </xdr:from>
    <xdr:to>
      <xdr:col>20</xdr:col>
      <xdr:colOff>375920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35</xdr:row>
      <xdr:rowOff>114300</xdr:rowOff>
    </xdr:from>
    <xdr:to>
      <xdr:col>21</xdr:col>
      <xdr:colOff>375920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35</xdr:row>
      <xdr:rowOff>114300</xdr:rowOff>
    </xdr:from>
    <xdr:to>
      <xdr:col>22</xdr:col>
      <xdr:colOff>375920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95250</xdr:rowOff>
    </xdr:from>
    <xdr:to>
      <xdr:col>23</xdr:col>
      <xdr:colOff>394970</xdr:colOff>
      <xdr:row>35</xdr:row>
      <xdr:rowOff>369570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36</xdr:row>
      <xdr:rowOff>114300</xdr:rowOff>
    </xdr:from>
    <xdr:to>
      <xdr:col>17</xdr:col>
      <xdr:colOff>375368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36</xdr:row>
      <xdr:rowOff>114300</xdr:rowOff>
    </xdr:from>
    <xdr:to>
      <xdr:col>18</xdr:col>
      <xdr:colOff>375368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36</xdr:row>
      <xdr:rowOff>114300</xdr:rowOff>
    </xdr:from>
    <xdr:to>
      <xdr:col>19</xdr:col>
      <xdr:colOff>375920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36</xdr:row>
      <xdr:rowOff>114300</xdr:rowOff>
    </xdr:from>
    <xdr:to>
      <xdr:col>20</xdr:col>
      <xdr:colOff>375920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36</xdr:row>
      <xdr:rowOff>114300</xdr:rowOff>
    </xdr:from>
    <xdr:to>
      <xdr:col>21</xdr:col>
      <xdr:colOff>375920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36</xdr:row>
      <xdr:rowOff>114300</xdr:rowOff>
    </xdr:from>
    <xdr:to>
      <xdr:col>22</xdr:col>
      <xdr:colOff>375920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95250</xdr:rowOff>
    </xdr:from>
    <xdr:to>
      <xdr:col>23</xdr:col>
      <xdr:colOff>394970</xdr:colOff>
      <xdr:row>36</xdr:row>
      <xdr:rowOff>369570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37</xdr:row>
      <xdr:rowOff>114300</xdr:rowOff>
    </xdr:from>
    <xdr:to>
      <xdr:col>17</xdr:col>
      <xdr:colOff>375368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37</xdr:row>
      <xdr:rowOff>114300</xdr:rowOff>
    </xdr:from>
    <xdr:to>
      <xdr:col>18</xdr:col>
      <xdr:colOff>375368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37</xdr:row>
      <xdr:rowOff>114300</xdr:rowOff>
    </xdr:from>
    <xdr:to>
      <xdr:col>19</xdr:col>
      <xdr:colOff>375920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37</xdr:row>
      <xdr:rowOff>114300</xdr:rowOff>
    </xdr:from>
    <xdr:to>
      <xdr:col>20</xdr:col>
      <xdr:colOff>375920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37</xdr:row>
      <xdr:rowOff>114300</xdr:rowOff>
    </xdr:from>
    <xdr:to>
      <xdr:col>21</xdr:col>
      <xdr:colOff>375920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37</xdr:row>
      <xdr:rowOff>114300</xdr:rowOff>
    </xdr:from>
    <xdr:to>
      <xdr:col>22</xdr:col>
      <xdr:colOff>375920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95250</xdr:rowOff>
    </xdr:from>
    <xdr:to>
      <xdr:col>23</xdr:col>
      <xdr:colOff>394970</xdr:colOff>
      <xdr:row>37</xdr:row>
      <xdr:rowOff>369570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38</xdr:row>
      <xdr:rowOff>114300</xdr:rowOff>
    </xdr:from>
    <xdr:to>
      <xdr:col>17</xdr:col>
      <xdr:colOff>375920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38</xdr:row>
      <xdr:rowOff>114300</xdr:rowOff>
    </xdr:from>
    <xdr:to>
      <xdr:col>18</xdr:col>
      <xdr:colOff>375920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38</xdr:row>
      <xdr:rowOff>114300</xdr:rowOff>
    </xdr:from>
    <xdr:to>
      <xdr:col>19</xdr:col>
      <xdr:colOff>375920</xdr:colOff>
      <xdr:row>38</xdr:row>
      <xdr:rowOff>379095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38</xdr:row>
      <xdr:rowOff>114300</xdr:rowOff>
    </xdr:from>
    <xdr:to>
      <xdr:col>20</xdr:col>
      <xdr:colOff>375920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38</xdr:row>
      <xdr:rowOff>114300</xdr:rowOff>
    </xdr:from>
    <xdr:to>
      <xdr:col>21</xdr:col>
      <xdr:colOff>375920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29</xdr:row>
      <xdr:rowOff>114300</xdr:rowOff>
    </xdr:from>
    <xdr:to>
      <xdr:col>5</xdr:col>
      <xdr:colOff>404495</xdr:colOff>
      <xdr:row>29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3077825"/>
          <a:ext cx="274320" cy="27432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7</xdr:row>
      <xdr:rowOff>114300</xdr:rowOff>
    </xdr:from>
    <xdr:to>
      <xdr:col>6</xdr:col>
      <xdr:colOff>404495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7</xdr:row>
      <xdr:rowOff>123825</xdr:rowOff>
    </xdr:from>
    <xdr:to>
      <xdr:col>7</xdr:col>
      <xdr:colOff>404495</xdr:colOff>
      <xdr:row>7</xdr:row>
      <xdr:rowOff>398145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8</xdr:row>
      <xdr:rowOff>114300</xdr:rowOff>
    </xdr:from>
    <xdr:to>
      <xdr:col>1</xdr:col>
      <xdr:colOff>404495</xdr:colOff>
      <xdr:row>8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8</xdr:row>
      <xdr:rowOff>114300</xdr:rowOff>
    </xdr:from>
    <xdr:to>
      <xdr:col>2</xdr:col>
      <xdr:colOff>403943</xdr:colOff>
      <xdr:row>8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8</xdr:row>
      <xdr:rowOff>114300</xdr:rowOff>
    </xdr:from>
    <xdr:to>
      <xdr:col>3</xdr:col>
      <xdr:colOff>403943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8</xdr:row>
      <xdr:rowOff>114300</xdr:rowOff>
    </xdr:from>
    <xdr:to>
      <xdr:col>4</xdr:col>
      <xdr:colOff>404495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8</xdr:row>
      <xdr:rowOff>114300</xdr:rowOff>
    </xdr:from>
    <xdr:to>
      <xdr:col>5</xdr:col>
      <xdr:colOff>404495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8</xdr:row>
      <xdr:rowOff>114300</xdr:rowOff>
    </xdr:from>
    <xdr:to>
      <xdr:col>6</xdr:col>
      <xdr:colOff>404495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8</xdr:row>
      <xdr:rowOff>123825</xdr:rowOff>
    </xdr:from>
    <xdr:to>
      <xdr:col>7</xdr:col>
      <xdr:colOff>404495</xdr:colOff>
      <xdr:row>8</xdr:row>
      <xdr:rowOff>398145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9</xdr:row>
      <xdr:rowOff>114300</xdr:rowOff>
    </xdr:from>
    <xdr:to>
      <xdr:col>1</xdr:col>
      <xdr:colOff>404495</xdr:colOff>
      <xdr:row>9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9</xdr:row>
      <xdr:rowOff>114300</xdr:rowOff>
    </xdr:from>
    <xdr:to>
      <xdr:col>2</xdr:col>
      <xdr:colOff>403943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9</xdr:row>
      <xdr:rowOff>114300</xdr:rowOff>
    </xdr:from>
    <xdr:to>
      <xdr:col>3</xdr:col>
      <xdr:colOff>403943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9</xdr:row>
      <xdr:rowOff>114300</xdr:rowOff>
    </xdr:from>
    <xdr:to>
      <xdr:col>4</xdr:col>
      <xdr:colOff>404495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9</xdr:row>
      <xdr:rowOff>114300</xdr:rowOff>
    </xdr:from>
    <xdr:to>
      <xdr:col>5</xdr:col>
      <xdr:colOff>404495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9</xdr:row>
      <xdr:rowOff>114300</xdr:rowOff>
    </xdr:from>
    <xdr:to>
      <xdr:col>6</xdr:col>
      <xdr:colOff>404495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9</xdr:row>
      <xdr:rowOff>123825</xdr:rowOff>
    </xdr:from>
    <xdr:to>
      <xdr:col>7</xdr:col>
      <xdr:colOff>404495</xdr:colOff>
      <xdr:row>9</xdr:row>
      <xdr:rowOff>398145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403943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403943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404495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404495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404495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10</xdr:row>
      <xdr:rowOff>123825</xdr:rowOff>
    </xdr:from>
    <xdr:to>
      <xdr:col>7</xdr:col>
      <xdr:colOff>404495</xdr:colOff>
      <xdr:row>10</xdr:row>
      <xdr:rowOff>398145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404495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11</xdr:row>
      <xdr:rowOff>114300</xdr:rowOff>
    </xdr:from>
    <xdr:to>
      <xdr:col>6</xdr:col>
      <xdr:colOff>404495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11</xdr:row>
      <xdr:rowOff>123825</xdr:rowOff>
    </xdr:from>
    <xdr:to>
      <xdr:col>7</xdr:col>
      <xdr:colOff>404495</xdr:colOff>
      <xdr:row>11</xdr:row>
      <xdr:rowOff>398145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12</xdr:row>
      <xdr:rowOff>114300</xdr:rowOff>
    </xdr:from>
    <xdr:to>
      <xdr:col>1</xdr:col>
      <xdr:colOff>404495</xdr:colOff>
      <xdr:row>12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7</xdr:row>
      <xdr:rowOff>114300</xdr:rowOff>
    </xdr:from>
    <xdr:to>
      <xdr:col>10</xdr:col>
      <xdr:colOff>385445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7</xdr:row>
      <xdr:rowOff>114300</xdr:rowOff>
    </xdr:from>
    <xdr:to>
      <xdr:col>11</xdr:col>
      <xdr:colOff>385445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114300</xdr:rowOff>
    </xdr:from>
    <xdr:to>
      <xdr:col>13</xdr:col>
      <xdr:colOff>384893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7</xdr:row>
      <xdr:rowOff>114300</xdr:rowOff>
    </xdr:from>
    <xdr:to>
      <xdr:col>14</xdr:col>
      <xdr:colOff>385445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95250</xdr:rowOff>
    </xdr:from>
    <xdr:to>
      <xdr:col>15</xdr:col>
      <xdr:colOff>394970</xdr:colOff>
      <xdr:row>7</xdr:row>
      <xdr:rowOff>369570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14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</xdr:row>
      <xdr:rowOff>114300</xdr:rowOff>
    </xdr:from>
    <xdr:to>
      <xdr:col>9</xdr:col>
      <xdr:colOff>385445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</xdr:row>
      <xdr:rowOff>114300</xdr:rowOff>
    </xdr:from>
    <xdr:to>
      <xdr:col>10</xdr:col>
      <xdr:colOff>385445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8</xdr:row>
      <xdr:rowOff>114300</xdr:rowOff>
    </xdr:from>
    <xdr:to>
      <xdr:col>11</xdr:col>
      <xdr:colOff>385445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8</xdr:row>
      <xdr:rowOff>114300</xdr:rowOff>
    </xdr:from>
    <xdr:to>
      <xdr:col>12</xdr:col>
      <xdr:colOff>384893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8</xdr:row>
      <xdr:rowOff>114300</xdr:rowOff>
    </xdr:from>
    <xdr:to>
      <xdr:col>13</xdr:col>
      <xdr:colOff>384893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8</xdr:row>
      <xdr:rowOff>114300</xdr:rowOff>
    </xdr:from>
    <xdr:to>
      <xdr:col>14</xdr:col>
      <xdr:colOff>385445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95250</xdr:rowOff>
    </xdr:from>
    <xdr:to>
      <xdr:col>15</xdr:col>
      <xdr:colOff>394970</xdr:colOff>
      <xdr:row>8</xdr:row>
      <xdr:rowOff>369570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71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9</xdr:row>
      <xdr:rowOff>114300</xdr:rowOff>
    </xdr:from>
    <xdr:to>
      <xdr:col>9</xdr:col>
      <xdr:colOff>385445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9</xdr:row>
      <xdr:rowOff>114300</xdr:rowOff>
    </xdr:from>
    <xdr:to>
      <xdr:col>10</xdr:col>
      <xdr:colOff>385445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9</xdr:row>
      <xdr:rowOff>114300</xdr:rowOff>
    </xdr:from>
    <xdr:to>
      <xdr:col>11</xdr:col>
      <xdr:colOff>385445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9</xdr:row>
      <xdr:rowOff>114300</xdr:rowOff>
    </xdr:from>
    <xdr:to>
      <xdr:col>12</xdr:col>
      <xdr:colOff>384893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9</xdr:row>
      <xdr:rowOff>114300</xdr:rowOff>
    </xdr:from>
    <xdr:to>
      <xdr:col>13</xdr:col>
      <xdr:colOff>384893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9</xdr:row>
      <xdr:rowOff>114300</xdr:rowOff>
    </xdr:from>
    <xdr:to>
      <xdr:col>14</xdr:col>
      <xdr:colOff>385445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95250</xdr:rowOff>
    </xdr:from>
    <xdr:to>
      <xdr:col>15</xdr:col>
      <xdr:colOff>394970</xdr:colOff>
      <xdr:row>9</xdr:row>
      <xdr:rowOff>369570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29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10</xdr:row>
      <xdr:rowOff>114300</xdr:rowOff>
    </xdr:from>
    <xdr:to>
      <xdr:col>9</xdr:col>
      <xdr:colOff>385445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10</xdr:row>
      <xdr:rowOff>114300</xdr:rowOff>
    </xdr:from>
    <xdr:to>
      <xdr:col>10</xdr:col>
      <xdr:colOff>385445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10</xdr:row>
      <xdr:rowOff>114300</xdr:rowOff>
    </xdr:from>
    <xdr:to>
      <xdr:col>11</xdr:col>
      <xdr:colOff>385445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10</xdr:row>
      <xdr:rowOff>114300</xdr:rowOff>
    </xdr:from>
    <xdr:to>
      <xdr:col>12</xdr:col>
      <xdr:colOff>385445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10</xdr:row>
      <xdr:rowOff>114300</xdr:rowOff>
    </xdr:from>
    <xdr:to>
      <xdr:col>13</xdr:col>
      <xdr:colOff>385445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10</xdr:row>
      <xdr:rowOff>114300</xdr:rowOff>
    </xdr:from>
    <xdr:to>
      <xdr:col>14</xdr:col>
      <xdr:colOff>385445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95250</xdr:rowOff>
    </xdr:from>
    <xdr:to>
      <xdr:col>15</xdr:col>
      <xdr:colOff>394970</xdr:colOff>
      <xdr:row>10</xdr:row>
      <xdr:rowOff>360045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886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11</xdr:row>
      <xdr:rowOff>114300</xdr:rowOff>
    </xdr:from>
    <xdr:to>
      <xdr:col>9</xdr:col>
      <xdr:colOff>385445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11</xdr:row>
      <xdr:rowOff>114300</xdr:rowOff>
    </xdr:from>
    <xdr:to>
      <xdr:col>10</xdr:col>
      <xdr:colOff>385445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7</xdr:row>
      <xdr:rowOff>114300</xdr:rowOff>
    </xdr:from>
    <xdr:to>
      <xdr:col>19</xdr:col>
      <xdr:colOff>366395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7</xdr:row>
      <xdr:rowOff>114300</xdr:rowOff>
    </xdr:from>
    <xdr:to>
      <xdr:col>20</xdr:col>
      <xdr:colOff>366395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7</xdr:row>
      <xdr:rowOff>114300</xdr:rowOff>
    </xdr:from>
    <xdr:to>
      <xdr:col>21</xdr:col>
      <xdr:colOff>366395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7</xdr:row>
      <xdr:rowOff>114300</xdr:rowOff>
    </xdr:from>
    <xdr:to>
      <xdr:col>22</xdr:col>
      <xdr:colOff>365843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7</xdr:row>
      <xdr:rowOff>85725</xdr:rowOff>
    </xdr:from>
    <xdr:to>
      <xdr:col>23</xdr:col>
      <xdr:colOff>394418</xdr:colOff>
      <xdr:row>7</xdr:row>
      <xdr:rowOff>360045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505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8</xdr:row>
      <xdr:rowOff>114300</xdr:rowOff>
    </xdr:from>
    <xdr:to>
      <xdr:col>17</xdr:col>
      <xdr:colOff>366395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8</xdr:row>
      <xdr:rowOff>114300</xdr:rowOff>
    </xdr:from>
    <xdr:to>
      <xdr:col>18</xdr:col>
      <xdr:colOff>366395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8</xdr:row>
      <xdr:rowOff>114300</xdr:rowOff>
    </xdr:from>
    <xdr:to>
      <xdr:col>19</xdr:col>
      <xdr:colOff>366395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8</xdr:row>
      <xdr:rowOff>114300</xdr:rowOff>
    </xdr:from>
    <xdr:to>
      <xdr:col>20</xdr:col>
      <xdr:colOff>366395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8</xdr:row>
      <xdr:rowOff>114300</xdr:rowOff>
    </xdr:from>
    <xdr:to>
      <xdr:col>21</xdr:col>
      <xdr:colOff>365843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8</xdr:row>
      <xdr:rowOff>114300</xdr:rowOff>
    </xdr:from>
    <xdr:to>
      <xdr:col>22</xdr:col>
      <xdr:colOff>365843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8</xdr:row>
      <xdr:rowOff>85725</xdr:rowOff>
    </xdr:from>
    <xdr:to>
      <xdr:col>23</xdr:col>
      <xdr:colOff>394970</xdr:colOff>
      <xdr:row>8</xdr:row>
      <xdr:rowOff>360045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962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9</xdr:row>
      <xdr:rowOff>114300</xdr:rowOff>
    </xdr:from>
    <xdr:to>
      <xdr:col>17</xdr:col>
      <xdr:colOff>366395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9</xdr:row>
      <xdr:rowOff>114300</xdr:rowOff>
    </xdr:from>
    <xdr:to>
      <xdr:col>18</xdr:col>
      <xdr:colOff>366395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9</xdr:row>
      <xdr:rowOff>114300</xdr:rowOff>
    </xdr:from>
    <xdr:to>
      <xdr:col>19</xdr:col>
      <xdr:colOff>366395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9</xdr:row>
      <xdr:rowOff>114300</xdr:rowOff>
    </xdr:from>
    <xdr:to>
      <xdr:col>20</xdr:col>
      <xdr:colOff>366395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9</xdr:row>
      <xdr:rowOff>114300</xdr:rowOff>
    </xdr:from>
    <xdr:to>
      <xdr:col>21</xdr:col>
      <xdr:colOff>365843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9</xdr:row>
      <xdr:rowOff>114300</xdr:rowOff>
    </xdr:from>
    <xdr:to>
      <xdr:col>22</xdr:col>
      <xdr:colOff>365843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9</xdr:row>
      <xdr:rowOff>85725</xdr:rowOff>
    </xdr:from>
    <xdr:to>
      <xdr:col>23</xdr:col>
      <xdr:colOff>394970</xdr:colOff>
      <xdr:row>9</xdr:row>
      <xdr:rowOff>360045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419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10</xdr:row>
      <xdr:rowOff>114300</xdr:rowOff>
    </xdr:from>
    <xdr:to>
      <xdr:col>17</xdr:col>
      <xdr:colOff>366395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10</xdr:row>
      <xdr:rowOff>114300</xdr:rowOff>
    </xdr:from>
    <xdr:to>
      <xdr:col>18</xdr:col>
      <xdr:colOff>366395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10</xdr:row>
      <xdr:rowOff>114300</xdr:rowOff>
    </xdr:from>
    <xdr:to>
      <xdr:col>19</xdr:col>
      <xdr:colOff>366395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10</xdr:row>
      <xdr:rowOff>114300</xdr:rowOff>
    </xdr:from>
    <xdr:to>
      <xdr:col>20</xdr:col>
      <xdr:colOff>366395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10</xdr:row>
      <xdr:rowOff>114300</xdr:rowOff>
    </xdr:from>
    <xdr:to>
      <xdr:col>21</xdr:col>
      <xdr:colOff>366395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10</xdr:row>
      <xdr:rowOff>114300</xdr:rowOff>
    </xdr:from>
    <xdr:to>
      <xdr:col>22</xdr:col>
      <xdr:colOff>366395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10</xdr:row>
      <xdr:rowOff>85725</xdr:rowOff>
    </xdr:from>
    <xdr:to>
      <xdr:col>23</xdr:col>
      <xdr:colOff>394970</xdr:colOff>
      <xdr:row>10</xdr:row>
      <xdr:rowOff>360045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876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11</xdr:row>
      <xdr:rowOff>114300</xdr:rowOff>
    </xdr:from>
    <xdr:to>
      <xdr:col>17</xdr:col>
      <xdr:colOff>366395</xdr:colOff>
      <xdr:row>11</xdr:row>
      <xdr:rowOff>379095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11</xdr:row>
      <xdr:rowOff>114300</xdr:rowOff>
    </xdr:from>
    <xdr:to>
      <xdr:col>18</xdr:col>
      <xdr:colOff>366395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11</xdr:row>
      <xdr:rowOff>114300</xdr:rowOff>
    </xdr:from>
    <xdr:to>
      <xdr:col>19</xdr:col>
      <xdr:colOff>366395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11</xdr:row>
      <xdr:rowOff>114300</xdr:rowOff>
    </xdr:from>
    <xdr:to>
      <xdr:col>20</xdr:col>
      <xdr:colOff>366395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11</xdr:row>
      <xdr:rowOff>114300</xdr:rowOff>
    </xdr:from>
    <xdr:to>
      <xdr:col>21</xdr:col>
      <xdr:colOff>366395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16</xdr:row>
      <xdr:rowOff>114300</xdr:rowOff>
    </xdr:from>
    <xdr:to>
      <xdr:col>6</xdr:col>
      <xdr:colOff>385445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16</xdr:row>
      <xdr:rowOff>114300</xdr:rowOff>
    </xdr:from>
    <xdr:to>
      <xdr:col>7</xdr:col>
      <xdr:colOff>375368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17</xdr:row>
      <xdr:rowOff>114300</xdr:rowOff>
    </xdr:from>
    <xdr:to>
      <xdr:col>1</xdr:col>
      <xdr:colOff>384893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17</xdr:row>
      <xdr:rowOff>114300</xdr:rowOff>
    </xdr:from>
    <xdr:to>
      <xdr:col>2</xdr:col>
      <xdr:colOff>385445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17</xdr:row>
      <xdr:rowOff>114300</xdr:rowOff>
    </xdr:from>
    <xdr:to>
      <xdr:col>3</xdr:col>
      <xdr:colOff>385445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17</xdr:row>
      <xdr:rowOff>114300</xdr:rowOff>
    </xdr:from>
    <xdr:to>
      <xdr:col>4</xdr:col>
      <xdr:colOff>385445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17</xdr:row>
      <xdr:rowOff>114300</xdr:rowOff>
    </xdr:from>
    <xdr:to>
      <xdr:col>5</xdr:col>
      <xdr:colOff>385445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17</xdr:row>
      <xdr:rowOff>114300</xdr:rowOff>
    </xdr:from>
    <xdr:to>
      <xdr:col>6</xdr:col>
      <xdr:colOff>385445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17</xdr:row>
      <xdr:rowOff>114300</xdr:rowOff>
    </xdr:from>
    <xdr:to>
      <xdr:col>7</xdr:col>
      <xdr:colOff>375368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18</xdr:row>
      <xdr:rowOff>114300</xdr:rowOff>
    </xdr:from>
    <xdr:to>
      <xdr:col>1</xdr:col>
      <xdr:colOff>384893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18</xdr:row>
      <xdr:rowOff>114300</xdr:rowOff>
    </xdr:from>
    <xdr:to>
      <xdr:col>2</xdr:col>
      <xdr:colOff>385445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18</xdr:row>
      <xdr:rowOff>114300</xdr:rowOff>
    </xdr:from>
    <xdr:to>
      <xdr:col>3</xdr:col>
      <xdr:colOff>385445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18</xdr:row>
      <xdr:rowOff>114300</xdr:rowOff>
    </xdr:from>
    <xdr:to>
      <xdr:col>4</xdr:col>
      <xdr:colOff>385445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18</xdr:row>
      <xdr:rowOff>114300</xdr:rowOff>
    </xdr:from>
    <xdr:to>
      <xdr:col>5</xdr:col>
      <xdr:colOff>385445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18</xdr:row>
      <xdr:rowOff>114300</xdr:rowOff>
    </xdr:from>
    <xdr:to>
      <xdr:col>6</xdr:col>
      <xdr:colOff>385445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18</xdr:row>
      <xdr:rowOff>114300</xdr:rowOff>
    </xdr:from>
    <xdr:to>
      <xdr:col>7</xdr:col>
      <xdr:colOff>375368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19</xdr:row>
      <xdr:rowOff>114300</xdr:rowOff>
    </xdr:from>
    <xdr:to>
      <xdr:col>1</xdr:col>
      <xdr:colOff>384893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19</xdr:row>
      <xdr:rowOff>114300</xdr:rowOff>
    </xdr:from>
    <xdr:to>
      <xdr:col>2</xdr:col>
      <xdr:colOff>385445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19</xdr:row>
      <xdr:rowOff>114300</xdr:rowOff>
    </xdr:from>
    <xdr:to>
      <xdr:col>3</xdr:col>
      <xdr:colOff>385445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19</xdr:row>
      <xdr:rowOff>114300</xdr:rowOff>
    </xdr:from>
    <xdr:to>
      <xdr:col>4</xdr:col>
      <xdr:colOff>385445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19</xdr:row>
      <xdr:rowOff>114300</xdr:rowOff>
    </xdr:from>
    <xdr:to>
      <xdr:col>5</xdr:col>
      <xdr:colOff>385445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19</xdr:row>
      <xdr:rowOff>114300</xdr:rowOff>
    </xdr:from>
    <xdr:to>
      <xdr:col>6</xdr:col>
      <xdr:colOff>385445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19</xdr:row>
      <xdr:rowOff>114300</xdr:rowOff>
    </xdr:from>
    <xdr:to>
      <xdr:col>7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20</xdr:row>
      <xdr:rowOff>114300</xdr:rowOff>
    </xdr:from>
    <xdr:to>
      <xdr:col>1</xdr:col>
      <xdr:colOff>385445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20</xdr:row>
      <xdr:rowOff>114300</xdr:rowOff>
    </xdr:from>
    <xdr:to>
      <xdr:col>2</xdr:col>
      <xdr:colOff>385445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20</xdr:row>
      <xdr:rowOff>114300</xdr:rowOff>
    </xdr:from>
    <xdr:to>
      <xdr:col>3</xdr:col>
      <xdr:colOff>385445</xdr:colOff>
      <xdr:row>20</xdr:row>
      <xdr:rowOff>379095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20</xdr:row>
      <xdr:rowOff>114300</xdr:rowOff>
    </xdr:from>
    <xdr:to>
      <xdr:col>4</xdr:col>
      <xdr:colOff>385445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20</xdr:row>
      <xdr:rowOff>114300</xdr:rowOff>
    </xdr:from>
    <xdr:to>
      <xdr:col>5</xdr:col>
      <xdr:colOff>385445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20</xdr:row>
      <xdr:rowOff>114300</xdr:rowOff>
    </xdr:from>
    <xdr:to>
      <xdr:col>6</xdr:col>
      <xdr:colOff>385445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20</xdr:row>
      <xdr:rowOff>114300</xdr:rowOff>
    </xdr:from>
    <xdr:to>
      <xdr:col>7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16</xdr:row>
      <xdr:rowOff>114300</xdr:rowOff>
    </xdr:from>
    <xdr:to>
      <xdr:col>9</xdr:col>
      <xdr:colOff>422993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16</xdr:row>
      <xdr:rowOff>114300</xdr:rowOff>
    </xdr:from>
    <xdr:to>
      <xdr:col>10</xdr:col>
      <xdr:colOff>422993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16</xdr:row>
      <xdr:rowOff>114300</xdr:rowOff>
    </xdr:from>
    <xdr:to>
      <xdr:col>11</xdr:col>
      <xdr:colOff>423545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16</xdr:row>
      <xdr:rowOff>114300</xdr:rowOff>
    </xdr:from>
    <xdr:to>
      <xdr:col>12</xdr:col>
      <xdr:colOff>423545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16</xdr:row>
      <xdr:rowOff>114300</xdr:rowOff>
    </xdr:from>
    <xdr:to>
      <xdr:col>13</xdr:col>
      <xdr:colOff>423545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16</xdr:row>
      <xdr:rowOff>114300</xdr:rowOff>
    </xdr:from>
    <xdr:to>
      <xdr:col>14</xdr:col>
      <xdr:colOff>423545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104775</xdr:rowOff>
    </xdr:from>
    <xdr:to>
      <xdr:col>15</xdr:col>
      <xdr:colOff>404495</xdr:colOff>
      <xdr:row>16</xdr:row>
      <xdr:rowOff>379095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17</xdr:row>
      <xdr:rowOff>114300</xdr:rowOff>
    </xdr:from>
    <xdr:to>
      <xdr:col>9</xdr:col>
      <xdr:colOff>422993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17</xdr:row>
      <xdr:rowOff>114300</xdr:rowOff>
    </xdr:from>
    <xdr:to>
      <xdr:col>10</xdr:col>
      <xdr:colOff>422993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17</xdr:row>
      <xdr:rowOff>114300</xdr:rowOff>
    </xdr:from>
    <xdr:to>
      <xdr:col>11</xdr:col>
      <xdr:colOff>423545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17</xdr:row>
      <xdr:rowOff>114300</xdr:rowOff>
    </xdr:from>
    <xdr:to>
      <xdr:col>12</xdr:col>
      <xdr:colOff>423545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17</xdr:row>
      <xdr:rowOff>114300</xdr:rowOff>
    </xdr:from>
    <xdr:to>
      <xdr:col>13</xdr:col>
      <xdr:colOff>423545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17</xdr:row>
      <xdr:rowOff>114300</xdr:rowOff>
    </xdr:from>
    <xdr:to>
      <xdr:col>14</xdr:col>
      <xdr:colOff>423545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B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104775</xdr:rowOff>
    </xdr:from>
    <xdr:to>
      <xdr:col>15</xdr:col>
      <xdr:colOff>404495</xdr:colOff>
      <xdr:row>17</xdr:row>
      <xdr:rowOff>379095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18</xdr:row>
      <xdr:rowOff>114300</xdr:rowOff>
    </xdr:from>
    <xdr:to>
      <xdr:col>9</xdr:col>
      <xdr:colOff>423545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18</xdr:row>
      <xdr:rowOff>114300</xdr:rowOff>
    </xdr:from>
    <xdr:to>
      <xdr:col>10</xdr:col>
      <xdr:colOff>422993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18</xdr:row>
      <xdr:rowOff>114300</xdr:rowOff>
    </xdr:from>
    <xdr:to>
      <xdr:col>11</xdr:col>
      <xdr:colOff>422993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18</xdr:row>
      <xdr:rowOff>114300</xdr:rowOff>
    </xdr:from>
    <xdr:to>
      <xdr:col>12</xdr:col>
      <xdr:colOff>423545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18</xdr:row>
      <xdr:rowOff>114300</xdr:rowOff>
    </xdr:from>
    <xdr:to>
      <xdr:col>13</xdr:col>
      <xdr:colOff>423545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18</xdr:row>
      <xdr:rowOff>114300</xdr:rowOff>
    </xdr:from>
    <xdr:to>
      <xdr:col>14</xdr:col>
      <xdr:colOff>423545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104775</xdr:rowOff>
    </xdr:from>
    <xdr:to>
      <xdr:col>15</xdr:col>
      <xdr:colOff>404495</xdr:colOff>
      <xdr:row>18</xdr:row>
      <xdr:rowOff>379095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19</xdr:row>
      <xdr:rowOff>114300</xdr:rowOff>
    </xdr:from>
    <xdr:to>
      <xdr:col>9</xdr:col>
      <xdr:colOff>423545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19</xdr:row>
      <xdr:rowOff>114300</xdr:rowOff>
    </xdr:from>
    <xdr:to>
      <xdr:col>10</xdr:col>
      <xdr:colOff>423545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19</xdr:row>
      <xdr:rowOff>114300</xdr:rowOff>
    </xdr:from>
    <xdr:to>
      <xdr:col>11</xdr:col>
      <xdr:colOff>423545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149225</xdr:colOff>
      <xdr:row>19</xdr:row>
      <xdr:rowOff>114300</xdr:rowOff>
    </xdr:from>
    <xdr:to>
      <xdr:col>12</xdr:col>
      <xdr:colOff>423545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149225</xdr:colOff>
      <xdr:row>19</xdr:row>
      <xdr:rowOff>114300</xdr:rowOff>
    </xdr:from>
    <xdr:to>
      <xdr:col>13</xdr:col>
      <xdr:colOff>423545</xdr:colOff>
      <xdr:row>19</xdr:row>
      <xdr:rowOff>379095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425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149225</xdr:colOff>
      <xdr:row>19</xdr:row>
      <xdr:rowOff>114300</xdr:rowOff>
    </xdr:from>
    <xdr:to>
      <xdr:col>14</xdr:col>
      <xdr:colOff>423545</xdr:colOff>
      <xdr:row>19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104775</xdr:rowOff>
    </xdr:from>
    <xdr:to>
      <xdr:col>15</xdr:col>
      <xdr:colOff>404495</xdr:colOff>
      <xdr:row>19</xdr:row>
      <xdr:rowOff>379095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149225</xdr:colOff>
      <xdr:row>20</xdr:row>
      <xdr:rowOff>114300</xdr:rowOff>
    </xdr:from>
    <xdr:to>
      <xdr:col>9</xdr:col>
      <xdr:colOff>423545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149225</xdr:colOff>
      <xdr:row>20</xdr:row>
      <xdr:rowOff>114300</xdr:rowOff>
    </xdr:from>
    <xdr:to>
      <xdr:col>10</xdr:col>
      <xdr:colOff>423545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149225</xdr:colOff>
      <xdr:row>20</xdr:row>
      <xdr:rowOff>114300</xdr:rowOff>
    </xdr:from>
    <xdr:to>
      <xdr:col>11</xdr:col>
      <xdr:colOff>422993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16</xdr:row>
      <xdr:rowOff>114300</xdr:rowOff>
    </xdr:from>
    <xdr:to>
      <xdr:col>20</xdr:col>
      <xdr:colOff>403943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16</xdr:row>
      <xdr:rowOff>114300</xdr:rowOff>
    </xdr:from>
    <xdr:to>
      <xdr:col>21</xdr:col>
      <xdr:colOff>404495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16</xdr:row>
      <xdr:rowOff>114300</xdr:rowOff>
    </xdr:from>
    <xdr:to>
      <xdr:col>22</xdr:col>
      <xdr:colOff>404495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17</xdr:row>
      <xdr:rowOff>114300</xdr:rowOff>
    </xdr:from>
    <xdr:to>
      <xdr:col>17</xdr:col>
      <xdr:colOff>404495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17</xdr:row>
      <xdr:rowOff>114300</xdr:rowOff>
    </xdr:from>
    <xdr:to>
      <xdr:col>18</xdr:col>
      <xdr:colOff>403943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17</xdr:row>
      <xdr:rowOff>114300</xdr:rowOff>
    </xdr:from>
    <xdr:to>
      <xdr:col>19</xdr:col>
      <xdr:colOff>403943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17</xdr:row>
      <xdr:rowOff>114300</xdr:rowOff>
    </xdr:from>
    <xdr:to>
      <xdr:col>20</xdr:col>
      <xdr:colOff>404495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17</xdr:row>
      <xdr:rowOff>114300</xdr:rowOff>
    </xdr:from>
    <xdr:to>
      <xdr:col>21</xdr:col>
      <xdr:colOff>404495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17</xdr:row>
      <xdr:rowOff>114300</xdr:rowOff>
    </xdr:from>
    <xdr:to>
      <xdr:col>22</xdr:col>
      <xdr:colOff>404495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18</xdr:row>
      <xdr:rowOff>114300</xdr:rowOff>
    </xdr:from>
    <xdr:to>
      <xdr:col>17</xdr:col>
      <xdr:colOff>404495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18</xdr:row>
      <xdr:rowOff>114300</xdr:rowOff>
    </xdr:from>
    <xdr:to>
      <xdr:col>18</xdr:col>
      <xdr:colOff>404495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18</xdr:row>
      <xdr:rowOff>114300</xdr:rowOff>
    </xdr:from>
    <xdr:to>
      <xdr:col>19</xdr:col>
      <xdr:colOff>403943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18</xdr:row>
      <xdr:rowOff>114300</xdr:rowOff>
    </xdr:from>
    <xdr:to>
      <xdr:col>20</xdr:col>
      <xdr:colOff>403943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18</xdr:row>
      <xdr:rowOff>114300</xdr:rowOff>
    </xdr:from>
    <xdr:to>
      <xdr:col>21</xdr:col>
      <xdr:colOff>404495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18</xdr:row>
      <xdr:rowOff>114300</xdr:rowOff>
    </xdr:from>
    <xdr:to>
      <xdr:col>22</xdr:col>
      <xdr:colOff>404495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19</xdr:row>
      <xdr:rowOff>114300</xdr:rowOff>
    </xdr:from>
    <xdr:to>
      <xdr:col>17</xdr:col>
      <xdr:colOff>404495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19</xdr:row>
      <xdr:rowOff>114300</xdr:rowOff>
    </xdr:from>
    <xdr:to>
      <xdr:col>18</xdr:col>
      <xdr:colOff>404495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19</xdr:row>
      <xdr:rowOff>114300</xdr:rowOff>
    </xdr:from>
    <xdr:to>
      <xdr:col>19</xdr:col>
      <xdr:colOff>404495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B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19</xdr:row>
      <xdr:rowOff>114300</xdr:rowOff>
    </xdr:from>
    <xdr:to>
      <xdr:col>20</xdr:col>
      <xdr:colOff>404495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19</xdr:row>
      <xdr:rowOff>114300</xdr:rowOff>
    </xdr:from>
    <xdr:to>
      <xdr:col>21</xdr:col>
      <xdr:colOff>404495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19</xdr:row>
      <xdr:rowOff>114300</xdr:rowOff>
    </xdr:from>
    <xdr:to>
      <xdr:col>22</xdr:col>
      <xdr:colOff>404495</xdr:colOff>
      <xdr:row>19</xdr:row>
      <xdr:rowOff>379095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20</xdr:row>
      <xdr:rowOff>114300</xdr:rowOff>
    </xdr:from>
    <xdr:to>
      <xdr:col>17</xdr:col>
      <xdr:colOff>404495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20</xdr:row>
      <xdr:rowOff>114300</xdr:rowOff>
    </xdr:from>
    <xdr:to>
      <xdr:col>18</xdr:col>
      <xdr:colOff>404495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20</xdr:row>
      <xdr:rowOff>114300</xdr:rowOff>
    </xdr:from>
    <xdr:to>
      <xdr:col>19</xdr:col>
      <xdr:colOff>404495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20</xdr:row>
      <xdr:rowOff>114300</xdr:rowOff>
    </xdr:from>
    <xdr:to>
      <xdr:col>20</xdr:col>
      <xdr:colOff>403943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20</xdr:row>
      <xdr:rowOff>114300</xdr:rowOff>
    </xdr:from>
    <xdr:to>
      <xdr:col>21</xdr:col>
      <xdr:colOff>403943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25</xdr:row>
      <xdr:rowOff>85725</xdr:rowOff>
    </xdr:from>
    <xdr:to>
      <xdr:col>7</xdr:col>
      <xdr:colOff>375920</xdr:colOff>
      <xdr:row>25</xdr:row>
      <xdr:rowOff>360045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220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384893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384893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26</xdr:row>
      <xdr:rowOff>85725</xdr:rowOff>
    </xdr:from>
    <xdr:to>
      <xdr:col>7</xdr:col>
      <xdr:colOff>375920</xdr:colOff>
      <xdr:row>26</xdr:row>
      <xdr:rowOff>360045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384893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384893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27</xdr:row>
      <xdr:rowOff>85725</xdr:rowOff>
    </xdr:from>
    <xdr:to>
      <xdr:col>7</xdr:col>
      <xdr:colOff>375920</xdr:colOff>
      <xdr:row>27</xdr:row>
      <xdr:rowOff>360045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28</xdr:row>
      <xdr:rowOff>85725</xdr:rowOff>
    </xdr:from>
    <xdr:to>
      <xdr:col>7</xdr:col>
      <xdr:colOff>375920</xdr:colOff>
      <xdr:row>28</xdr:row>
      <xdr:rowOff>350520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59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384893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384893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B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29</xdr:row>
      <xdr:rowOff>85725</xdr:rowOff>
    </xdr:from>
    <xdr:to>
      <xdr:col>7</xdr:col>
      <xdr:colOff>375920</xdr:colOff>
      <xdr:row>29</xdr:row>
      <xdr:rowOff>360045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30</xdr:row>
      <xdr:rowOff>114300</xdr:rowOff>
    </xdr:from>
    <xdr:to>
      <xdr:col>1</xdr:col>
      <xdr:colOff>385445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B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25</xdr:row>
      <xdr:rowOff>114300</xdr:rowOff>
    </xdr:from>
    <xdr:to>
      <xdr:col>10</xdr:col>
      <xdr:colOff>394970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25</xdr:row>
      <xdr:rowOff>114300</xdr:rowOff>
    </xdr:from>
    <xdr:to>
      <xdr:col>11</xdr:col>
      <xdr:colOff>394970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B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B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394418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104775</xdr:rowOff>
    </xdr:from>
    <xdr:to>
      <xdr:col>15</xdr:col>
      <xdr:colOff>394418</xdr:colOff>
      <xdr:row>25</xdr:row>
      <xdr:rowOff>379095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39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26</xdr:row>
      <xdr:rowOff>114300</xdr:rowOff>
    </xdr:from>
    <xdr:to>
      <xdr:col>9</xdr:col>
      <xdr:colOff>394970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26</xdr:row>
      <xdr:rowOff>114300</xdr:rowOff>
    </xdr:from>
    <xdr:to>
      <xdr:col>10</xdr:col>
      <xdr:colOff>394970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26</xdr:row>
      <xdr:rowOff>114300</xdr:rowOff>
    </xdr:from>
    <xdr:to>
      <xdr:col>11</xdr:col>
      <xdr:colOff>394970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26</xdr:row>
      <xdr:rowOff>114300</xdr:rowOff>
    </xdr:from>
    <xdr:to>
      <xdr:col>12</xdr:col>
      <xdr:colOff>394970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26</xdr:row>
      <xdr:rowOff>114300</xdr:rowOff>
    </xdr:from>
    <xdr:to>
      <xdr:col>13</xdr:col>
      <xdr:colOff>394970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26</xdr:row>
      <xdr:rowOff>114300</xdr:rowOff>
    </xdr:from>
    <xdr:to>
      <xdr:col>14</xdr:col>
      <xdr:colOff>394970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104775</xdr:rowOff>
    </xdr:from>
    <xdr:to>
      <xdr:col>15</xdr:col>
      <xdr:colOff>394418</xdr:colOff>
      <xdr:row>26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696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27</xdr:row>
      <xdr:rowOff>114300</xdr:rowOff>
    </xdr:from>
    <xdr:to>
      <xdr:col>9</xdr:col>
      <xdr:colOff>394418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27</xdr:row>
      <xdr:rowOff>114300</xdr:rowOff>
    </xdr:from>
    <xdr:to>
      <xdr:col>10</xdr:col>
      <xdr:colOff>394970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27</xdr:row>
      <xdr:rowOff>114300</xdr:rowOff>
    </xdr:from>
    <xdr:to>
      <xdr:col>11</xdr:col>
      <xdr:colOff>394970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27</xdr:row>
      <xdr:rowOff>114300</xdr:rowOff>
    </xdr:from>
    <xdr:to>
      <xdr:col>12</xdr:col>
      <xdr:colOff>394970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27</xdr:row>
      <xdr:rowOff>114300</xdr:rowOff>
    </xdr:from>
    <xdr:to>
      <xdr:col>13</xdr:col>
      <xdr:colOff>394970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27</xdr:row>
      <xdr:rowOff>114300</xdr:rowOff>
    </xdr:from>
    <xdr:to>
      <xdr:col>14</xdr:col>
      <xdr:colOff>394970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104775</xdr:rowOff>
    </xdr:from>
    <xdr:to>
      <xdr:col>15</xdr:col>
      <xdr:colOff>394970</xdr:colOff>
      <xdr:row>27</xdr:row>
      <xdr:rowOff>379095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28</xdr:row>
      <xdr:rowOff>114300</xdr:rowOff>
    </xdr:from>
    <xdr:to>
      <xdr:col>9</xdr:col>
      <xdr:colOff>394970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28</xdr:row>
      <xdr:rowOff>114300</xdr:rowOff>
    </xdr:from>
    <xdr:to>
      <xdr:col>10</xdr:col>
      <xdr:colOff>394970</xdr:colOff>
      <xdr:row>28</xdr:row>
      <xdr:rowOff>379095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28</xdr:row>
      <xdr:rowOff>114300</xdr:rowOff>
    </xdr:from>
    <xdr:to>
      <xdr:col>11</xdr:col>
      <xdr:colOff>394970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28</xdr:row>
      <xdr:rowOff>114300</xdr:rowOff>
    </xdr:from>
    <xdr:to>
      <xdr:col>12</xdr:col>
      <xdr:colOff>394970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28</xdr:row>
      <xdr:rowOff>114300</xdr:rowOff>
    </xdr:from>
    <xdr:to>
      <xdr:col>13</xdr:col>
      <xdr:colOff>394970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B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28</xdr:row>
      <xdr:rowOff>114300</xdr:rowOff>
    </xdr:from>
    <xdr:to>
      <xdr:col>14</xdr:col>
      <xdr:colOff>394418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B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104775</xdr:rowOff>
    </xdr:from>
    <xdr:to>
      <xdr:col>15</xdr:col>
      <xdr:colOff>394418</xdr:colOff>
      <xdr:row>28</xdr:row>
      <xdr:rowOff>379095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B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11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29</xdr:row>
      <xdr:rowOff>114300</xdr:rowOff>
    </xdr:from>
    <xdr:to>
      <xdr:col>9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B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29</xdr:row>
      <xdr:rowOff>114300</xdr:rowOff>
    </xdr:from>
    <xdr:to>
      <xdr:col>10</xdr:col>
      <xdr:colOff>394970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B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29</xdr:row>
      <xdr:rowOff>114300</xdr:rowOff>
    </xdr:from>
    <xdr:to>
      <xdr:col>11</xdr:col>
      <xdr:colOff>394970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B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29</xdr:row>
      <xdr:rowOff>114300</xdr:rowOff>
    </xdr:from>
    <xdr:to>
      <xdr:col>12</xdr:col>
      <xdr:colOff>394970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B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25</xdr:row>
      <xdr:rowOff>114300</xdr:rowOff>
    </xdr:from>
    <xdr:to>
      <xdr:col>21</xdr:col>
      <xdr:colOff>394970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B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25</xdr:row>
      <xdr:rowOff>114300</xdr:rowOff>
    </xdr:from>
    <xdr:to>
      <xdr:col>22</xdr:col>
      <xdr:colOff>394970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B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95250</xdr:rowOff>
    </xdr:from>
    <xdr:to>
      <xdr:col>23</xdr:col>
      <xdr:colOff>403943</xdr:colOff>
      <xdr:row>25</xdr:row>
      <xdr:rowOff>369570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B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29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394418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B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B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394970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B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394970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B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B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B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95250</xdr:rowOff>
    </xdr:from>
    <xdr:to>
      <xdr:col>23</xdr:col>
      <xdr:colOff>404495</xdr:colOff>
      <xdr:row>26</xdr:row>
      <xdr:rowOff>369570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B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8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394418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B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394418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B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394970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B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394970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B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394970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B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394970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B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95250</xdr:rowOff>
    </xdr:from>
    <xdr:to>
      <xdr:col>23</xdr:col>
      <xdr:colOff>404495</xdr:colOff>
      <xdr:row>27</xdr:row>
      <xdr:rowOff>369570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B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B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B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379095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394970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B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394970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394970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95250</xdr:rowOff>
    </xdr:from>
    <xdr:to>
      <xdr:col>23</xdr:col>
      <xdr:colOff>404495</xdr:colOff>
      <xdr:row>28</xdr:row>
      <xdr:rowOff>369570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394418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394418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29</xdr:row>
      <xdr:rowOff>114300</xdr:rowOff>
    </xdr:from>
    <xdr:to>
      <xdr:col>19</xdr:col>
      <xdr:colOff>394970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B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29</xdr:row>
      <xdr:rowOff>114300</xdr:rowOff>
    </xdr:from>
    <xdr:to>
      <xdr:col>20</xdr:col>
      <xdr:colOff>394970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B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29</xdr:row>
      <xdr:rowOff>114300</xdr:rowOff>
    </xdr:from>
    <xdr:to>
      <xdr:col>21</xdr:col>
      <xdr:colOff>394970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B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29</xdr:row>
      <xdr:rowOff>114300</xdr:rowOff>
    </xdr:from>
    <xdr:to>
      <xdr:col>22</xdr:col>
      <xdr:colOff>394970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B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34</xdr:row>
      <xdr:rowOff>95250</xdr:rowOff>
    </xdr:from>
    <xdr:to>
      <xdr:col>7</xdr:col>
      <xdr:colOff>385445</xdr:colOff>
      <xdr:row>34</xdr:row>
      <xdr:rowOff>369570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B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104775</xdr:rowOff>
    </xdr:from>
    <xdr:to>
      <xdr:col>1</xdr:col>
      <xdr:colOff>375920</xdr:colOff>
      <xdr:row>35</xdr:row>
      <xdr:rowOff>379095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B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104775</xdr:rowOff>
    </xdr:from>
    <xdr:to>
      <xdr:col>2</xdr:col>
      <xdr:colOff>375368</xdr:colOff>
      <xdr:row>35</xdr:row>
      <xdr:rowOff>379095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B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104775</xdr:rowOff>
    </xdr:from>
    <xdr:to>
      <xdr:col>3</xdr:col>
      <xdr:colOff>375368</xdr:colOff>
      <xdr:row>35</xdr:row>
      <xdr:rowOff>379095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B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104775</xdr:rowOff>
    </xdr:from>
    <xdr:to>
      <xdr:col>4</xdr:col>
      <xdr:colOff>375920</xdr:colOff>
      <xdr:row>35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B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104775</xdr:rowOff>
    </xdr:from>
    <xdr:to>
      <xdr:col>5</xdr:col>
      <xdr:colOff>375920</xdr:colOff>
      <xdr:row>35</xdr:row>
      <xdr:rowOff>379095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B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104775</xdr:rowOff>
    </xdr:from>
    <xdr:to>
      <xdr:col>6</xdr:col>
      <xdr:colOff>375920</xdr:colOff>
      <xdr:row>35</xdr:row>
      <xdr:rowOff>379095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B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35</xdr:row>
      <xdr:rowOff>95250</xdr:rowOff>
    </xdr:from>
    <xdr:to>
      <xdr:col>7</xdr:col>
      <xdr:colOff>385445</xdr:colOff>
      <xdr:row>35</xdr:row>
      <xdr:rowOff>369570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B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104775</xdr:rowOff>
    </xdr:from>
    <xdr:to>
      <xdr:col>1</xdr:col>
      <xdr:colOff>375920</xdr:colOff>
      <xdr:row>36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B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104775</xdr:rowOff>
    </xdr:from>
    <xdr:to>
      <xdr:col>2</xdr:col>
      <xdr:colOff>375920</xdr:colOff>
      <xdr:row>36</xdr:row>
      <xdr:rowOff>379095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B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104775</xdr:rowOff>
    </xdr:from>
    <xdr:to>
      <xdr:col>3</xdr:col>
      <xdr:colOff>375368</xdr:colOff>
      <xdr:row>36</xdr:row>
      <xdr:rowOff>379095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B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104775</xdr:rowOff>
    </xdr:from>
    <xdr:to>
      <xdr:col>4</xdr:col>
      <xdr:colOff>375368</xdr:colOff>
      <xdr:row>36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B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104775</xdr:rowOff>
    </xdr:from>
    <xdr:to>
      <xdr:col>5</xdr:col>
      <xdr:colOff>375920</xdr:colOff>
      <xdr:row>36</xdr:row>
      <xdr:rowOff>379095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B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104775</xdr:rowOff>
    </xdr:from>
    <xdr:to>
      <xdr:col>6</xdr:col>
      <xdr:colOff>375920</xdr:colOff>
      <xdr:row>36</xdr:row>
      <xdr:rowOff>379095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B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36</xdr:row>
      <xdr:rowOff>95250</xdr:rowOff>
    </xdr:from>
    <xdr:to>
      <xdr:col>7</xdr:col>
      <xdr:colOff>385445</xdr:colOff>
      <xdr:row>36</xdr:row>
      <xdr:rowOff>369570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B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104775</xdr:rowOff>
    </xdr:from>
    <xdr:to>
      <xdr:col>1</xdr:col>
      <xdr:colOff>375920</xdr:colOff>
      <xdr:row>37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B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104775</xdr:rowOff>
    </xdr:from>
    <xdr:to>
      <xdr:col>2</xdr:col>
      <xdr:colOff>375920</xdr:colOff>
      <xdr:row>37</xdr:row>
      <xdr:rowOff>379095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B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104775</xdr:rowOff>
    </xdr:from>
    <xdr:to>
      <xdr:col>3</xdr:col>
      <xdr:colOff>375920</xdr:colOff>
      <xdr:row>37</xdr:row>
      <xdr:rowOff>379095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B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104775</xdr:rowOff>
    </xdr:from>
    <xdr:to>
      <xdr:col>4</xdr:col>
      <xdr:colOff>375920</xdr:colOff>
      <xdr:row>37</xdr:row>
      <xdr:rowOff>369570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B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68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104775</xdr:rowOff>
    </xdr:from>
    <xdr:to>
      <xdr:col>5</xdr:col>
      <xdr:colOff>375920</xdr:colOff>
      <xdr:row>37</xdr:row>
      <xdr:rowOff>379095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B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104775</xdr:rowOff>
    </xdr:from>
    <xdr:to>
      <xdr:col>6</xdr:col>
      <xdr:colOff>375920</xdr:colOff>
      <xdr:row>37</xdr:row>
      <xdr:rowOff>379095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B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37</xdr:row>
      <xdr:rowOff>95250</xdr:rowOff>
    </xdr:from>
    <xdr:to>
      <xdr:col>7</xdr:col>
      <xdr:colOff>385445</xdr:colOff>
      <xdr:row>37</xdr:row>
      <xdr:rowOff>369570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B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104775</xdr:rowOff>
    </xdr:from>
    <xdr:to>
      <xdr:col>1</xdr:col>
      <xdr:colOff>375920</xdr:colOff>
      <xdr:row>38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B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104775</xdr:rowOff>
    </xdr:from>
    <xdr:to>
      <xdr:col>2</xdr:col>
      <xdr:colOff>375368</xdr:colOff>
      <xdr:row>38</xdr:row>
      <xdr:rowOff>379095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B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104775</xdr:rowOff>
    </xdr:from>
    <xdr:to>
      <xdr:col>3</xdr:col>
      <xdr:colOff>375368</xdr:colOff>
      <xdr:row>38</xdr:row>
      <xdr:rowOff>379095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B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104775</xdr:rowOff>
    </xdr:from>
    <xdr:to>
      <xdr:col>4</xdr:col>
      <xdr:colOff>375920</xdr:colOff>
      <xdr:row>38</xdr:row>
      <xdr:rowOff>379095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B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38</xdr:row>
      <xdr:rowOff>104775</xdr:rowOff>
    </xdr:from>
    <xdr:to>
      <xdr:col>5</xdr:col>
      <xdr:colOff>375920</xdr:colOff>
      <xdr:row>38</xdr:row>
      <xdr:rowOff>379095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B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104775</xdr:rowOff>
    </xdr:from>
    <xdr:to>
      <xdr:col>6</xdr:col>
      <xdr:colOff>375920</xdr:colOff>
      <xdr:row>38</xdr:row>
      <xdr:rowOff>379095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B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38</xdr:row>
      <xdr:rowOff>95250</xdr:rowOff>
    </xdr:from>
    <xdr:to>
      <xdr:col>7</xdr:col>
      <xdr:colOff>385445</xdr:colOff>
      <xdr:row>38</xdr:row>
      <xdr:rowOff>369570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B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39</xdr:row>
      <xdr:rowOff>104775</xdr:rowOff>
    </xdr:from>
    <xdr:to>
      <xdr:col>1</xdr:col>
      <xdr:colOff>375920</xdr:colOff>
      <xdr:row>39</xdr:row>
      <xdr:rowOff>379095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B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39</xdr:row>
      <xdr:rowOff>104775</xdr:rowOff>
    </xdr:from>
    <xdr:to>
      <xdr:col>2</xdr:col>
      <xdr:colOff>375920</xdr:colOff>
      <xdr:row>39</xdr:row>
      <xdr:rowOff>379095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B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34</xdr:row>
      <xdr:rowOff>114300</xdr:rowOff>
    </xdr:from>
    <xdr:to>
      <xdr:col>11</xdr:col>
      <xdr:colOff>365843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B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34</xdr:row>
      <xdr:rowOff>114300</xdr:rowOff>
    </xdr:from>
    <xdr:to>
      <xdr:col>12</xdr:col>
      <xdr:colOff>365843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B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34</xdr:row>
      <xdr:rowOff>114300</xdr:rowOff>
    </xdr:from>
    <xdr:to>
      <xdr:col>13</xdr:col>
      <xdr:colOff>365843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B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34</xdr:row>
      <xdr:rowOff>114300</xdr:rowOff>
    </xdr:from>
    <xdr:to>
      <xdr:col>14</xdr:col>
      <xdr:colOff>366395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B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85725</xdr:rowOff>
    </xdr:from>
    <xdr:to>
      <xdr:col>15</xdr:col>
      <xdr:colOff>394970</xdr:colOff>
      <xdr:row>34</xdr:row>
      <xdr:rowOff>360045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B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78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35</xdr:row>
      <xdr:rowOff>114300</xdr:rowOff>
    </xdr:from>
    <xdr:to>
      <xdr:col>9</xdr:col>
      <xdr:colOff>366395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B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35</xdr:row>
      <xdr:rowOff>114300</xdr:rowOff>
    </xdr:from>
    <xdr:to>
      <xdr:col>10</xdr:col>
      <xdr:colOff>366395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B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35</xdr:row>
      <xdr:rowOff>114300</xdr:rowOff>
    </xdr:from>
    <xdr:to>
      <xdr:col>11</xdr:col>
      <xdr:colOff>366395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B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35</xdr:row>
      <xdr:rowOff>114300</xdr:rowOff>
    </xdr:from>
    <xdr:to>
      <xdr:col>12</xdr:col>
      <xdr:colOff>365843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B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35</xdr:row>
      <xdr:rowOff>114300</xdr:rowOff>
    </xdr:from>
    <xdr:to>
      <xdr:col>13</xdr:col>
      <xdr:colOff>365843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B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35</xdr:row>
      <xdr:rowOff>114300</xdr:rowOff>
    </xdr:from>
    <xdr:to>
      <xdr:col>14</xdr:col>
      <xdr:colOff>366395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B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85725</xdr:rowOff>
    </xdr:from>
    <xdr:to>
      <xdr:col>15</xdr:col>
      <xdr:colOff>394970</xdr:colOff>
      <xdr:row>35</xdr:row>
      <xdr:rowOff>360045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B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35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36</xdr:row>
      <xdr:rowOff>114300</xdr:rowOff>
    </xdr:from>
    <xdr:to>
      <xdr:col>9</xdr:col>
      <xdr:colOff>366395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B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36</xdr:row>
      <xdr:rowOff>114300</xdr:rowOff>
    </xdr:from>
    <xdr:to>
      <xdr:col>10</xdr:col>
      <xdr:colOff>366395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B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36</xdr:row>
      <xdr:rowOff>114300</xdr:rowOff>
    </xdr:from>
    <xdr:to>
      <xdr:col>11</xdr:col>
      <xdr:colOff>366395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B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36</xdr:row>
      <xdr:rowOff>114300</xdr:rowOff>
    </xdr:from>
    <xdr:to>
      <xdr:col>12</xdr:col>
      <xdr:colOff>366395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B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36</xdr:row>
      <xdr:rowOff>114300</xdr:rowOff>
    </xdr:from>
    <xdr:to>
      <xdr:col>13</xdr:col>
      <xdr:colOff>366395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B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36</xdr:row>
      <xdr:rowOff>114300</xdr:rowOff>
    </xdr:from>
    <xdr:to>
      <xdr:col>14</xdr:col>
      <xdr:colOff>366395</xdr:colOff>
      <xdr:row>36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B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85725</xdr:rowOff>
    </xdr:from>
    <xdr:to>
      <xdr:col>15</xdr:col>
      <xdr:colOff>394970</xdr:colOff>
      <xdr:row>36</xdr:row>
      <xdr:rowOff>360045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B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99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37</xdr:row>
      <xdr:rowOff>114300</xdr:rowOff>
    </xdr:from>
    <xdr:to>
      <xdr:col>9</xdr:col>
      <xdr:colOff>366395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B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37</xdr:row>
      <xdr:rowOff>114300</xdr:rowOff>
    </xdr:from>
    <xdr:to>
      <xdr:col>10</xdr:col>
      <xdr:colOff>366395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B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37</xdr:row>
      <xdr:rowOff>114300</xdr:rowOff>
    </xdr:from>
    <xdr:to>
      <xdr:col>11</xdr:col>
      <xdr:colOff>366395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B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37</xdr:row>
      <xdr:rowOff>114300</xdr:rowOff>
    </xdr:from>
    <xdr:to>
      <xdr:col>12</xdr:col>
      <xdr:colOff>365843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B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37</xdr:row>
      <xdr:rowOff>114300</xdr:rowOff>
    </xdr:from>
    <xdr:to>
      <xdr:col>13</xdr:col>
      <xdr:colOff>365843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B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37</xdr:row>
      <xdr:rowOff>114300</xdr:rowOff>
    </xdr:from>
    <xdr:to>
      <xdr:col>14</xdr:col>
      <xdr:colOff>366395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B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85725</xdr:rowOff>
    </xdr:from>
    <xdr:to>
      <xdr:col>15</xdr:col>
      <xdr:colOff>394970</xdr:colOff>
      <xdr:row>37</xdr:row>
      <xdr:rowOff>360045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B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4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38</xdr:row>
      <xdr:rowOff>114300</xdr:rowOff>
    </xdr:from>
    <xdr:to>
      <xdr:col>9</xdr:col>
      <xdr:colOff>366395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B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38</xdr:row>
      <xdr:rowOff>114300</xdr:rowOff>
    </xdr:from>
    <xdr:to>
      <xdr:col>10</xdr:col>
      <xdr:colOff>366395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B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38</xdr:row>
      <xdr:rowOff>114300</xdr:rowOff>
    </xdr:from>
    <xdr:to>
      <xdr:col>11</xdr:col>
      <xdr:colOff>366395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B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38</xdr:row>
      <xdr:rowOff>114300</xdr:rowOff>
    </xdr:from>
    <xdr:to>
      <xdr:col>12</xdr:col>
      <xdr:colOff>366395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B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B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394418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B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95250</xdr:rowOff>
    </xdr:from>
    <xdr:to>
      <xdr:col>23</xdr:col>
      <xdr:colOff>394970</xdr:colOff>
      <xdr:row>34</xdr:row>
      <xdr:rowOff>369570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B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394970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B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394970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B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394970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B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394970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B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394418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B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394418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B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95250</xdr:rowOff>
    </xdr:from>
    <xdr:to>
      <xdr:col>23</xdr:col>
      <xdr:colOff>394970</xdr:colOff>
      <xdr:row>35</xdr:row>
      <xdr:rowOff>369570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B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B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B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394970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B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394970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B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B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394970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B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95250</xdr:rowOff>
    </xdr:from>
    <xdr:to>
      <xdr:col>23</xdr:col>
      <xdr:colOff>394970</xdr:colOff>
      <xdr:row>36</xdr:row>
      <xdr:rowOff>360045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B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02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B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394970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B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394970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B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B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B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394418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B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95250</xdr:rowOff>
    </xdr:from>
    <xdr:to>
      <xdr:col>23</xdr:col>
      <xdr:colOff>394418</xdr:colOff>
      <xdr:row>37</xdr:row>
      <xdr:rowOff>369570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B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B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394970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B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394970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B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B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114300</xdr:rowOff>
    </xdr:from>
    <xdr:to>
      <xdr:col>21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B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114300</xdr:rowOff>
    </xdr:from>
    <xdr:to>
      <xdr:col>22</xdr:col>
      <xdr:colOff>394970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B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38</xdr:row>
      <xdr:rowOff>95250</xdr:rowOff>
    </xdr:from>
    <xdr:to>
      <xdr:col>23</xdr:col>
      <xdr:colOff>394418</xdr:colOff>
      <xdr:row>38</xdr:row>
      <xdr:rowOff>369570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B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916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7</xdr:row>
      <xdr:rowOff>114300</xdr:rowOff>
    </xdr:from>
    <xdr:to>
      <xdr:col>12</xdr:col>
      <xdr:colOff>384893</xdr:colOff>
      <xdr:row>7</xdr:row>
      <xdr:rowOff>388620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B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533775"/>
          <a:ext cx="273768" cy="27432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</xdr:row>
      <xdr:rowOff>114300</xdr:rowOff>
    </xdr:from>
    <xdr:to>
      <xdr:col>1</xdr:col>
      <xdr:colOff>375368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7</xdr:row>
      <xdr:rowOff>114300</xdr:rowOff>
    </xdr:from>
    <xdr:to>
      <xdr:col>2</xdr:col>
      <xdr:colOff>375920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7</xdr:row>
      <xdr:rowOff>114300</xdr:rowOff>
    </xdr:from>
    <xdr:to>
      <xdr:col>3</xdr:col>
      <xdr:colOff>375920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7</xdr:row>
      <xdr:rowOff>114300</xdr:rowOff>
    </xdr:from>
    <xdr:to>
      <xdr:col>4</xdr:col>
      <xdr:colOff>375920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114300</xdr:rowOff>
    </xdr:from>
    <xdr:to>
      <xdr:col>5</xdr:col>
      <xdr:colOff>375920</xdr:colOff>
      <xdr:row>7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114300</xdr:rowOff>
    </xdr:from>
    <xdr:to>
      <xdr:col>6</xdr:col>
      <xdr:colOff>375920</xdr:colOff>
      <xdr:row>7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114300</xdr:rowOff>
    </xdr:from>
    <xdr:to>
      <xdr:col>7</xdr:col>
      <xdr:colOff>384893</xdr:colOff>
      <xdr:row>7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8</xdr:row>
      <xdr:rowOff>114300</xdr:rowOff>
    </xdr:from>
    <xdr:to>
      <xdr:col>1</xdr:col>
      <xdr:colOff>375368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8</xdr:row>
      <xdr:rowOff>114300</xdr:rowOff>
    </xdr:from>
    <xdr:to>
      <xdr:col>2</xdr:col>
      <xdr:colOff>375920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8</xdr:row>
      <xdr:rowOff>114300</xdr:rowOff>
    </xdr:from>
    <xdr:to>
      <xdr:col>3</xdr:col>
      <xdr:colOff>375920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8</xdr:row>
      <xdr:rowOff>114300</xdr:rowOff>
    </xdr:from>
    <xdr:to>
      <xdr:col>4</xdr:col>
      <xdr:colOff>375920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8</xdr:row>
      <xdr:rowOff>114300</xdr:rowOff>
    </xdr:from>
    <xdr:to>
      <xdr:col>5</xdr:col>
      <xdr:colOff>375920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8</xdr:row>
      <xdr:rowOff>114300</xdr:rowOff>
    </xdr:from>
    <xdr:to>
      <xdr:col>6</xdr:col>
      <xdr:colOff>375920</xdr:colOff>
      <xdr:row>8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</xdr:row>
      <xdr:rowOff>114300</xdr:rowOff>
    </xdr:from>
    <xdr:to>
      <xdr:col>1</xdr:col>
      <xdr:colOff>375920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</xdr:row>
      <xdr:rowOff>114300</xdr:rowOff>
    </xdr:from>
    <xdr:to>
      <xdr:col>2</xdr:col>
      <xdr:colOff>375920</xdr:colOff>
      <xdr:row>9</xdr:row>
      <xdr:rowOff>379095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9</xdr:row>
      <xdr:rowOff>114300</xdr:rowOff>
    </xdr:from>
    <xdr:to>
      <xdr:col>3</xdr:col>
      <xdr:colOff>375920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9</xdr:row>
      <xdr:rowOff>114300</xdr:rowOff>
    </xdr:from>
    <xdr:to>
      <xdr:col>4</xdr:col>
      <xdr:colOff>375920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9</xdr:row>
      <xdr:rowOff>114300</xdr:rowOff>
    </xdr:from>
    <xdr:to>
      <xdr:col>5</xdr:col>
      <xdr:colOff>375920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9</xdr:row>
      <xdr:rowOff>114300</xdr:rowOff>
    </xdr:from>
    <xdr:to>
      <xdr:col>6</xdr:col>
      <xdr:colOff>375920</xdr:colOff>
      <xdr:row>9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114300</xdr:rowOff>
    </xdr:from>
    <xdr:to>
      <xdr:col>7</xdr:col>
      <xdr:colOff>385445</xdr:colOff>
      <xdr:row>9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10</xdr:row>
      <xdr:rowOff>114300</xdr:rowOff>
    </xdr:from>
    <xdr:to>
      <xdr:col>1</xdr:col>
      <xdr:colOff>375368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</xdr:row>
      <xdr:rowOff>114300</xdr:rowOff>
    </xdr:from>
    <xdr:to>
      <xdr:col>2</xdr:col>
      <xdr:colOff>375368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10</xdr:row>
      <xdr:rowOff>114300</xdr:rowOff>
    </xdr:from>
    <xdr:to>
      <xdr:col>3</xdr:col>
      <xdr:colOff>375920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10</xdr:row>
      <xdr:rowOff>114300</xdr:rowOff>
    </xdr:from>
    <xdr:to>
      <xdr:col>4</xdr:col>
      <xdr:colOff>375920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10</xdr:row>
      <xdr:rowOff>114300</xdr:rowOff>
    </xdr:from>
    <xdr:to>
      <xdr:col>5</xdr:col>
      <xdr:colOff>375920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10</xdr:row>
      <xdr:rowOff>114300</xdr:rowOff>
    </xdr:from>
    <xdr:to>
      <xdr:col>6</xdr:col>
      <xdr:colOff>375920</xdr:colOff>
      <xdr:row>10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114300</xdr:rowOff>
    </xdr:from>
    <xdr:to>
      <xdr:col>7</xdr:col>
      <xdr:colOff>385445</xdr:colOff>
      <xdr:row>10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11</xdr:row>
      <xdr:rowOff>114300</xdr:rowOff>
    </xdr:from>
    <xdr:to>
      <xdr:col>1</xdr:col>
      <xdr:colOff>375368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114300</xdr:rowOff>
    </xdr:from>
    <xdr:to>
      <xdr:col>2</xdr:col>
      <xdr:colOff>375368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11</xdr:row>
      <xdr:rowOff>114300</xdr:rowOff>
    </xdr:from>
    <xdr:to>
      <xdr:col>3</xdr:col>
      <xdr:colOff>375920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394418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394418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379095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394418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394418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394970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394418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7</xdr:row>
      <xdr:rowOff>114300</xdr:rowOff>
    </xdr:from>
    <xdr:to>
      <xdr:col>20</xdr:col>
      <xdr:colOff>375368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7</xdr:row>
      <xdr:rowOff>114300</xdr:rowOff>
    </xdr:from>
    <xdr:to>
      <xdr:col>21</xdr:col>
      <xdr:colOff>375920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7</xdr:row>
      <xdr:rowOff>114300</xdr:rowOff>
    </xdr:from>
    <xdr:to>
      <xdr:col>22</xdr:col>
      <xdr:colOff>375920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104775</xdr:rowOff>
    </xdr:from>
    <xdr:to>
      <xdr:col>23</xdr:col>
      <xdr:colOff>404495</xdr:colOff>
      <xdr:row>7</xdr:row>
      <xdr:rowOff>379095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375920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375920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375368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375368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375920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104775</xdr:rowOff>
    </xdr:from>
    <xdr:to>
      <xdr:col>23</xdr:col>
      <xdr:colOff>404495</xdr:colOff>
      <xdr:row>8</xdr:row>
      <xdr:rowOff>379095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9</xdr:row>
      <xdr:rowOff>114300</xdr:rowOff>
    </xdr:from>
    <xdr:to>
      <xdr:col>17</xdr:col>
      <xdr:colOff>375920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9</xdr:row>
      <xdr:rowOff>114300</xdr:rowOff>
    </xdr:from>
    <xdr:to>
      <xdr:col>18</xdr:col>
      <xdr:colOff>375920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9</xdr:row>
      <xdr:rowOff>114300</xdr:rowOff>
    </xdr:from>
    <xdr:to>
      <xdr:col>19</xdr:col>
      <xdr:colOff>375920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9</xdr:row>
      <xdr:rowOff>114300</xdr:rowOff>
    </xdr:from>
    <xdr:to>
      <xdr:col>20</xdr:col>
      <xdr:colOff>375920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9</xdr:row>
      <xdr:rowOff>114300</xdr:rowOff>
    </xdr:from>
    <xdr:to>
      <xdr:col>21</xdr:col>
      <xdr:colOff>375920</xdr:colOff>
      <xdr:row>9</xdr:row>
      <xdr:rowOff>379095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9</xdr:row>
      <xdr:rowOff>114300</xdr:rowOff>
    </xdr:from>
    <xdr:to>
      <xdr:col>22</xdr:col>
      <xdr:colOff>375920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104775</xdr:rowOff>
    </xdr:from>
    <xdr:to>
      <xdr:col>23</xdr:col>
      <xdr:colOff>404495</xdr:colOff>
      <xdr:row>9</xdr:row>
      <xdr:rowOff>379095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394970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394970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10</xdr:row>
      <xdr:rowOff>114300</xdr:rowOff>
    </xdr:from>
    <xdr:to>
      <xdr:col>19</xdr:col>
      <xdr:colOff>394970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10</xdr:row>
      <xdr:rowOff>114300</xdr:rowOff>
    </xdr:from>
    <xdr:to>
      <xdr:col>20</xdr:col>
      <xdr:colOff>394418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10</xdr:row>
      <xdr:rowOff>114300</xdr:rowOff>
    </xdr:from>
    <xdr:to>
      <xdr:col>21</xdr:col>
      <xdr:colOff>394418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10</xdr:row>
      <xdr:rowOff>114300</xdr:rowOff>
    </xdr:from>
    <xdr:to>
      <xdr:col>22</xdr:col>
      <xdr:colOff>394418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104775</xdr:rowOff>
    </xdr:from>
    <xdr:to>
      <xdr:col>23</xdr:col>
      <xdr:colOff>404495</xdr:colOff>
      <xdr:row>10</xdr:row>
      <xdr:rowOff>379095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394970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114300</xdr:rowOff>
    </xdr:from>
    <xdr:to>
      <xdr:col>19</xdr:col>
      <xdr:colOff>394970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11</xdr:row>
      <xdr:rowOff>114300</xdr:rowOff>
    </xdr:from>
    <xdr:to>
      <xdr:col>20</xdr:col>
      <xdr:colOff>394418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11</xdr:row>
      <xdr:rowOff>114300</xdr:rowOff>
    </xdr:from>
    <xdr:to>
      <xdr:col>21</xdr:col>
      <xdr:colOff>394418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11</xdr:row>
      <xdr:rowOff>114300</xdr:rowOff>
    </xdr:from>
    <xdr:to>
      <xdr:col>22</xdr:col>
      <xdr:colOff>394970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114300</xdr:rowOff>
    </xdr:from>
    <xdr:to>
      <xdr:col>7</xdr:col>
      <xdr:colOff>385445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375368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375368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114300</xdr:rowOff>
    </xdr:from>
    <xdr:to>
      <xdr:col>7</xdr:col>
      <xdr:colOff>385445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375920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114300</xdr:rowOff>
    </xdr:from>
    <xdr:to>
      <xdr:col>7</xdr:col>
      <xdr:colOff>385445</xdr:colOff>
      <xdr:row>18</xdr:row>
      <xdr:rowOff>379095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375920</xdr:colOff>
      <xdr:row>19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375920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375920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375368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114300</xdr:rowOff>
    </xdr:from>
    <xdr:to>
      <xdr:col>7</xdr:col>
      <xdr:colOff>384893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20</xdr:row>
      <xdr:rowOff>114300</xdr:rowOff>
    </xdr:from>
    <xdr:to>
      <xdr:col>3</xdr:col>
      <xdr:colOff>375920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20</xdr:row>
      <xdr:rowOff>114300</xdr:rowOff>
    </xdr:from>
    <xdr:to>
      <xdr:col>4</xdr:col>
      <xdr:colOff>375920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20</xdr:row>
      <xdr:rowOff>114300</xdr:rowOff>
    </xdr:from>
    <xdr:to>
      <xdr:col>5</xdr:col>
      <xdr:colOff>375920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20</xdr:row>
      <xdr:rowOff>114300</xdr:rowOff>
    </xdr:from>
    <xdr:to>
      <xdr:col>6</xdr:col>
      <xdr:colOff>375368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20</xdr:row>
      <xdr:rowOff>114300</xdr:rowOff>
    </xdr:from>
    <xdr:to>
      <xdr:col>7</xdr:col>
      <xdr:colOff>384893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</xdr:row>
      <xdr:rowOff>114300</xdr:rowOff>
    </xdr:from>
    <xdr:to>
      <xdr:col>1</xdr:col>
      <xdr:colOff>375920</xdr:colOff>
      <xdr:row>21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677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16</xdr:row>
      <xdr:rowOff>114300</xdr:rowOff>
    </xdr:from>
    <xdr:to>
      <xdr:col>10</xdr:col>
      <xdr:colOff>385445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385445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384893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123825</xdr:rowOff>
    </xdr:from>
    <xdr:to>
      <xdr:col>15</xdr:col>
      <xdr:colOff>394418</xdr:colOff>
      <xdr:row>16</xdr:row>
      <xdr:rowOff>398145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00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123825</xdr:rowOff>
    </xdr:from>
    <xdr:to>
      <xdr:col>15</xdr:col>
      <xdr:colOff>394970</xdr:colOff>
      <xdr:row>17</xdr:row>
      <xdr:rowOff>398145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385445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385445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385445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123825</xdr:rowOff>
    </xdr:from>
    <xdr:to>
      <xdr:col>15</xdr:col>
      <xdr:colOff>394418</xdr:colOff>
      <xdr:row>18</xdr:row>
      <xdr:rowOff>398145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384893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385445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385445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123825</xdr:rowOff>
    </xdr:from>
    <xdr:to>
      <xdr:col>15</xdr:col>
      <xdr:colOff>394418</xdr:colOff>
      <xdr:row>19</xdr:row>
      <xdr:rowOff>398145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384893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385445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394970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104775</xdr:rowOff>
    </xdr:from>
    <xdr:to>
      <xdr:col>23</xdr:col>
      <xdr:colOff>394418</xdr:colOff>
      <xdr:row>16</xdr:row>
      <xdr:rowOff>379095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81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394418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394970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104775</xdr:rowOff>
    </xdr:from>
    <xdr:to>
      <xdr:col>23</xdr:col>
      <xdr:colOff>394970</xdr:colOff>
      <xdr:row>17</xdr:row>
      <xdr:rowOff>379095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379095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104775</xdr:rowOff>
    </xdr:from>
    <xdr:to>
      <xdr:col>23</xdr:col>
      <xdr:colOff>394970</xdr:colOff>
      <xdr:row>18</xdr:row>
      <xdr:rowOff>379095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394970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394418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394418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114300</xdr:rowOff>
    </xdr:from>
    <xdr:to>
      <xdr:col>22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104775</xdr:rowOff>
    </xdr:from>
    <xdr:to>
      <xdr:col>23</xdr:col>
      <xdr:colOff>394970</xdr:colOff>
      <xdr:row>19</xdr:row>
      <xdr:rowOff>379095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394418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394418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114300</xdr:rowOff>
    </xdr:from>
    <xdr:to>
      <xdr:col>20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20</xdr:row>
      <xdr:rowOff>114300</xdr:rowOff>
    </xdr:from>
    <xdr:to>
      <xdr:col>21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20</xdr:row>
      <xdr:rowOff>114300</xdr:rowOff>
    </xdr:from>
    <xdr:to>
      <xdr:col>22</xdr:col>
      <xdr:colOff>394970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104775</xdr:rowOff>
    </xdr:from>
    <xdr:to>
      <xdr:col>7</xdr:col>
      <xdr:colOff>394970</xdr:colOff>
      <xdr:row>25</xdr:row>
      <xdr:rowOff>379095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384893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C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384893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C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C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C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C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104775</xdr:rowOff>
    </xdr:from>
    <xdr:to>
      <xdr:col>7</xdr:col>
      <xdr:colOff>394970</xdr:colOff>
      <xdr:row>26</xdr:row>
      <xdr:rowOff>379095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C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C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C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C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C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379095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104775</xdr:rowOff>
    </xdr:from>
    <xdr:to>
      <xdr:col>7</xdr:col>
      <xdr:colOff>394970</xdr:colOff>
      <xdr:row>27</xdr:row>
      <xdr:rowOff>379095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384893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384893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C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104775</xdr:rowOff>
    </xdr:from>
    <xdr:to>
      <xdr:col>7</xdr:col>
      <xdr:colOff>394970</xdr:colOff>
      <xdr:row>28</xdr:row>
      <xdr:rowOff>379095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C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C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C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384893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C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384893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C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C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C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29</xdr:row>
      <xdr:rowOff>104775</xdr:rowOff>
    </xdr:from>
    <xdr:to>
      <xdr:col>7</xdr:col>
      <xdr:colOff>394970</xdr:colOff>
      <xdr:row>29</xdr:row>
      <xdr:rowOff>379095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C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30</xdr:row>
      <xdr:rowOff>114300</xdr:rowOff>
    </xdr:from>
    <xdr:to>
      <xdr:col>1</xdr:col>
      <xdr:colOff>385445</xdr:colOff>
      <xdr:row>30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C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30</xdr:row>
      <xdr:rowOff>114300</xdr:rowOff>
    </xdr:from>
    <xdr:to>
      <xdr:col>2</xdr:col>
      <xdr:colOff>385445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C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25</xdr:row>
      <xdr:rowOff>114300</xdr:rowOff>
    </xdr:from>
    <xdr:to>
      <xdr:col>11</xdr:col>
      <xdr:colOff>385445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C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25</xdr:row>
      <xdr:rowOff>114300</xdr:rowOff>
    </xdr:from>
    <xdr:to>
      <xdr:col>12</xdr:col>
      <xdr:colOff>384893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C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25</xdr:row>
      <xdr:rowOff>114300</xdr:rowOff>
    </xdr:from>
    <xdr:to>
      <xdr:col>13</xdr:col>
      <xdr:colOff>384893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C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25</xdr:row>
      <xdr:rowOff>114300</xdr:rowOff>
    </xdr:from>
    <xdr:to>
      <xdr:col>14</xdr:col>
      <xdr:colOff>385445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C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104775</xdr:rowOff>
    </xdr:from>
    <xdr:to>
      <xdr:col>15</xdr:col>
      <xdr:colOff>404495</xdr:colOff>
      <xdr:row>25</xdr:row>
      <xdr:rowOff>379095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C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385445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C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385445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C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385445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C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385445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C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385445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C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379095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C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104775</xdr:rowOff>
    </xdr:from>
    <xdr:to>
      <xdr:col>15</xdr:col>
      <xdr:colOff>404495</xdr:colOff>
      <xdr:row>26</xdr:row>
      <xdr:rowOff>379095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C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385445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C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385445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C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C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384893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C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384893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C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C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104775</xdr:rowOff>
    </xdr:from>
    <xdr:to>
      <xdr:col>15</xdr:col>
      <xdr:colOff>404495</xdr:colOff>
      <xdr:row>27</xdr:row>
      <xdr:rowOff>379095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C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C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C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C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384893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C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384893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C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C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104775</xdr:rowOff>
    </xdr:from>
    <xdr:to>
      <xdr:col>15</xdr:col>
      <xdr:colOff>404495</xdr:colOff>
      <xdr:row>28</xdr:row>
      <xdr:rowOff>379095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C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C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385445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C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385445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C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114300</xdr:rowOff>
    </xdr:from>
    <xdr:to>
      <xdr:col>12</xdr:col>
      <xdr:colOff>385445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C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114300</xdr:rowOff>
    </xdr:from>
    <xdr:to>
      <xdr:col>13</xdr:col>
      <xdr:colOff>384893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C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25</xdr:row>
      <xdr:rowOff>114300</xdr:rowOff>
    </xdr:from>
    <xdr:to>
      <xdr:col>22</xdr:col>
      <xdr:colOff>403943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C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25</xdr:row>
      <xdr:rowOff>95250</xdr:rowOff>
    </xdr:from>
    <xdr:to>
      <xdr:col>23</xdr:col>
      <xdr:colOff>394970</xdr:colOff>
      <xdr:row>25</xdr:row>
      <xdr:rowOff>369570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C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404495</xdr:colOff>
      <xdr:row>26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C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114300</xdr:rowOff>
    </xdr:from>
    <xdr:to>
      <xdr:col>18</xdr:col>
      <xdr:colOff>404495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C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404495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C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404495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C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404495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C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26</xdr:row>
      <xdr:rowOff>95250</xdr:rowOff>
    </xdr:from>
    <xdr:to>
      <xdr:col>23</xdr:col>
      <xdr:colOff>394970</xdr:colOff>
      <xdr:row>26</xdr:row>
      <xdr:rowOff>369570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C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68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379095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C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C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C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C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403943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C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403943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C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27</xdr:row>
      <xdr:rowOff>95250</xdr:rowOff>
    </xdr:from>
    <xdr:to>
      <xdr:col>23</xdr:col>
      <xdr:colOff>394970</xdr:colOff>
      <xdr:row>27</xdr:row>
      <xdr:rowOff>369570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C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404495</xdr:colOff>
      <xdr:row>28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C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C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C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C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404495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C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403943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C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28</xdr:row>
      <xdr:rowOff>95250</xdr:rowOff>
    </xdr:from>
    <xdr:to>
      <xdr:col>23</xdr:col>
      <xdr:colOff>394418</xdr:colOff>
      <xdr:row>28</xdr:row>
      <xdr:rowOff>369570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C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601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404495</xdr:colOff>
      <xdr:row>29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C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404495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C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C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C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404495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C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404495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C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29</xdr:row>
      <xdr:rowOff>95250</xdr:rowOff>
    </xdr:from>
    <xdr:to>
      <xdr:col>23</xdr:col>
      <xdr:colOff>394418</xdr:colOff>
      <xdr:row>29</xdr:row>
      <xdr:rowOff>369570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C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3058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34</xdr:row>
      <xdr:rowOff>114300</xdr:rowOff>
    </xdr:from>
    <xdr:to>
      <xdr:col>1</xdr:col>
      <xdr:colOff>384893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C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34</xdr:row>
      <xdr:rowOff>114300</xdr:rowOff>
    </xdr:from>
    <xdr:to>
      <xdr:col>2</xdr:col>
      <xdr:colOff>385445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C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34</xdr:row>
      <xdr:rowOff>114300</xdr:rowOff>
    </xdr:from>
    <xdr:to>
      <xdr:col>3</xdr:col>
      <xdr:colOff>385445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C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34</xdr:row>
      <xdr:rowOff>114300</xdr:rowOff>
    </xdr:from>
    <xdr:to>
      <xdr:col>4</xdr:col>
      <xdr:colOff>385445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C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34</xdr:row>
      <xdr:rowOff>114300</xdr:rowOff>
    </xdr:from>
    <xdr:to>
      <xdr:col>5</xdr:col>
      <xdr:colOff>385445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C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34</xdr:row>
      <xdr:rowOff>114300</xdr:rowOff>
    </xdr:from>
    <xdr:to>
      <xdr:col>6</xdr:col>
      <xdr:colOff>385445</xdr:colOff>
      <xdr:row>34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C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34</xdr:row>
      <xdr:rowOff>95250</xdr:rowOff>
    </xdr:from>
    <xdr:to>
      <xdr:col>7</xdr:col>
      <xdr:colOff>385445</xdr:colOff>
      <xdr:row>34</xdr:row>
      <xdr:rowOff>369570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C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35</xdr:row>
      <xdr:rowOff>114300</xdr:rowOff>
    </xdr:from>
    <xdr:to>
      <xdr:col>1</xdr:col>
      <xdr:colOff>385445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C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35</xdr:row>
      <xdr:rowOff>114300</xdr:rowOff>
    </xdr:from>
    <xdr:to>
      <xdr:col>2</xdr:col>
      <xdr:colOff>385445</xdr:colOff>
      <xdr:row>35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C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35</xdr:row>
      <xdr:rowOff>114300</xdr:rowOff>
    </xdr:from>
    <xdr:to>
      <xdr:col>3</xdr:col>
      <xdr:colOff>385445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C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35</xdr:row>
      <xdr:rowOff>114300</xdr:rowOff>
    </xdr:from>
    <xdr:to>
      <xdr:col>4</xdr:col>
      <xdr:colOff>385445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C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35</xdr:row>
      <xdr:rowOff>114300</xdr:rowOff>
    </xdr:from>
    <xdr:to>
      <xdr:col>5</xdr:col>
      <xdr:colOff>385445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C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35</xdr:row>
      <xdr:rowOff>114300</xdr:rowOff>
    </xdr:from>
    <xdr:to>
      <xdr:col>6</xdr:col>
      <xdr:colOff>385445</xdr:colOff>
      <xdr:row>35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C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35</xdr:row>
      <xdr:rowOff>95250</xdr:rowOff>
    </xdr:from>
    <xdr:to>
      <xdr:col>7</xdr:col>
      <xdr:colOff>384893</xdr:colOff>
      <xdr:row>35</xdr:row>
      <xdr:rowOff>369570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C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544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</xdr:row>
      <xdr:rowOff>114300</xdr:rowOff>
    </xdr:from>
    <xdr:to>
      <xdr:col>1</xdr:col>
      <xdr:colOff>384893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C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36</xdr:row>
      <xdr:rowOff>114300</xdr:rowOff>
    </xdr:from>
    <xdr:to>
      <xdr:col>2</xdr:col>
      <xdr:colOff>385445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C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36</xdr:row>
      <xdr:rowOff>114300</xdr:rowOff>
    </xdr:from>
    <xdr:to>
      <xdr:col>3</xdr:col>
      <xdr:colOff>385445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C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36</xdr:row>
      <xdr:rowOff>114300</xdr:rowOff>
    </xdr:from>
    <xdr:to>
      <xdr:col>4</xdr:col>
      <xdr:colOff>385445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C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36</xdr:row>
      <xdr:rowOff>114300</xdr:rowOff>
    </xdr:from>
    <xdr:to>
      <xdr:col>5</xdr:col>
      <xdr:colOff>385445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C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36</xdr:row>
      <xdr:rowOff>114300</xdr:rowOff>
    </xdr:from>
    <xdr:to>
      <xdr:col>6</xdr:col>
      <xdr:colOff>385445</xdr:colOff>
      <xdr:row>36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C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36</xdr:row>
      <xdr:rowOff>95250</xdr:rowOff>
    </xdr:from>
    <xdr:to>
      <xdr:col>7</xdr:col>
      <xdr:colOff>385445</xdr:colOff>
      <xdr:row>36</xdr:row>
      <xdr:rowOff>369570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C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384893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C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384893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C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385445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C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385445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C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385445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C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385445</xdr:colOff>
      <xdr:row>37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C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37</xdr:row>
      <xdr:rowOff>95250</xdr:rowOff>
    </xdr:from>
    <xdr:to>
      <xdr:col>7</xdr:col>
      <xdr:colOff>385445</xdr:colOff>
      <xdr:row>37</xdr:row>
      <xdr:rowOff>369570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C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C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384893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C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384893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C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34</xdr:row>
      <xdr:rowOff>114300</xdr:rowOff>
    </xdr:from>
    <xdr:to>
      <xdr:col>12</xdr:col>
      <xdr:colOff>394970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C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C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394970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C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34</xdr:row>
      <xdr:rowOff>95250</xdr:rowOff>
    </xdr:from>
    <xdr:to>
      <xdr:col>15</xdr:col>
      <xdr:colOff>385445</xdr:colOff>
      <xdr:row>34</xdr:row>
      <xdr:rowOff>369570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C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394970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C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394970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C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379095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C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C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C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394970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C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35</xdr:row>
      <xdr:rowOff>95250</xdr:rowOff>
    </xdr:from>
    <xdr:to>
      <xdr:col>15</xdr:col>
      <xdr:colOff>385445</xdr:colOff>
      <xdr:row>35</xdr:row>
      <xdr:rowOff>369570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C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394418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C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394418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C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394970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C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394970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C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C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394970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C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36</xdr:row>
      <xdr:rowOff>95250</xdr:rowOff>
    </xdr:from>
    <xdr:to>
      <xdr:col>15</xdr:col>
      <xdr:colOff>385445</xdr:colOff>
      <xdr:row>36</xdr:row>
      <xdr:rowOff>369570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C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C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394418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C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394418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C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114300</xdr:rowOff>
    </xdr:from>
    <xdr:to>
      <xdr:col>12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C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114300</xdr:rowOff>
    </xdr:from>
    <xdr:to>
      <xdr:col>13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C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114300</xdr:rowOff>
    </xdr:from>
    <xdr:to>
      <xdr:col>14</xdr:col>
      <xdr:colOff>394970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C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37</xdr:row>
      <xdr:rowOff>95250</xdr:rowOff>
    </xdr:from>
    <xdr:to>
      <xdr:col>15</xdr:col>
      <xdr:colOff>385445</xdr:colOff>
      <xdr:row>37</xdr:row>
      <xdr:rowOff>369570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C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C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C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38</xdr:row>
      <xdr:rowOff>114300</xdr:rowOff>
    </xdr:from>
    <xdr:to>
      <xdr:col>11</xdr:col>
      <xdr:colOff>394418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C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38</xdr:row>
      <xdr:rowOff>114300</xdr:rowOff>
    </xdr:from>
    <xdr:to>
      <xdr:col>12</xdr:col>
      <xdr:colOff>394418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C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38</xdr:row>
      <xdr:rowOff>114300</xdr:rowOff>
    </xdr:from>
    <xdr:to>
      <xdr:col>13</xdr:col>
      <xdr:colOff>394970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C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34</xdr:row>
      <xdr:rowOff>114300</xdr:rowOff>
    </xdr:from>
    <xdr:to>
      <xdr:col>22</xdr:col>
      <xdr:colOff>385445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C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104775</xdr:rowOff>
    </xdr:from>
    <xdr:to>
      <xdr:col>23</xdr:col>
      <xdr:colOff>394970</xdr:colOff>
      <xdr:row>34</xdr:row>
      <xdr:rowOff>379095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C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35</xdr:row>
      <xdr:rowOff>114300</xdr:rowOff>
    </xdr:from>
    <xdr:to>
      <xdr:col>17</xdr:col>
      <xdr:colOff>385445</xdr:colOff>
      <xdr:row>35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C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35</xdr:row>
      <xdr:rowOff>114300</xdr:rowOff>
    </xdr:from>
    <xdr:to>
      <xdr:col>18</xdr:col>
      <xdr:colOff>385445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C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35</xdr:row>
      <xdr:rowOff>114300</xdr:rowOff>
    </xdr:from>
    <xdr:to>
      <xdr:col>19</xdr:col>
      <xdr:colOff>385445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C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35</xdr:row>
      <xdr:rowOff>114300</xdr:rowOff>
    </xdr:from>
    <xdr:to>
      <xdr:col>20</xdr:col>
      <xdr:colOff>385445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C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35</xdr:row>
      <xdr:rowOff>114300</xdr:rowOff>
    </xdr:from>
    <xdr:to>
      <xdr:col>21</xdr:col>
      <xdr:colOff>385445</xdr:colOff>
      <xdr:row>35</xdr:row>
      <xdr:rowOff>379095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C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35</xdr:row>
      <xdr:rowOff>114300</xdr:rowOff>
    </xdr:from>
    <xdr:to>
      <xdr:col>22</xdr:col>
      <xdr:colOff>385445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C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104775</xdr:rowOff>
    </xdr:from>
    <xdr:to>
      <xdr:col>23</xdr:col>
      <xdr:colOff>394970</xdr:colOff>
      <xdr:row>35</xdr:row>
      <xdr:rowOff>379095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C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385445</xdr:colOff>
      <xdr:row>36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C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C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384893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C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384893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C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C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385445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C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104775</xdr:rowOff>
    </xdr:from>
    <xdr:to>
      <xdr:col>23</xdr:col>
      <xdr:colOff>394970</xdr:colOff>
      <xdr:row>36</xdr:row>
      <xdr:rowOff>379095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C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385445</xdr:colOff>
      <xdr:row>37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C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385445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C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C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384893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C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384893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C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385445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C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104775</xdr:rowOff>
    </xdr:from>
    <xdr:to>
      <xdr:col>23</xdr:col>
      <xdr:colOff>394970</xdr:colOff>
      <xdr:row>37</xdr:row>
      <xdr:rowOff>379095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C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38</xdr:row>
      <xdr:rowOff>114300</xdr:rowOff>
    </xdr:from>
    <xdr:to>
      <xdr:col>17</xdr:col>
      <xdr:colOff>385445</xdr:colOff>
      <xdr:row>38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C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38</xdr:row>
      <xdr:rowOff>114300</xdr:rowOff>
    </xdr:from>
    <xdr:to>
      <xdr:col>18</xdr:col>
      <xdr:colOff>385445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C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38</xdr:row>
      <xdr:rowOff>114300</xdr:rowOff>
    </xdr:from>
    <xdr:to>
      <xdr:col>19</xdr:col>
      <xdr:colOff>385445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C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38</xdr:row>
      <xdr:rowOff>114300</xdr:rowOff>
    </xdr:from>
    <xdr:to>
      <xdr:col>20</xdr:col>
      <xdr:colOff>385445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C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38</xdr:row>
      <xdr:rowOff>114300</xdr:rowOff>
    </xdr:from>
    <xdr:to>
      <xdr:col>21</xdr:col>
      <xdr:colOff>384893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C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38</xdr:row>
      <xdr:rowOff>114300</xdr:rowOff>
    </xdr:from>
    <xdr:to>
      <xdr:col>22</xdr:col>
      <xdr:colOff>384893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C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38</xdr:row>
      <xdr:rowOff>104775</xdr:rowOff>
    </xdr:from>
    <xdr:to>
      <xdr:col>23</xdr:col>
      <xdr:colOff>394970</xdr:colOff>
      <xdr:row>38</xdr:row>
      <xdr:rowOff>379095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C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39</xdr:row>
      <xdr:rowOff>114300</xdr:rowOff>
    </xdr:from>
    <xdr:to>
      <xdr:col>17</xdr:col>
      <xdr:colOff>385445</xdr:colOff>
      <xdr:row>39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C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7392650"/>
          <a:ext cx="274320" cy="274320"/>
        </a:xfrm>
        <a:prstGeom prst="rect">
          <a:avLst/>
        </a:prstGeom>
      </xdr:spPr>
    </xdr:pic>
    <xdr:clientData/>
  </xdr:twoCellAnchor>
</xdr:wsDr>
</file>

<file path=xl/drawings/drawing14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7</xdr:row>
      <xdr:rowOff>114300</xdr:rowOff>
    </xdr:from>
    <xdr:to>
      <xdr:col>2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7</xdr:row>
      <xdr:rowOff>114300</xdr:rowOff>
    </xdr:from>
    <xdr:to>
      <xdr:col>3</xdr:col>
      <xdr:colOff>385445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</xdr:row>
      <xdr:rowOff>114300</xdr:rowOff>
    </xdr:from>
    <xdr:to>
      <xdr:col>4</xdr:col>
      <xdr:colOff>385445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7</xdr:row>
      <xdr:rowOff>114300</xdr:rowOff>
    </xdr:from>
    <xdr:to>
      <xdr:col>5</xdr:col>
      <xdr:colOff>385445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7</xdr:row>
      <xdr:rowOff>114300</xdr:rowOff>
    </xdr:from>
    <xdr:to>
      <xdr:col>6</xdr:col>
      <xdr:colOff>385445</xdr:colOff>
      <xdr:row>7</xdr:row>
      <xdr:rowOff>379095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104775</xdr:rowOff>
    </xdr:from>
    <xdr:to>
      <xdr:col>7</xdr:col>
      <xdr:colOff>394970</xdr:colOff>
      <xdr:row>7</xdr:row>
      <xdr:rowOff>379095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385445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384893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384893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104775</xdr:rowOff>
    </xdr:from>
    <xdr:to>
      <xdr:col>7</xdr:col>
      <xdr:colOff>394970</xdr:colOff>
      <xdr:row>8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385445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384893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104775</xdr:rowOff>
    </xdr:from>
    <xdr:to>
      <xdr:col>7</xdr:col>
      <xdr:colOff>394418</xdr:colOff>
      <xdr:row>9</xdr:row>
      <xdr:rowOff>379095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385445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384893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104775</xdr:rowOff>
    </xdr:from>
    <xdr:to>
      <xdr:col>7</xdr:col>
      <xdr:colOff>394418</xdr:colOff>
      <xdr:row>10</xdr:row>
      <xdr:rowOff>379095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385445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114300</xdr:rowOff>
    </xdr:from>
    <xdr:to>
      <xdr:col>4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114300</xdr:rowOff>
    </xdr:from>
    <xdr:to>
      <xdr:col>13</xdr:col>
      <xdr:colOff>385445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7</xdr:row>
      <xdr:rowOff>114300</xdr:rowOff>
    </xdr:from>
    <xdr:to>
      <xdr:col>14</xdr:col>
      <xdr:colOff>385445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8</xdr:row>
      <xdr:rowOff>114300</xdr:rowOff>
    </xdr:from>
    <xdr:to>
      <xdr:col>9</xdr:col>
      <xdr:colOff>375920</xdr:colOff>
      <xdr:row>8</xdr:row>
      <xdr:rowOff>379095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8</xdr:row>
      <xdr:rowOff>114300</xdr:rowOff>
    </xdr:from>
    <xdr:to>
      <xdr:col>10</xdr:col>
      <xdr:colOff>375920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8</xdr:row>
      <xdr:rowOff>114300</xdr:rowOff>
    </xdr:from>
    <xdr:to>
      <xdr:col>11</xdr:col>
      <xdr:colOff>375920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8</xdr:row>
      <xdr:rowOff>114300</xdr:rowOff>
    </xdr:from>
    <xdr:to>
      <xdr:col>12</xdr:col>
      <xdr:colOff>375920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8</xdr:row>
      <xdr:rowOff>114300</xdr:rowOff>
    </xdr:from>
    <xdr:to>
      <xdr:col>13</xdr:col>
      <xdr:colOff>375920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</xdr:row>
      <xdr:rowOff>114300</xdr:rowOff>
    </xdr:from>
    <xdr:to>
      <xdr:col>14</xdr:col>
      <xdr:colOff>375920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394418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82550</xdr:colOff>
      <xdr:row>9</xdr:row>
      <xdr:rowOff>114300</xdr:rowOff>
    </xdr:from>
    <xdr:to>
      <xdr:col>9</xdr:col>
      <xdr:colOff>356318</xdr:colOff>
      <xdr:row>9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6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</xdr:colOff>
      <xdr:row>9</xdr:row>
      <xdr:rowOff>114300</xdr:rowOff>
    </xdr:from>
    <xdr:to>
      <xdr:col>10</xdr:col>
      <xdr:colOff>356870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9</xdr:row>
      <xdr:rowOff>114300</xdr:rowOff>
    </xdr:from>
    <xdr:to>
      <xdr:col>11</xdr:col>
      <xdr:colOff>356870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3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82550</xdr:colOff>
      <xdr:row>9</xdr:row>
      <xdr:rowOff>114300</xdr:rowOff>
    </xdr:from>
    <xdr:to>
      <xdr:col>12</xdr:col>
      <xdr:colOff>356870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82550</xdr:colOff>
      <xdr:row>9</xdr:row>
      <xdr:rowOff>114300</xdr:rowOff>
    </xdr:from>
    <xdr:to>
      <xdr:col>13</xdr:col>
      <xdr:colOff>356870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82550</xdr:colOff>
      <xdr:row>9</xdr:row>
      <xdr:rowOff>114300</xdr:rowOff>
    </xdr:from>
    <xdr:to>
      <xdr:col>14</xdr:col>
      <xdr:colOff>356870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394418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394418</xdr:colOff>
      <xdr:row>10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394418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394418</xdr:colOff>
      <xdr:row>11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7</xdr:row>
      <xdr:rowOff>95250</xdr:rowOff>
    </xdr:from>
    <xdr:to>
      <xdr:col>23</xdr:col>
      <xdr:colOff>394970</xdr:colOff>
      <xdr:row>7</xdr:row>
      <xdr:rowOff>369570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514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385445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379095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8</xdr:row>
      <xdr:rowOff>95250</xdr:rowOff>
    </xdr:from>
    <xdr:to>
      <xdr:col>23</xdr:col>
      <xdr:colOff>394970</xdr:colOff>
      <xdr:row>8</xdr:row>
      <xdr:rowOff>369570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971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384893</xdr:colOff>
      <xdr:row>9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384893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384893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9</xdr:row>
      <xdr:rowOff>95250</xdr:rowOff>
    </xdr:from>
    <xdr:to>
      <xdr:col>23</xdr:col>
      <xdr:colOff>394970</xdr:colOff>
      <xdr:row>9</xdr:row>
      <xdr:rowOff>369570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429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384893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384893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10</xdr:row>
      <xdr:rowOff>95250</xdr:rowOff>
    </xdr:from>
    <xdr:to>
      <xdr:col>23</xdr:col>
      <xdr:colOff>394970</xdr:colOff>
      <xdr:row>10</xdr:row>
      <xdr:rowOff>369570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4886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385445</xdr:colOff>
      <xdr:row>11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384893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384893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11</xdr:row>
      <xdr:rowOff>95250</xdr:rowOff>
    </xdr:from>
    <xdr:to>
      <xdr:col>23</xdr:col>
      <xdr:colOff>394970</xdr:colOff>
      <xdr:row>11</xdr:row>
      <xdr:rowOff>369570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16</xdr:row>
      <xdr:rowOff>114300</xdr:rowOff>
    </xdr:from>
    <xdr:to>
      <xdr:col>1</xdr:col>
      <xdr:colOff>404495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16</xdr:row>
      <xdr:rowOff>114300</xdr:rowOff>
    </xdr:from>
    <xdr:to>
      <xdr:col>2</xdr:col>
      <xdr:colOff>404495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16</xdr:row>
      <xdr:rowOff>114300</xdr:rowOff>
    </xdr:from>
    <xdr:to>
      <xdr:col>3</xdr:col>
      <xdr:colOff>404495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16</xdr:row>
      <xdr:rowOff>114300</xdr:rowOff>
    </xdr:from>
    <xdr:to>
      <xdr:col>4</xdr:col>
      <xdr:colOff>404495</xdr:colOff>
      <xdr:row>16</xdr:row>
      <xdr:rowOff>379095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16</xdr:row>
      <xdr:rowOff>114300</xdr:rowOff>
    </xdr:from>
    <xdr:to>
      <xdr:col>5</xdr:col>
      <xdr:colOff>404495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16</xdr:row>
      <xdr:rowOff>114300</xdr:rowOff>
    </xdr:from>
    <xdr:to>
      <xdr:col>6</xdr:col>
      <xdr:colOff>404495</xdr:colOff>
      <xdr:row>16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17</xdr:row>
      <xdr:rowOff>114300</xdr:rowOff>
    </xdr:from>
    <xdr:to>
      <xdr:col>1</xdr:col>
      <xdr:colOff>404495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17</xdr:row>
      <xdr:rowOff>114300</xdr:rowOff>
    </xdr:from>
    <xdr:to>
      <xdr:col>2</xdr:col>
      <xdr:colOff>404495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17</xdr:row>
      <xdr:rowOff>114300</xdr:rowOff>
    </xdr:from>
    <xdr:to>
      <xdr:col>3</xdr:col>
      <xdr:colOff>403943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17</xdr:row>
      <xdr:rowOff>114300</xdr:rowOff>
    </xdr:from>
    <xdr:to>
      <xdr:col>4</xdr:col>
      <xdr:colOff>403943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17</xdr:row>
      <xdr:rowOff>114300</xdr:rowOff>
    </xdr:from>
    <xdr:to>
      <xdr:col>5</xdr:col>
      <xdr:colOff>404495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17</xdr:row>
      <xdr:rowOff>114300</xdr:rowOff>
    </xdr:from>
    <xdr:to>
      <xdr:col>6</xdr:col>
      <xdr:colOff>404495</xdr:colOff>
      <xdr:row>17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18</xdr:row>
      <xdr:rowOff>114300</xdr:rowOff>
    </xdr:from>
    <xdr:to>
      <xdr:col>1</xdr:col>
      <xdr:colOff>404495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18</xdr:row>
      <xdr:rowOff>114300</xdr:rowOff>
    </xdr:from>
    <xdr:to>
      <xdr:col>2</xdr:col>
      <xdr:colOff>404495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18</xdr:row>
      <xdr:rowOff>114300</xdr:rowOff>
    </xdr:from>
    <xdr:to>
      <xdr:col>3</xdr:col>
      <xdr:colOff>403943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18</xdr:row>
      <xdr:rowOff>114300</xdr:rowOff>
    </xdr:from>
    <xdr:to>
      <xdr:col>4</xdr:col>
      <xdr:colOff>403943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18</xdr:row>
      <xdr:rowOff>114300</xdr:rowOff>
    </xdr:from>
    <xdr:to>
      <xdr:col>5</xdr:col>
      <xdr:colOff>404495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18</xdr:row>
      <xdr:rowOff>114300</xdr:rowOff>
    </xdr:from>
    <xdr:to>
      <xdr:col>6</xdr:col>
      <xdr:colOff>404495</xdr:colOff>
      <xdr:row>18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19</xdr:row>
      <xdr:rowOff>114300</xdr:rowOff>
    </xdr:from>
    <xdr:to>
      <xdr:col>1</xdr:col>
      <xdr:colOff>385445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19</xdr:row>
      <xdr:rowOff>114300</xdr:rowOff>
    </xdr:from>
    <xdr:to>
      <xdr:col>2</xdr:col>
      <xdr:colOff>385445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19</xdr:row>
      <xdr:rowOff>114300</xdr:rowOff>
    </xdr:from>
    <xdr:to>
      <xdr:col>3</xdr:col>
      <xdr:colOff>384893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19</xdr:row>
      <xdr:rowOff>114300</xdr:rowOff>
    </xdr:from>
    <xdr:to>
      <xdr:col>4</xdr:col>
      <xdr:colOff>384893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19</xdr:row>
      <xdr:rowOff>114300</xdr:rowOff>
    </xdr:from>
    <xdr:to>
      <xdr:col>5</xdr:col>
      <xdr:colOff>385445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19</xdr:row>
      <xdr:rowOff>114300</xdr:rowOff>
    </xdr:from>
    <xdr:to>
      <xdr:col>6</xdr:col>
      <xdr:colOff>385445</xdr:colOff>
      <xdr:row>19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20</xdr:row>
      <xdr:rowOff>114300</xdr:rowOff>
    </xdr:from>
    <xdr:to>
      <xdr:col>1</xdr:col>
      <xdr:colOff>385445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20</xdr:row>
      <xdr:rowOff>114300</xdr:rowOff>
    </xdr:from>
    <xdr:to>
      <xdr:col>2</xdr:col>
      <xdr:colOff>385445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385445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379095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16</xdr:row>
      <xdr:rowOff>114300</xdr:rowOff>
    </xdr:from>
    <xdr:to>
      <xdr:col>15</xdr:col>
      <xdr:colOff>385445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384893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384893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17</xdr:row>
      <xdr:rowOff>114300</xdr:rowOff>
    </xdr:from>
    <xdr:to>
      <xdr:col>15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385445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384893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384893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18</xdr:row>
      <xdr:rowOff>114300</xdr:rowOff>
    </xdr:from>
    <xdr:to>
      <xdr:col>15</xdr:col>
      <xdr:colOff>385445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384893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384893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19</xdr:row>
      <xdr:rowOff>114300</xdr:rowOff>
    </xdr:from>
    <xdr:to>
      <xdr:col>15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385445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20</xdr:row>
      <xdr:rowOff>114300</xdr:rowOff>
    </xdr:from>
    <xdr:to>
      <xdr:col>13</xdr:col>
      <xdr:colOff>385445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114300</xdr:rowOff>
    </xdr:from>
    <xdr:to>
      <xdr:col>23</xdr:col>
      <xdr:colOff>394970</xdr:colOff>
      <xdr:row>16</xdr:row>
      <xdr:rowOff>379095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413468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114300</xdr:rowOff>
    </xdr:from>
    <xdr:to>
      <xdr:col>23</xdr:col>
      <xdr:colOff>394418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413468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114300</xdr:rowOff>
    </xdr:from>
    <xdr:to>
      <xdr:col>23</xdr:col>
      <xdr:colOff>394418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413468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114300</xdr:rowOff>
    </xdr:from>
    <xdr:to>
      <xdr:col>23</xdr:col>
      <xdr:colOff>394418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114300</xdr:rowOff>
    </xdr:from>
    <xdr:to>
      <xdr:col>23</xdr:col>
      <xdr:colOff>394970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25</xdr:row>
      <xdr:rowOff>114300</xdr:rowOff>
    </xdr:from>
    <xdr:to>
      <xdr:col>1</xdr:col>
      <xdr:colOff>375920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25</xdr:row>
      <xdr:rowOff>114300</xdr:rowOff>
    </xdr:from>
    <xdr:to>
      <xdr:col>2</xdr:col>
      <xdr:colOff>375920</xdr:colOff>
      <xdr:row>25</xdr:row>
      <xdr:rowOff>379095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25</xdr:row>
      <xdr:rowOff>114300</xdr:rowOff>
    </xdr:from>
    <xdr:to>
      <xdr:col>7</xdr:col>
      <xdr:colOff>375920</xdr:colOff>
      <xdr:row>25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375368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375368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26</xdr:row>
      <xdr:rowOff>114300</xdr:rowOff>
    </xdr:from>
    <xdr:to>
      <xdr:col>7</xdr:col>
      <xdr:colOff>375368</xdr:colOff>
      <xdr:row>26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375368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27</xdr:row>
      <xdr:rowOff>114300</xdr:rowOff>
    </xdr:from>
    <xdr:to>
      <xdr:col>7</xdr:col>
      <xdr:colOff>375920</xdr:colOff>
      <xdr:row>27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375368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375368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28</xdr:row>
      <xdr:rowOff>114300</xdr:rowOff>
    </xdr:from>
    <xdr:to>
      <xdr:col>7</xdr:col>
      <xdr:colOff>375920</xdr:colOff>
      <xdr:row>28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379095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394970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114300</xdr:rowOff>
    </xdr:from>
    <xdr:to>
      <xdr:col>15</xdr:col>
      <xdr:colOff>394970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26</xdr:row>
      <xdr:rowOff>114300</xdr:rowOff>
    </xdr:from>
    <xdr:to>
      <xdr:col>9</xdr:col>
      <xdr:colOff>394970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26</xdr:row>
      <xdr:rowOff>114300</xdr:rowOff>
    </xdr:from>
    <xdr:to>
      <xdr:col>10</xdr:col>
      <xdr:colOff>394418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26</xdr:row>
      <xdr:rowOff>114300</xdr:rowOff>
    </xdr:from>
    <xdr:to>
      <xdr:col>11</xdr:col>
      <xdr:colOff>394418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26</xdr:row>
      <xdr:rowOff>114300</xdr:rowOff>
    </xdr:from>
    <xdr:to>
      <xdr:col>12</xdr:col>
      <xdr:colOff>394970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26</xdr:row>
      <xdr:rowOff>114300</xdr:rowOff>
    </xdr:from>
    <xdr:to>
      <xdr:col>13</xdr:col>
      <xdr:colOff>394970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26</xdr:row>
      <xdr:rowOff>114300</xdr:rowOff>
    </xdr:from>
    <xdr:to>
      <xdr:col>14</xdr:col>
      <xdr:colOff>394970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114300</xdr:rowOff>
    </xdr:from>
    <xdr:to>
      <xdr:col>15</xdr:col>
      <xdr:colOff>394970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27</xdr:row>
      <xdr:rowOff>114300</xdr:rowOff>
    </xdr:from>
    <xdr:to>
      <xdr:col>9</xdr:col>
      <xdr:colOff>394970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27</xdr:row>
      <xdr:rowOff>114300</xdr:rowOff>
    </xdr:from>
    <xdr:to>
      <xdr:col>10</xdr:col>
      <xdr:colOff>394418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27</xdr:row>
      <xdr:rowOff>114300</xdr:rowOff>
    </xdr:from>
    <xdr:to>
      <xdr:col>11</xdr:col>
      <xdr:colOff>394418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27</xdr:row>
      <xdr:rowOff>114300</xdr:rowOff>
    </xdr:from>
    <xdr:to>
      <xdr:col>12</xdr:col>
      <xdr:colOff>394970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27</xdr:row>
      <xdr:rowOff>114300</xdr:rowOff>
    </xdr:from>
    <xdr:to>
      <xdr:col>13</xdr:col>
      <xdr:colOff>394970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27</xdr:row>
      <xdr:rowOff>114300</xdr:rowOff>
    </xdr:from>
    <xdr:to>
      <xdr:col>14</xdr:col>
      <xdr:colOff>394970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114300</xdr:rowOff>
    </xdr:from>
    <xdr:to>
      <xdr:col>15</xdr:col>
      <xdr:colOff>394970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28</xdr:row>
      <xdr:rowOff>114300</xdr:rowOff>
    </xdr:from>
    <xdr:to>
      <xdr:col>9</xdr:col>
      <xdr:colOff>394970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28</xdr:row>
      <xdr:rowOff>114300</xdr:rowOff>
    </xdr:from>
    <xdr:to>
      <xdr:col>10</xdr:col>
      <xdr:colOff>394418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28</xdr:row>
      <xdr:rowOff>114300</xdr:rowOff>
    </xdr:from>
    <xdr:to>
      <xdr:col>11</xdr:col>
      <xdr:colOff>394418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28</xdr:row>
      <xdr:rowOff>114300</xdr:rowOff>
    </xdr:from>
    <xdr:to>
      <xdr:col>12</xdr:col>
      <xdr:colOff>394970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28</xdr:row>
      <xdr:rowOff>114300</xdr:rowOff>
    </xdr:from>
    <xdr:to>
      <xdr:col>13</xdr:col>
      <xdr:colOff>394970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28</xdr:row>
      <xdr:rowOff>114300</xdr:rowOff>
    </xdr:from>
    <xdr:to>
      <xdr:col>14</xdr:col>
      <xdr:colOff>394970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114300</xdr:rowOff>
    </xdr:from>
    <xdr:to>
      <xdr:col>15</xdr:col>
      <xdr:colOff>394970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29</xdr:row>
      <xdr:rowOff>114300</xdr:rowOff>
    </xdr:from>
    <xdr:to>
      <xdr:col>9</xdr:col>
      <xdr:colOff>394970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29</xdr:row>
      <xdr:rowOff>114300</xdr:rowOff>
    </xdr:from>
    <xdr:to>
      <xdr:col>10</xdr:col>
      <xdr:colOff>394970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29</xdr:row>
      <xdr:rowOff>114300</xdr:rowOff>
    </xdr:from>
    <xdr:to>
      <xdr:col>11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29</xdr:row>
      <xdr:rowOff>114300</xdr:rowOff>
    </xdr:from>
    <xdr:to>
      <xdr:col>12</xdr:col>
      <xdr:colOff>394970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29</xdr:row>
      <xdr:rowOff>114300</xdr:rowOff>
    </xdr:from>
    <xdr:to>
      <xdr:col>13</xdr:col>
      <xdr:colOff>394970</xdr:colOff>
      <xdr:row>29</xdr:row>
      <xdr:rowOff>379095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29</xdr:row>
      <xdr:rowOff>114300</xdr:rowOff>
    </xdr:from>
    <xdr:to>
      <xdr:col>14</xdr:col>
      <xdr:colOff>394970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104775</xdr:rowOff>
    </xdr:from>
    <xdr:to>
      <xdr:col>23</xdr:col>
      <xdr:colOff>404495</xdr:colOff>
      <xdr:row>25</xdr:row>
      <xdr:rowOff>379095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394970</xdr:colOff>
      <xdr:row>26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394418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394418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104775</xdr:rowOff>
    </xdr:from>
    <xdr:to>
      <xdr:col>23</xdr:col>
      <xdr:colOff>404495</xdr:colOff>
      <xdr:row>26</xdr:row>
      <xdr:rowOff>379095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394970</xdr:colOff>
      <xdr:row>27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394970</xdr:colOff>
      <xdr:row>27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394418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394418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394970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394970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104775</xdr:rowOff>
    </xdr:from>
    <xdr:to>
      <xdr:col>23</xdr:col>
      <xdr:colOff>404495</xdr:colOff>
      <xdr:row>27</xdr:row>
      <xdr:rowOff>379095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394418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394418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394970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104775</xdr:rowOff>
    </xdr:from>
    <xdr:to>
      <xdr:col>23</xdr:col>
      <xdr:colOff>404495</xdr:colOff>
      <xdr:row>28</xdr:row>
      <xdr:rowOff>379095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394970</xdr:colOff>
      <xdr:row>29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394970</xdr:colOff>
      <xdr:row>29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29</xdr:row>
      <xdr:rowOff>114300</xdr:rowOff>
    </xdr:from>
    <xdr:to>
      <xdr:col>19</xdr:col>
      <xdr:colOff>394970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29</xdr:row>
      <xdr:rowOff>114300</xdr:rowOff>
    </xdr:from>
    <xdr:to>
      <xdr:col>20</xdr:col>
      <xdr:colOff>394970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29</xdr:row>
      <xdr:rowOff>114300</xdr:rowOff>
    </xdr:from>
    <xdr:to>
      <xdr:col>21</xdr:col>
      <xdr:colOff>394970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29</xdr:row>
      <xdr:rowOff>114300</xdr:rowOff>
    </xdr:from>
    <xdr:to>
      <xdr:col>22</xdr:col>
      <xdr:colOff>394970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29</xdr:row>
      <xdr:rowOff>104775</xdr:rowOff>
    </xdr:from>
    <xdr:to>
      <xdr:col>23</xdr:col>
      <xdr:colOff>404495</xdr:colOff>
      <xdr:row>29</xdr:row>
      <xdr:rowOff>369570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3068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30</xdr:row>
      <xdr:rowOff>114300</xdr:rowOff>
    </xdr:from>
    <xdr:to>
      <xdr:col>17</xdr:col>
      <xdr:colOff>394970</xdr:colOff>
      <xdr:row>30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34</xdr:row>
      <xdr:rowOff>114300</xdr:rowOff>
    </xdr:from>
    <xdr:to>
      <xdr:col>2</xdr:col>
      <xdr:colOff>375920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34</xdr:row>
      <xdr:rowOff>114300</xdr:rowOff>
    </xdr:from>
    <xdr:to>
      <xdr:col>3</xdr:col>
      <xdr:colOff>375920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34</xdr:row>
      <xdr:rowOff>114300</xdr:rowOff>
    </xdr:from>
    <xdr:to>
      <xdr:col>4</xdr:col>
      <xdr:colOff>375368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34</xdr:row>
      <xdr:rowOff>114300</xdr:rowOff>
    </xdr:from>
    <xdr:to>
      <xdr:col>5</xdr:col>
      <xdr:colOff>375368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34</xdr:row>
      <xdr:rowOff>114300</xdr:rowOff>
    </xdr:from>
    <xdr:to>
      <xdr:col>6</xdr:col>
      <xdr:colOff>375920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123825</xdr:rowOff>
    </xdr:from>
    <xdr:to>
      <xdr:col>7</xdr:col>
      <xdr:colOff>394970</xdr:colOff>
      <xdr:row>34</xdr:row>
      <xdr:rowOff>398145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375368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375368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123825</xdr:rowOff>
    </xdr:from>
    <xdr:to>
      <xdr:col>7</xdr:col>
      <xdr:colOff>394970</xdr:colOff>
      <xdr:row>35</xdr:row>
      <xdr:rowOff>398145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375920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375368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123825</xdr:rowOff>
    </xdr:from>
    <xdr:to>
      <xdr:col>7</xdr:col>
      <xdr:colOff>394418</xdr:colOff>
      <xdr:row>36</xdr:row>
      <xdr:rowOff>398145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30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375920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375920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375920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123825</xdr:rowOff>
    </xdr:from>
    <xdr:to>
      <xdr:col>7</xdr:col>
      <xdr:colOff>394970</xdr:colOff>
      <xdr:row>37</xdr:row>
      <xdr:rowOff>398145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375920</xdr:colOff>
      <xdr:row>38</xdr:row>
      <xdr:rowOff>379095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385445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384893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104775</xdr:rowOff>
    </xdr:from>
    <xdr:to>
      <xdr:col>15</xdr:col>
      <xdr:colOff>394418</xdr:colOff>
      <xdr:row>34</xdr:row>
      <xdr:rowOff>379095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97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385445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384893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104775</xdr:rowOff>
    </xdr:from>
    <xdr:to>
      <xdr:col>15</xdr:col>
      <xdr:colOff>394418</xdr:colOff>
      <xdr:row>35</xdr:row>
      <xdr:rowOff>379095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104775</xdr:rowOff>
    </xdr:from>
    <xdr:to>
      <xdr:col>15</xdr:col>
      <xdr:colOff>394418</xdr:colOff>
      <xdr:row>36</xdr:row>
      <xdr:rowOff>379095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384893</xdr:colOff>
      <xdr:row>37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384893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104775</xdr:rowOff>
    </xdr:from>
    <xdr:to>
      <xdr:col>15</xdr:col>
      <xdr:colOff>394970</xdr:colOff>
      <xdr:row>37</xdr:row>
      <xdr:rowOff>379095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379095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114300</xdr:rowOff>
    </xdr:from>
    <xdr:to>
      <xdr:col>13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114300</xdr:rowOff>
    </xdr:from>
    <xdr:to>
      <xdr:col>14</xdr:col>
      <xdr:colOff>385445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114300</xdr:rowOff>
    </xdr:from>
    <xdr:to>
      <xdr:col>23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95250</xdr:rowOff>
    </xdr:from>
    <xdr:to>
      <xdr:col>17</xdr:col>
      <xdr:colOff>394418</xdr:colOff>
      <xdr:row>35</xdr:row>
      <xdr:rowOff>369570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44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95250</xdr:rowOff>
    </xdr:from>
    <xdr:to>
      <xdr:col>18</xdr:col>
      <xdr:colOff>394970</xdr:colOff>
      <xdr:row>35</xdr:row>
      <xdr:rowOff>369570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95250</xdr:rowOff>
    </xdr:from>
    <xdr:to>
      <xdr:col>19</xdr:col>
      <xdr:colOff>394970</xdr:colOff>
      <xdr:row>35</xdr:row>
      <xdr:rowOff>369570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95250</xdr:rowOff>
    </xdr:from>
    <xdr:to>
      <xdr:col>20</xdr:col>
      <xdr:colOff>394970</xdr:colOff>
      <xdr:row>35</xdr:row>
      <xdr:rowOff>369570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95250</xdr:rowOff>
    </xdr:from>
    <xdr:to>
      <xdr:col>21</xdr:col>
      <xdr:colOff>394970</xdr:colOff>
      <xdr:row>35</xdr:row>
      <xdr:rowOff>369570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95250</xdr:rowOff>
    </xdr:from>
    <xdr:to>
      <xdr:col>22</xdr:col>
      <xdr:colOff>394970</xdr:colOff>
      <xdr:row>35</xdr:row>
      <xdr:rowOff>369570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114300</xdr:rowOff>
    </xdr:from>
    <xdr:to>
      <xdr:col>23</xdr:col>
      <xdr:colOff>394970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95250</xdr:rowOff>
    </xdr:from>
    <xdr:to>
      <xdr:col>17</xdr:col>
      <xdr:colOff>394418</xdr:colOff>
      <xdr:row>36</xdr:row>
      <xdr:rowOff>369570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02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95250</xdr:rowOff>
    </xdr:from>
    <xdr:to>
      <xdr:col>18</xdr:col>
      <xdr:colOff>394418</xdr:colOff>
      <xdr:row>36</xdr:row>
      <xdr:rowOff>369570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02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95250</xdr:rowOff>
    </xdr:from>
    <xdr:to>
      <xdr:col>19</xdr:col>
      <xdr:colOff>394970</xdr:colOff>
      <xdr:row>36</xdr:row>
      <xdr:rowOff>369570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95250</xdr:rowOff>
    </xdr:from>
    <xdr:to>
      <xdr:col>20</xdr:col>
      <xdr:colOff>394970</xdr:colOff>
      <xdr:row>36</xdr:row>
      <xdr:rowOff>369570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95250</xdr:rowOff>
    </xdr:from>
    <xdr:to>
      <xdr:col>21</xdr:col>
      <xdr:colOff>394970</xdr:colOff>
      <xdr:row>36</xdr:row>
      <xdr:rowOff>369570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95250</xdr:rowOff>
    </xdr:from>
    <xdr:to>
      <xdr:col>22</xdr:col>
      <xdr:colOff>394970</xdr:colOff>
      <xdr:row>36</xdr:row>
      <xdr:rowOff>369570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114300</xdr:rowOff>
    </xdr:from>
    <xdr:to>
      <xdr:col>23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95250</xdr:rowOff>
    </xdr:from>
    <xdr:to>
      <xdr:col>17</xdr:col>
      <xdr:colOff>394970</xdr:colOff>
      <xdr:row>37</xdr:row>
      <xdr:rowOff>369570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95250</xdr:rowOff>
    </xdr:from>
    <xdr:to>
      <xdr:col>18</xdr:col>
      <xdr:colOff>394418</xdr:colOff>
      <xdr:row>37</xdr:row>
      <xdr:rowOff>369570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95250</xdr:rowOff>
    </xdr:from>
    <xdr:to>
      <xdr:col>19</xdr:col>
      <xdr:colOff>394418</xdr:colOff>
      <xdr:row>37</xdr:row>
      <xdr:rowOff>369570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95250</xdr:rowOff>
    </xdr:from>
    <xdr:to>
      <xdr:col>20</xdr:col>
      <xdr:colOff>394970</xdr:colOff>
      <xdr:row>37</xdr:row>
      <xdr:rowOff>369570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95250</xdr:rowOff>
    </xdr:from>
    <xdr:to>
      <xdr:col>21</xdr:col>
      <xdr:colOff>394970</xdr:colOff>
      <xdr:row>37</xdr:row>
      <xdr:rowOff>369570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95250</xdr:rowOff>
    </xdr:from>
    <xdr:to>
      <xdr:col>22</xdr:col>
      <xdr:colOff>394970</xdr:colOff>
      <xdr:row>37</xdr:row>
      <xdr:rowOff>369570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114300</xdr:rowOff>
    </xdr:from>
    <xdr:to>
      <xdr:col>23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95250</xdr:rowOff>
    </xdr:from>
    <xdr:to>
      <xdr:col>17</xdr:col>
      <xdr:colOff>394970</xdr:colOff>
      <xdr:row>38</xdr:row>
      <xdr:rowOff>369570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95250</xdr:rowOff>
    </xdr:from>
    <xdr:to>
      <xdr:col>18</xdr:col>
      <xdr:colOff>394970</xdr:colOff>
      <xdr:row>38</xdr:row>
      <xdr:rowOff>369570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95250</xdr:rowOff>
    </xdr:from>
    <xdr:to>
      <xdr:col>19</xdr:col>
      <xdr:colOff>394970</xdr:colOff>
      <xdr:row>38</xdr:row>
      <xdr:rowOff>369570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95250</xdr:rowOff>
    </xdr:from>
    <xdr:to>
      <xdr:col>20</xdr:col>
      <xdr:colOff>394970</xdr:colOff>
      <xdr:row>38</xdr:row>
      <xdr:rowOff>360045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16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95250</xdr:rowOff>
    </xdr:from>
    <xdr:to>
      <xdr:col>21</xdr:col>
      <xdr:colOff>394970</xdr:colOff>
      <xdr:row>38</xdr:row>
      <xdr:rowOff>369570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95250</xdr:rowOff>
    </xdr:from>
    <xdr:to>
      <xdr:col>22</xdr:col>
      <xdr:colOff>394970</xdr:colOff>
      <xdr:row>38</xdr:row>
      <xdr:rowOff>369570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38</xdr:row>
      <xdr:rowOff>114300</xdr:rowOff>
    </xdr:from>
    <xdr:to>
      <xdr:col>23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39</xdr:row>
      <xdr:rowOff>95250</xdr:rowOff>
    </xdr:from>
    <xdr:to>
      <xdr:col>17</xdr:col>
      <xdr:colOff>394970</xdr:colOff>
      <xdr:row>39</xdr:row>
      <xdr:rowOff>369570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7373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39</xdr:row>
      <xdr:rowOff>95250</xdr:rowOff>
    </xdr:from>
    <xdr:to>
      <xdr:col>18</xdr:col>
      <xdr:colOff>394418</xdr:colOff>
      <xdr:row>39</xdr:row>
      <xdr:rowOff>369570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7373600"/>
          <a:ext cx="273768" cy="2743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7</xdr:row>
      <xdr:rowOff>114300</xdr:rowOff>
    </xdr:from>
    <xdr:to>
      <xdr:col>7</xdr:col>
      <xdr:colOff>375920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8</xdr:row>
      <xdr:rowOff>123825</xdr:rowOff>
    </xdr:from>
    <xdr:to>
      <xdr:col>1</xdr:col>
      <xdr:colOff>394970</xdr:colOff>
      <xdr:row>8</xdr:row>
      <xdr:rowOff>398145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123825</xdr:rowOff>
    </xdr:from>
    <xdr:to>
      <xdr:col>2</xdr:col>
      <xdr:colOff>394970</xdr:colOff>
      <xdr:row>8</xdr:row>
      <xdr:rowOff>398145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8</xdr:row>
      <xdr:rowOff>123825</xdr:rowOff>
    </xdr:from>
    <xdr:to>
      <xdr:col>3</xdr:col>
      <xdr:colOff>394970</xdr:colOff>
      <xdr:row>8</xdr:row>
      <xdr:rowOff>398145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8</xdr:row>
      <xdr:rowOff>123825</xdr:rowOff>
    </xdr:from>
    <xdr:to>
      <xdr:col>4</xdr:col>
      <xdr:colOff>394418</xdr:colOff>
      <xdr:row>8</xdr:row>
      <xdr:rowOff>398145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123825</xdr:rowOff>
    </xdr:from>
    <xdr:to>
      <xdr:col>5</xdr:col>
      <xdr:colOff>394418</xdr:colOff>
      <xdr:row>8</xdr:row>
      <xdr:rowOff>398145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8</xdr:row>
      <xdr:rowOff>123825</xdr:rowOff>
    </xdr:from>
    <xdr:to>
      <xdr:col>6</xdr:col>
      <xdr:colOff>394970</xdr:colOff>
      <xdr:row>8</xdr:row>
      <xdr:rowOff>398145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9</xdr:row>
      <xdr:rowOff>104775</xdr:rowOff>
    </xdr:from>
    <xdr:to>
      <xdr:col>1</xdr:col>
      <xdr:colOff>394970</xdr:colOff>
      <xdr:row>9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9</xdr:row>
      <xdr:rowOff>104775</xdr:rowOff>
    </xdr:from>
    <xdr:to>
      <xdr:col>2</xdr:col>
      <xdr:colOff>394970</xdr:colOff>
      <xdr:row>9</xdr:row>
      <xdr:rowOff>379095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9</xdr:row>
      <xdr:rowOff>104775</xdr:rowOff>
    </xdr:from>
    <xdr:to>
      <xdr:col>3</xdr:col>
      <xdr:colOff>394970</xdr:colOff>
      <xdr:row>9</xdr:row>
      <xdr:rowOff>379095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</xdr:row>
      <xdr:rowOff>104775</xdr:rowOff>
    </xdr:from>
    <xdr:to>
      <xdr:col>4</xdr:col>
      <xdr:colOff>394418</xdr:colOff>
      <xdr:row>9</xdr:row>
      <xdr:rowOff>379095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9</xdr:row>
      <xdr:rowOff>104775</xdr:rowOff>
    </xdr:from>
    <xdr:to>
      <xdr:col>5</xdr:col>
      <xdr:colOff>394418</xdr:colOff>
      <xdr:row>9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9</xdr:row>
      <xdr:rowOff>104775</xdr:rowOff>
    </xdr:from>
    <xdr:to>
      <xdr:col>6</xdr:col>
      <xdr:colOff>394970</xdr:colOff>
      <xdr:row>9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114300</xdr:rowOff>
    </xdr:from>
    <xdr:to>
      <xdr:col>7</xdr:col>
      <xdr:colOff>394970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76200</xdr:rowOff>
    </xdr:from>
    <xdr:to>
      <xdr:col>1</xdr:col>
      <xdr:colOff>385445</xdr:colOff>
      <xdr:row>10</xdr:row>
      <xdr:rowOff>350520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76200</xdr:rowOff>
    </xdr:from>
    <xdr:to>
      <xdr:col>2</xdr:col>
      <xdr:colOff>385445</xdr:colOff>
      <xdr:row>10</xdr:row>
      <xdr:rowOff>350520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76200</xdr:rowOff>
    </xdr:from>
    <xdr:to>
      <xdr:col>3</xdr:col>
      <xdr:colOff>385445</xdr:colOff>
      <xdr:row>10</xdr:row>
      <xdr:rowOff>350520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76200</xdr:rowOff>
    </xdr:from>
    <xdr:to>
      <xdr:col>4</xdr:col>
      <xdr:colOff>384893</xdr:colOff>
      <xdr:row>10</xdr:row>
      <xdr:rowOff>350520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867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76200</xdr:rowOff>
    </xdr:from>
    <xdr:to>
      <xdr:col>5</xdr:col>
      <xdr:colOff>384893</xdr:colOff>
      <xdr:row>10</xdr:row>
      <xdr:rowOff>350520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867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76200</xdr:rowOff>
    </xdr:from>
    <xdr:to>
      <xdr:col>6</xdr:col>
      <xdr:colOff>385445</xdr:colOff>
      <xdr:row>10</xdr:row>
      <xdr:rowOff>350520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867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114300</xdr:rowOff>
    </xdr:from>
    <xdr:to>
      <xdr:col>7</xdr:col>
      <xdr:colOff>394970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11</xdr:row>
      <xdr:rowOff>123825</xdr:rowOff>
    </xdr:from>
    <xdr:to>
      <xdr:col>1</xdr:col>
      <xdr:colOff>394970</xdr:colOff>
      <xdr:row>11</xdr:row>
      <xdr:rowOff>398145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11</xdr:row>
      <xdr:rowOff>123825</xdr:rowOff>
    </xdr:from>
    <xdr:to>
      <xdr:col>2</xdr:col>
      <xdr:colOff>394970</xdr:colOff>
      <xdr:row>11</xdr:row>
      <xdr:rowOff>398145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11</xdr:row>
      <xdr:rowOff>123825</xdr:rowOff>
    </xdr:from>
    <xdr:to>
      <xdr:col>3</xdr:col>
      <xdr:colOff>394970</xdr:colOff>
      <xdr:row>11</xdr:row>
      <xdr:rowOff>398145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11</xdr:row>
      <xdr:rowOff>123825</xdr:rowOff>
    </xdr:from>
    <xdr:to>
      <xdr:col>4</xdr:col>
      <xdr:colOff>394970</xdr:colOff>
      <xdr:row>11</xdr:row>
      <xdr:rowOff>398145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11</xdr:row>
      <xdr:rowOff>123825</xdr:rowOff>
    </xdr:from>
    <xdr:to>
      <xdr:col>5</xdr:col>
      <xdr:colOff>394970</xdr:colOff>
      <xdr:row>11</xdr:row>
      <xdr:rowOff>398145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11</xdr:row>
      <xdr:rowOff>123825</xdr:rowOff>
    </xdr:from>
    <xdr:to>
      <xdr:col>6</xdr:col>
      <xdr:colOff>394970</xdr:colOff>
      <xdr:row>11</xdr:row>
      <xdr:rowOff>398145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11</xdr:row>
      <xdr:rowOff>114300</xdr:rowOff>
    </xdr:from>
    <xdr:to>
      <xdr:col>7</xdr:col>
      <xdr:colOff>404495</xdr:colOff>
      <xdr:row>11</xdr:row>
      <xdr:rowOff>379095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95250</xdr:rowOff>
    </xdr:from>
    <xdr:to>
      <xdr:col>1</xdr:col>
      <xdr:colOff>414020</xdr:colOff>
      <xdr:row>12</xdr:row>
      <xdr:rowOff>369570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12</xdr:row>
      <xdr:rowOff>95250</xdr:rowOff>
    </xdr:from>
    <xdr:to>
      <xdr:col>2</xdr:col>
      <xdr:colOff>414020</xdr:colOff>
      <xdr:row>12</xdr:row>
      <xdr:rowOff>369570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7</xdr:row>
      <xdr:rowOff>114300</xdr:rowOff>
    </xdr:from>
    <xdr:to>
      <xdr:col>11</xdr:col>
      <xdr:colOff>404495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7</xdr:row>
      <xdr:rowOff>114300</xdr:rowOff>
    </xdr:from>
    <xdr:to>
      <xdr:col>12</xdr:col>
      <xdr:colOff>404495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7</xdr:row>
      <xdr:rowOff>114300</xdr:rowOff>
    </xdr:from>
    <xdr:to>
      <xdr:col>13</xdr:col>
      <xdr:colOff>403943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7</xdr:row>
      <xdr:rowOff>114300</xdr:rowOff>
    </xdr:from>
    <xdr:to>
      <xdr:col>14</xdr:col>
      <xdr:colOff>403943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7</xdr:row>
      <xdr:rowOff>133350</xdr:rowOff>
    </xdr:from>
    <xdr:to>
      <xdr:col>15</xdr:col>
      <xdr:colOff>385445</xdr:colOff>
      <xdr:row>7</xdr:row>
      <xdr:rowOff>407670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8</xdr:row>
      <xdr:rowOff>114300</xdr:rowOff>
    </xdr:from>
    <xdr:to>
      <xdr:col>9</xdr:col>
      <xdr:colOff>404495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8</xdr:row>
      <xdr:rowOff>114300</xdr:rowOff>
    </xdr:from>
    <xdr:to>
      <xdr:col>10</xdr:col>
      <xdr:colOff>404495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8</xdr:row>
      <xdr:rowOff>114300</xdr:rowOff>
    </xdr:from>
    <xdr:to>
      <xdr:col>11</xdr:col>
      <xdr:colOff>404495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8</xdr:row>
      <xdr:rowOff>114300</xdr:rowOff>
    </xdr:from>
    <xdr:to>
      <xdr:col>12</xdr:col>
      <xdr:colOff>404495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8</xdr:row>
      <xdr:rowOff>114300</xdr:rowOff>
    </xdr:from>
    <xdr:to>
      <xdr:col>13</xdr:col>
      <xdr:colOff>403943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8</xdr:row>
      <xdr:rowOff>114300</xdr:rowOff>
    </xdr:from>
    <xdr:to>
      <xdr:col>14</xdr:col>
      <xdr:colOff>403943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8</xdr:row>
      <xdr:rowOff>133350</xdr:rowOff>
    </xdr:from>
    <xdr:to>
      <xdr:col>15</xdr:col>
      <xdr:colOff>385445</xdr:colOff>
      <xdr:row>8</xdr:row>
      <xdr:rowOff>407670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9</xdr:row>
      <xdr:rowOff>114300</xdr:rowOff>
    </xdr:from>
    <xdr:to>
      <xdr:col>9</xdr:col>
      <xdr:colOff>404495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9</xdr:row>
      <xdr:rowOff>114300</xdr:rowOff>
    </xdr:from>
    <xdr:to>
      <xdr:col>10</xdr:col>
      <xdr:colOff>404495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9</xdr:row>
      <xdr:rowOff>114300</xdr:rowOff>
    </xdr:from>
    <xdr:to>
      <xdr:col>11</xdr:col>
      <xdr:colOff>404495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9</xdr:row>
      <xdr:rowOff>114300</xdr:rowOff>
    </xdr:from>
    <xdr:to>
      <xdr:col>12</xdr:col>
      <xdr:colOff>404495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9</xdr:row>
      <xdr:rowOff>114300</xdr:rowOff>
    </xdr:from>
    <xdr:to>
      <xdr:col>13</xdr:col>
      <xdr:colOff>404495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9</xdr:row>
      <xdr:rowOff>114300</xdr:rowOff>
    </xdr:from>
    <xdr:to>
      <xdr:col>14</xdr:col>
      <xdr:colOff>403943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9</xdr:row>
      <xdr:rowOff>133350</xdr:rowOff>
    </xdr:from>
    <xdr:to>
      <xdr:col>15</xdr:col>
      <xdr:colOff>384893</xdr:colOff>
      <xdr:row>9</xdr:row>
      <xdr:rowOff>407670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467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10</xdr:row>
      <xdr:rowOff>114300</xdr:rowOff>
    </xdr:from>
    <xdr:to>
      <xdr:col>9</xdr:col>
      <xdr:colOff>404495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10</xdr:row>
      <xdr:rowOff>114300</xdr:rowOff>
    </xdr:from>
    <xdr:to>
      <xdr:col>10</xdr:col>
      <xdr:colOff>404495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10</xdr:row>
      <xdr:rowOff>114300</xdr:rowOff>
    </xdr:from>
    <xdr:to>
      <xdr:col>11</xdr:col>
      <xdr:colOff>404495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10</xdr:row>
      <xdr:rowOff>114300</xdr:rowOff>
    </xdr:from>
    <xdr:to>
      <xdr:col>12</xdr:col>
      <xdr:colOff>404495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10</xdr:row>
      <xdr:rowOff>114300</xdr:rowOff>
    </xdr:from>
    <xdr:to>
      <xdr:col>13</xdr:col>
      <xdr:colOff>404495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10</xdr:row>
      <xdr:rowOff>114300</xdr:rowOff>
    </xdr:from>
    <xdr:to>
      <xdr:col>14</xdr:col>
      <xdr:colOff>404495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10</xdr:row>
      <xdr:rowOff>133350</xdr:rowOff>
    </xdr:from>
    <xdr:to>
      <xdr:col>15</xdr:col>
      <xdr:colOff>385445</xdr:colOff>
      <xdr:row>10</xdr:row>
      <xdr:rowOff>407670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11</xdr:row>
      <xdr:rowOff>114300</xdr:rowOff>
    </xdr:from>
    <xdr:to>
      <xdr:col>9</xdr:col>
      <xdr:colOff>404495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11</xdr:row>
      <xdr:rowOff>114300</xdr:rowOff>
    </xdr:from>
    <xdr:to>
      <xdr:col>10</xdr:col>
      <xdr:colOff>404495</xdr:colOff>
      <xdr:row>11</xdr:row>
      <xdr:rowOff>379095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7</xdr:row>
      <xdr:rowOff>114300</xdr:rowOff>
    </xdr:from>
    <xdr:to>
      <xdr:col>19</xdr:col>
      <xdr:colOff>385445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7</xdr:row>
      <xdr:rowOff>114300</xdr:rowOff>
    </xdr:from>
    <xdr:to>
      <xdr:col>20</xdr:col>
      <xdr:colOff>385445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7</xdr:row>
      <xdr:rowOff>123825</xdr:rowOff>
    </xdr:from>
    <xdr:to>
      <xdr:col>23</xdr:col>
      <xdr:colOff>384893</xdr:colOff>
      <xdr:row>7</xdr:row>
      <xdr:rowOff>398145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3543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8</xdr:row>
      <xdr:rowOff>114300</xdr:rowOff>
    </xdr:from>
    <xdr:to>
      <xdr:col>17</xdr:col>
      <xdr:colOff>394418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8</xdr:row>
      <xdr:rowOff>114300</xdr:rowOff>
    </xdr:from>
    <xdr:to>
      <xdr:col>18</xdr:col>
      <xdr:colOff>394970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8</xdr:row>
      <xdr:rowOff>123825</xdr:rowOff>
    </xdr:from>
    <xdr:to>
      <xdr:col>23</xdr:col>
      <xdr:colOff>384893</xdr:colOff>
      <xdr:row>8</xdr:row>
      <xdr:rowOff>398145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9</xdr:row>
      <xdr:rowOff>114300</xdr:rowOff>
    </xdr:from>
    <xdr:to>
      <xdr:col>17</xdr:col>
      <xdr:colOff>394418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9</xdr:row>
      <xdr:rowOff>114300</xdr:rowOff>
    </xdr:from>
    <xdr:to>
      <xdr:col>18</xdr:col>
      <xdr:colOff>394970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9</xdr:row>
      <xdr:rowOff>123825</xdr:rowOff>
    </xdr:from>
    <xdr:to>
      <xdr:col>23</xdr:col>
      <xdr:colOff>385445</xdr:colOff>
      <xdr:row>9</xdr:row>
      <xdr:rowOff>398145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394418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394418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10</xdr:row>
      <xdr:rowOff>123825</xdr:rowOff>
    </xdr:from>
    <xdr:to>
      <xdr:col>23</xdr:col>
      <xdr:colOff>385445</xdr:colOff>
      <xdr:row>10</xdr:row>
      <xdr:rowOff>398145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394970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385445</xdr:colOff>
      <xdr:row>11</xdr:row>
      <xdr:rowOff>379095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16</xdr:row>
      <xdr:rowOff>114300</xdr:rowOff>
    </xdr:from>
    <xdr:to>
      <xdr:col>6</xdr:col>
      <xdr:colOff>394970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16</xdr:row>
      <xdr:rowOff>104775</xdr:rowOff>
    </xdr:from>
    <xdr:to>
      <xdr:col>7</xdr:col>
      <xdr:colOff>375920</xdr:colOff>
      <xdr:row>16</xdr:row>
      <xdr:rowOff>379095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394418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394418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394970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394970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394970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17</xdr:row>
      <xdr:rowOff>104775</xdr:rowOff>
    </xdr:from>
    <xdr:to>
      <xdr:col>7</xdr:col>
      <xdr:colOff>375920</xdr:colOff>
      <xdr:row>17</xdr:row>
      <xdr:rowOff>379095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394418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394418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394970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394970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394970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18</xdr:row>
      <xdr:rowOff>104775</xdr:rowOff>
    </xdr:from>
    <xdr:to>
      <xdr:col>7</xdr:col>
      <xdr:colOff>375920</xdr:colOff>
      <xdr:row>18</xdr:row>
      <xdr:rowOff>379095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394418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394418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394418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19</xdr:row>
      <xdr:rowOff>104775</xdr:rowOff>
    </xdr:from>
    <xdr:to>
      <xdr:col>7</xdr:col>
      <xdr:colOff>375920</xdr:colOff>
      <xdr:row>19</xdr:row>
      <xdr:rowOff>379095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394970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20</xdr:row>
      <xdr:rowOff>114300</xdr:rowOff>
    </xdr:from>
    <xdr:to>
      <xdr:col>5</xdr:col>
      <xdr:colOff>394970</xdr:colOff>
      <xdr:row>20</xdr:row>
      <xdr:rowOff>379095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20</xdr:row>
      <xdr:rowOff>114300</xdr:rowOff>
    </xdr:from>
    <xdr:to>
      <xdr:col>6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20</xdr:row>
      <xdr:rowOff>104775</xdr:rowOff>
    </xdr:from>
    <xdr:to>
      <xdr:col>7</xdr:col>
      <xdr:colOff>375920</xdr:colOff>
      <xdr:row>20</xdr:row>
      <xdr:rowOff>379095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16</xdr:row>
      <xdr:rowOff>114300</xdr:rowOff>
    </xdr:from>
    <xdr:to>
      <xdr:col>9</xdr:col>
      <xdr:colOff>385445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16</xdr:row>
      <xdr:rowOff>114300</xdr:rowOff>
    </xdr:from>
    <xdr:to>
      <xdr:col>10</xdr:col>
      <xdr:colOff>384893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384893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16</xdr:row>
      <xdr:rowOff>95250</xdr:rowOff>
    </xdr:from>
    <xdr:to>
      <xdr:col>15</xdr:col>
      <xdr:colOff>375920</xdr:colOff>
      <xdr:row>16</xdr:row>
      <xdr:rowOff>369570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7372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384893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384893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385445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17</xdr:row>
      <xdr:rowOff>95250</xdr:rowOff>
    </xdr:from>
    <xdr:to>
      <xdr:col>15</xdr:col>
      <xdr:colOff>375920</xdr:colOff>
      <xdr:row>17</xdr:row>
      <xdr:rowOff>369570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384893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384893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385445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18</xdr:row>
      <xdr:rowOff>95250</xdr:rowOff>
    </xdr:from>
    <xdr:to>
      <xdr:col>15</xdr:col>
      <xdr:colOff>375920</xdr:colOff>
      <xdr:row>18</xdr:row>
      <xdr:rowOff>369570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8286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385445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379095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19</xdr:row>
      <xdr:rowOff>95250</xdr:rowOff>
    </xdr:from>
    <xdr:to>
      <xdr:col>15</xdr:col>
      <xdr:colOff>375920</xdr:colOff>
      <xdr:row>19</xdr:row>
      <xdr:rowOff>369570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350" y="8743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16</xdr:row>
      <xdr:rowOff>114300</xdr:rowOff>
    </xdr:from>
    <xdr:to>
      <xdr:col>20</xdr:col>
      <xdr:colOff>394418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394418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16</xdr:row>
      <xdr:rowOff>114300</xdr:rowOff>
    </xdr:from>
    <xdr:to>
      <xdr:col>22</xdr:col>
      <xdr:colOff>385445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123825</xdr:rowOff>
    </xdr:from>
    <xdr:to>
      <xdr:col>23</xdr:col>
      <xdr:colOff>394970</xdr:colOff>
      <xdr:row>16</xdr:row>
      <xdr:rowOff>398145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394418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114300</xdr:rowOff>
    </xdr:from>
    <xdr:to>
      <xdr:col>22</xdr:col>
      <xdr:colOff>384893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123825</xdr:rowOff>
    </xdr:from>
    <xdr:to>
      <xdr:col>23</xdr:col>
      <xdr:colOff>394970</xdr:colOff>
      <xdr:row>17</xdr:row>
      <xdr:rowOff>398145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18</xdr:row>
      <xdr:rowOff>114300</xdr:rowOff>
    </xdr:from>
    <xdr:to>
      <xdr:col>22</xdr:col>
      <xdr:colOff>384893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123825</xdr:rowOff>
    </xdr:from>
    <xdr:to>
      <xdr:col>23</xdr:col>
      <xdr:colOff>394418</xdr:colOff>
      <xdr:row>18</xdr:row>
      <xdr:rowOff>398145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394970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394970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394970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19</xdr:row>
      <xdr:rowOff>114300</xdr:rowOff>
    </xdr:from>
    <xdr:to>
      <xdr:col>22</xdr:col>
      <xdr:colOff>385445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123825</xdr:rowOff>
    </xdr:from>
    <xdr:to>
      <xdr:col>23</xdr:col>
      <xdr:colOff>394970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72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394970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114300</xdr:rowOff>
    </xdr:from>
    <xdr:to>
      <xdr:col>20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20</xdr:row>
      <xdr:rowOff>114300</xdr:rowOff>
    </xdr:from>
    <xdr:to>
      <xdr:col>21</xdr:col>
      <xdr:colOff>394418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384893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123825</xdr:rowOff>
    </xdr:from>
    <xdr:to>
      <xdr:col>7</xdr:col>
      <xdr:colOff>404495</xdr:colOff>
      <xdr:row>25</xdr:row>
      <xdr:rowOff>398145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384893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123825</xdr:rowOff>
    </xdr:from>
    <xdr:to>
      <xdr:col>7</xdr:col>
      <xdr:colOff>403943</xdr:colOff>
      <xdr:row>26</xdr:row>
      <xdr:rowOff>398145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157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123825</xdr:rowOff>
    </xdr:from>
    <xdr:to>
      <xdr:col>7</xdr:col>
      <xdr:colOff>403943</xdr:colOff>
      <xdr:row>27</xdr:row>
      <xdr:rowOff>398145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729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384893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123825</xdr:rowOff>
    </xdr:from>
    <xdr:to>
      <xdr:col>7</xdr:col>
      <xdr:colOff>404495</xdr:colOff>
      <xdr:row>28</xdr:row>
      <xdr:rowOff>398145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379095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385445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29</xdr:row>
      <xdr:rowOff>123825</xdr:rowOff>
    </xdr:from>
    <xdr:to>
      <xdr:col>7</xdr:col>
      <xdr:colOff>403943</xdr:colOff>
      <xdr:row>29</xdr:row>
      <xdr:rowOff>398145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30873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30</xdr:row>
      <xdr:rowOff>114300</xdr:rowOff>
    </xdr:from>
    <xdr:to>
      <xdr:col>1</xdr:col>
      <xdr:colOff>384893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535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25</xdr:row>
      <xdr:rowOff>114300</xdr:rowOff>
    </xdr:from>
    <xdr:to>
      <xdr:col>10</xdr:col>
      <xdr:colOff>385445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25</xdr:row>
      <xdr:rowOff>114300</xdr:rowOff>
    </xdr:from>
    <xdr:to>
      <xdr:col>11</xdr:col>
      <xdr:colOff>385445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25</xdr:row>
      <xdr:rowOff>114300</xdr:rowOff>
    </xdr:from>
    <xdr:to>
      <xdr:col>12</xdr:col>
      <xdr:colOff>385445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25</xdr:row>
      <xdr:rowOff>114300</xdr:rowOff>
    </xdr:from>
    <xdr:to>
      <xdr:col>13</xdr:col>
      <xdr:colOff>385445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25</xdr:row>
      <xdr:rowOff>114300</xdr:rowOff>
    </xdr:from>
    <xdr:to>
      <xdr:col>14</xdr:col>
      <xdr:colOff>385445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25</xdr:row>
      <xdr:rowOff>114300</xdr:rowOff>
    </xdr:from>
    <xdr:to>
      <xdr:col>15</xdr:col>
      <xdr:colOff>423545</xdr:colOff>
      <xdr:row>25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384893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384893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385445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385445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385445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26</xdr:row>
      <xdr:rowOff>114300</xdr:rowOff>
    </xdr:from>
    <xdr:to>
      <xdr:col>15</xdr:col>
      <xdr:colOff>423545</xdr:colOff>
      <xdr:row>26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384893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384893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385445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385445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27</xdr:row>
      <xdr:rowOff>114300</xdr:rowOff>
    </xdr:from>
    <xdr:to>
      <xdr:col>15</xdr:col>
      <xdr:colOff>423545</xdr:colOff>
      <xdr:row>27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379095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385445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385445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149225</xdr:colOff>
      <xdr:row>28</xdr:row>
      <xdr:rowOff>114300</xdr:rowOff>
    </xdr:from>
    <xdr:to>
      <xdr:col>15</xdr:col>
      <xdr:colOff>423545</xdr:colOff>
      <xdr:row>28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384893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384893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114300</xdr:rowOff>
    </xdr:from>
    <xdr:to>
      <xdr:col>12</xdr:col>
      <xdr:colOff>385445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404495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384893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384893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404495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385445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384893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384893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385445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404495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385445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385445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385445</xdr:colOff>
      <xdr:row>28</xdr:row>
      <xdr:rowOff>379095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385445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384893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384893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29</xdr:row>
      <xdr:rowOff>114300</xdr:rowOff>
    </xdr:from>
    <xdr:to>
      <xdr:col>21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29</xdr:row>
      <xdr:rowOff>114300</xdr:rowOff>
    </xdr:from>
    <xdr:to>
      <xdr:col>22</xdr:col>
      <xdr:colOff>385445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34</xdr:row>
      <xdr:rowOff>114300</xdr:rowOff>
    </xdr:from>
    <xdr:to>
      <xdr:col>7</xdr:col>
      <xdr:colOff>375920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35</xdr:row>
      <xdr:rowOff>104775</xdr:rowOff>
    </xdr:from>
    <xdr:to>
      <xdr:col>1</xdr:col>
      <xdr:colOff>356870</xdr:colOff>
      <xdr:row>35</xdr:row>
      <xdr:rowOff>379095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35</xdr:row>
      <xdr:rowOff>104775</xdr:rowOff>
    </xdr:from>
    <xdr:to>
      <xdr:col>2</xdr:col>
      <xdr:colOff>356870</xdr:colOff>
      <xdr:row>35</xdr:row>
      <xdr:rowOff>379095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35</xdr:row>
      <xdr:rowOff>104775</xdr:rowOff>
    </xdr:from>
    <xdr:to>
      <xdr:col>3</xdr:col>
      <xdr:colOff>356870</xdr:colOff>
      <xdr:row>35</xdr:row>
      <xdr:rowOff>379095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35</xdr:row>
      <xdr:rowOff>104775</xdr:rowOff>
    </xdr:from>
    <xdr:to>
      <xdr:col>4</xdr:col>
      <xdr:colOff>356318</xdr:colOff>
      <xdr:row>35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35</xdr:row>
      <xdr:rowOff>104775</xdr:rowOff>
    </xdr:from>
    <xdr:to>
      <xdr:col>5</xdr:col>
      <xdr:colOff>356318</xdr:colOff>
      <xdr:row>35</xdr:row>
      <xdr:rowOff>379095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35</xdr:row>
      <xdr:rowOff>104775</xdr:rowOff>
    </xdr:from>
    <xdr:to>
      <xdr:col>6</xdr:col>
      <xdr:colOff>356870</xdr:colOff>
      <xdr:row>35</xdr:row>
      <xdr:rowOff>379095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35</xdr:row>
      <xdr:rowOff>114300</xdr:rowOff>
    </xdr:from>
    <xdr:to>
      <xdr:col>7</xdr:col>
      <xdr:colOff>375920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36</xdr:row>
      <xdr:rowOff>104775</xdr:rowOff>
    </xdr:from>
    <xdr:to>
      <xdr:col>1</xdr:col>
      <xdr:colOff>356870</xdr:colOff>
      <xdr:row>36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36</xdr:row>
      <xdr:rowOff>104775</xdr:rowOff>
    </xdr:from>
    <xdr:to>
      <xdr:col>2</xdr:col>
      <xdr:colOff>356870</xdr:colOff>
      <xdr:row>36</xdr:row>
      <xdr:rowOff>379095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36</xdr:row>
      <xdr:rowOff>104775</xdr:rowOff>
    </xdr:from>
    <xdr:to>
      <xdr:col>3</xdr:col>
      <xdr:colOff>356870</xdr:colOff>
      <xdr:row>36</xdr:row>
      <xdr:rowOff>379095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36</xdr:row>
      <xdr:rowOff>104775</xdr:rowOff>
    </xdr:from>
    <xdr:to>
      <xdr:col>4</xdr:col>
      <xdr:colOff>356318</xdr:colOff>
      <xdr:row>36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36</xdr:row>
      <xdr:rowOff>104775</xdr:rowOff>
    </xdr:from>
    <xdr:to>
      <xdr:col>5</xdr:col>
      <xdr:colOff>356318</xdr:colOff>
      <xdr:row>36</xdr:row>
      <xdr:rowOff>379095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36</xdr:row>
      <xdr:rowOff>104775</xdr:rowOff>
    </xdr:from>
    <xdr:to>
      <xdr:col>6</xdr:col>
      <xdr:colOff>356870</xdr:colOff>
      <xdr:row>36</xdr:row>
      <xdr:rowOff>379095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36</xdr:row>
      <xdr:rowOff>114300</xdr:rowOff>
    </xdr:from>
    <xdr:to>
      <xdr:col>7</xdr:col>
      <xdr:colOff>375920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37</xdr:row>
      <xdr:rowOff>104775</xdr:rowOff>
    </xdr:from>
    <xdr:to>
      <xdr:col>1</xdr:col>
      <xdr:colOff>356870</xdr:colOff>
      <xdr:row>37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37</xdr:row>
      <xdr:rowOff>104775</xdr:rowOff>
    </xdr:from>
    <xdr:to>
      <xdr:col>2</xdr:col>
      <xdr:colOff>356870</xdr:colOff>
      <xdr:row>37</xdr:row>
      <xdr:rowOff>379095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37</xdr:row>
      <xdr:rowOff>104775</xdr:rowOff>
    </xdr:from>
    <xdr:to>
      <xdr:col>3</xdr:col>
      <xdr:colOff>356870</xdr:colOff>
      <xdr:row>37</xdr:row>
      <xdr:rowOff>379095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37</xdr:row>
      <xdr:rowOff>104775</xdr:rowOff>
    </xdr:from>
    <xdr:to>
      <xdr:col>4</xdr:col>
      <xdr:colOff>356870</xdr:colOff>
      <xdr:row>37</xdr:row>
      <xdr:rowOff>379095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37</xdr:row>
      <xdr:rowOff>104775</xdr:rowOff>
    </xdr:from>
    <xdr:to>
      <xdr:col>5</xdr:col>
      <xdr:colOff>356870</xdr:colOff>
      <xdr:row>37</xdr:row>
      <xdr:rowOff>379095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37</xdr:row>
      <xdr:rowOff>104775</xdr:rowOff>
    </xdr:from>
    <xdr:to>
      <xdr:col>6</xdr:col>
      <xdr:colOff>356870</xdr:colOff>
      <xdr:row>37</xdr:row>
      <xdr:rowOff>369570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6468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37</xdr:row>
      <xdr:rowOff>114300</xdr:rowOff>
    </xdr:from>
    <xdr:to>
      <xdr:col>7</xdr:col>
      <xdr:colOff>375920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38</xdr:row>
      <xdr:rowOff>104775</xdr:rowOff>
    </xdr:from>
    <xdr:to>
      <xdr:col>1</xdr:col>
      <xdr:colOff>356870</xdr:colOff>
      <xdr:row>38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38</xdr:row>
      <xdr:rowOff>104775</xdr:rowOff>
    </xdr:from>
    <xdr:to>
      <xdr:col>2</xdr:col>
      <xdr:colOff>356870</xdr:colOff>
      <xdr:row>38</xdr:row>
      <xdr:rowOff>379095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</xdr:colOff>
      <xdr:row>38</xdr:row>
      <xdr:rowOff>104775</xdr:rowOff>
    </xdr:from>
    <xdr:to>
      <xdr:col>3</xdr:col>
      <xdr:colOff>356870</xdr:colOff>
      <xdr:row>38</xdr:row>
      <xdr:rowOff>379095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82550</xdr:colOff>
      <xdr:row>38</xdr:row>
      <xdr:rowOff>104775</xdr:rowOff>
    </xdr:from>
    <xdr:to>
      <xdr:col>4</xdr:col>
      <xdr:colOff>356870</xdr:colOff>
      <xdr:row>38</xdr:row>
      <xdr:rowOff>379095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38</xdr:row>
      <xdr:rowOff>104775</xdr:rowOff>
    </xdr:from>
    <xdr:to>
      <xdr:col>5</xdr:col>
      <xdr:colOff>356318</xdr:colOff>
      <xdr:row>38</xdr:row>
      <xdr:rowOff>379095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950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38</xdr:row>
      <xdr:rowOff>104775</xdr:rowOff>
    </xdr:from>
    <xdr:to>
      <xdr:col>6</xdr:col>
      <xdr:colOff>356318</xdr:colOff>
      <xdr:row>38</xdr:row>
      <xdr:rowOff>379095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38</xdr:row>
      <xdr:rowOff>114300</xdr:rowOff>
    </xdr:from>
    <xdr:to>
      <xdr:col>7</xdr:col>
      <xdr:colOff>375920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39</xdr:row>
      <xdr:rowOff>104775</xdr:rowOff>
    </xdr:from>
    <xdr:to>
      <xdr:col>1</xdr:col>
      <xdr:colOff>356870</xdr:colOff>
      <xdr:row>39</xdr:row>
      <xdr:rowOff>379095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39</xdr:row>
      <xdr:rowOff>104775</xdr:rowOff>
    </xdr:from>
    <xdr:to>
      <xdr:col>2</xdr:col>
      <xdr:colOff>356870</xdr:colOff>
      <xdr:row>39</xdr:row>
      <xdr:rowOff>379095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7383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34</xdr:row>
      <xdr:rowOff>114300</xdr:rowOff>
    </xdr:from>
    <xdr:to>
      <xdr:col>11</xdr:col>
      <xdr:colOff>385445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34</xdr:row>
      <xdr:rowOff>114300</xdr:rowOff>
    </xdr:from>
    <xdr:to>
      <xdr:col>12</xdr:col>
      <xdr:colOff>385445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384893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384893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34</xdr:row>
      <xdr:rowOff>95250</xdr:rowOff>
    </xdr:from>
    <xdr:to>
      <xdr:col>15</xdr:col>
      <xdr:colOff>404495</xdr:colOff>
      <xdr:row>34</xdr:row>
      <xdr:rowOff>369570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5087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384893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384893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35</xdr:row>
      <xdr:rowOff>95250</xdr:rowOff>
    </xdr:from>
    <xdr:to>
      <xdr:col>15</xdr:col>
      <xdr:colOff>404495</xdr:colOff>
      <xdr:row>35</xdr:row>
      <xdr:rowOff>369570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5544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36</xdr:row>
      <xdr:rowOff>95250</xdr:rowOff>
    </xdr:from>
    <xdr:to>
      <xdr:col>15</xdr:col>
      <xdr:colOff>404495</xdr:colOff>
      <xdr:row>36</xdr:row>
      <xdr:rowOff>369570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379095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37</xdr:row>
      <xdr:rowOff>95250</xdr:rowOff>
    </xdr:from>
    <xdr:to>
      <xdr:col>15</xdr:col>
      <xdr:colOff>403943</xdr:colOff>
      <xdr:row>37</xdr:row>
      <xdr:rowOff>369570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384893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385445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34</xdr:row>
      <xdr:rowOff>114300</xdr:rowOff>
    </xdr:from>
    <xdr:to>
      <xdr:col>21</xdr:col>
      <xdr:colOff>385445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34</xdr:row>
      <xdr:rowOff>114300</xdr:rowOff>
    </xdr:from>
    <xdr:to>
      <xdr:col>22</xdr:col>
      <xdr:colOff>385445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104775</xdr:rowOff>
    </xdr:from>
    <xdr:to>
      <xdr:col>23</xdr:col>
      <xdr:colOff>403943</xdr:colOff>
      <xdr:row>34</xdr:row>
      <xdr:rowOff>379095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097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35</xdr:row>
      <xdr:rowOff>114300</xdr:rowOff>
    </xdr:from>
    <xdr:to>
      <xdr:col>17</xdr:col>
      <xdr:colOff>384893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35</xdr:row>
      <xdr:rowOff>114300</xdr:rowOff>
    </xdr:from>
    <xdr:to>
      <xdr:col>18</xdr:col>
      <xdr:colOff>385445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35</xdr:row>
      <xdr:rowOff>114300</xdr:rowOff>
    </xdr:from>
    <xdr:to>
      <xdr:col>19</xdr:col>
      <xdr:colOff>385445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35</xdr:row>
      <xdr:rowOff>114300</xdr:rowOff>
    </xdr:from>
    <xdr:to>
      <xdr:col>20</xdr:col>
      <xdr:colOff>385445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35</xdr:row>
      <xdr:rowOff>114300</xdr:rowOff>
    </xdr:from>
    <xdr:to>
      <xdr:col>21</xdr:col>
      <xdr:colOff>385445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35</xdr:row>
      <xdr:rowOff>114300</xdr:rowOff>
    </xdr:from>
    <xdr:to>
      <xdr:col>22</xdr:col>
      <xdr:colOff>385445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104775</xdr:rowOff>
    </xdr:from>
    <xdr:to>
      <xdr:col>23</xdr:col>
      <xdr:colOff>403943</xdr:colOff>
      <xdr:row>35</xdr:row>
      <xdr:rowOff>379095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54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384893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385445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385445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385445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104775</xdr:rowOff>
    </xdr:from>
    <xdr:to>
      <xdr:col>23</xdr:col>
      <xdr:colOff>404495</xdr:colOff>
      <xdr:row>36</xdr:row>
      <xdr:rowOff>379095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385445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385445</xdr:colOff>
      <xdr:row>37</xdr:row>
      <xdr:rowOff>379095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385445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385445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385445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104775</xdr:rowOff>
    </xdr:from>
    <xdr:to>
      <xdr:col>23</xdr:col>
      <xdr:colOff>404495</xdr:colOff>
      <xdr:row>37</xdr:row>
      <xdr:rowOff>379095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38</xdr:row>
      <xdr:rowOff>114300</xdr:rowOff>
    </xdr:from>
    <xdr:to>
      <xdr:col>17</xdr:col>
      <xdr:colOff>384893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38</xdr:row>
      <xdr:rowOff>114300</xdr:rowOff>
    </xdr:from>
    <xdr:to>
      <xdr:col>18</xdr:col>
      <xdr:colOff>384893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38</xdr:row>
      <xdr:rowOff>114300</xdr:rowOff>
    </xdr:from>
    <xdr:to>
      <xdr:col>19</xdr:col>
      <xdr:colOff>384893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38</xdr:row>
      <xdr:rowOff>114300</xdr:rowOff>
    </xdr:from>
    <xdr:to>
      <xdr:col>20</xdr:col>
      <xdr:colOff>385445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38</xdr:row>
      <xdr:rowOff>114300</xdr:rowOff>
    </xdr:from>
    <xdr:to>
      <xdr:col>21</xdr:col>
      <xdr:colOff>385445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38</xdr:row>
      <xdr:rowOff>114300</xdr:rowOff>
    </xdr:from>
    <xdr:to>
      <xdr:col>22</xdr:col>
      <xdr:colOff>385445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104775</xdr:rowOff>
    </xdr:from>
    <xdr:to>
      <xdr:col>23</xdr:col>
      <xdr:colOff>404495</xdr:colOff>
      <xdr:row>38</xdr:row>
      <xdr:rowOff>379095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25925"/>
          <a:ext cx="274320" cy="27432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</xdr:row>
      <xdr:rowOff>114300</xdr:rowOff>
    </xdr:from>
    <xdr:to>
      <xdr:col>1</xdr:col>
      <xdr:colOff>375368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7</xdr:row>
      <xdr:rowOff>114300</xdr:rowOff>
    </xdr:from>
    <xdr:to>
      <xdr:col>2</xdr:col>
      <xdr:colOff>375368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7</xdr:row>
      <xdr:rowOff>114300</xdr:rowOff>
    </xdr:from>
    <xdr:to>
      <xdr:col>3</xdr:col>
      <xdr:colOff>375920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7</xdr:row>
      <xdr:rowOff>114300</xdr:rowOff>
    </xdr:from>
    <xdr:to>
      <xdr:col>4</xdr:col>
      <xdr:colOff>375920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114300</xdr:rowOff>
    </xdr:from>
    <xdr:to>
      <xdr:col>5</xdr:col>
      <xdr:colOff>375920</xdr:colOff>
      <xdr:row>7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114300</xdr:rowOff>
    </xdr:from>
    <xdr:to>
      <xdr:col>6</xdr:col>
      <xdr:colOff>375920</xdr:colOff>
      <xdr:row>7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133350</xdr:rowOff>
    </xdr:from>
    <xdr:to>
      <xdr:col>7</xdr:col>
      <xdr:colOff>394970</xdr:colOff>
      <xdr:row>7</xdr:row>
      <xdr:rowOff>407670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8</xdr:row>
      <xdr:rowOff>114300</xdr:rowOff>
    </xdr:from>
    <xdr:to>
      <xdr:col>1</xdr:col>
      <xdr:colOff>375368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8</xdr:row>
      <xdr:rowOff>114300</xdr:rowOff>
    </xdr:from>
    <xdr:to>
      <xdr:col>2</xdr:col>
      <xdr:colOff>375368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8</xdr:row>
      <xdr:rowOff>114300</xdr:rowOff>
    </xdr:from>
    <xdr:to>
      <xdr:col>3</xdr:col>
      <xdr:colOff>375920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8</xdr:row>
      <xdr:rowOff>114300</xdr:rowOff>
    </xdr:from>
    <xdr:to>
      <xdr:col>4</xdr:col>
      <xdr:colOff>375920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8</xdr:row>
      <xdr:rowOff>114300</xdr:rowOff>
    </xdr:from>
    <xdr:to>
      <xdr:col>5</xdr:col>
      <xdr:colOff>375920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8</xdr:row>
      <xdr:rowOff>114300</xdr:rowOff>
    </xdr:from>
    <xdr:to>
      <xdr:col>6</xdr:col>
      <xdr:colOff>375920</xdr:colOff>
      <xdr:row>8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133350</xdr:rowOff>
    </xdr:from>
    <xdr:to>
      <xdr:col>7</xdr:col>
      <xdr:colOff>394970</xdr:colOff>
      <xdr:row>8</xdr:row>
      <xdr:rowOff>407670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</xdr:row>
      <xdr:rowOff>114300</xdr:rowOff>
    </xdr:from>
    <xdr:to>
      <xdr:col>1</xdr:col>
      <xdr:colOff>375920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</xdr:row>
      <xdr:rowOff>114300</xdr:rowOff>
    </xdr:from>
    <xdr:to>
      <xdr:col>2</xdr:col>
      <xdr:colOff>375920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9</xdr:row>
      <xdr:rowOff>114300</xdr:rowOff>
    </xdr:from>
    <xdr:to>
      <xdr:col>3</xdr:col>
      <xdr:colOff>375920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9</xdr:row>
      <xdr:rowOff>114300</xdr:rowOff>
    </xdr:from>
    <xdr:to>
      <xdr:col>4</xdr:col>
      <xdr:colOff>375920</xdr:colOff>
      <xdr:row>9</xdr:row>
      <xdr:rowOff>379095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9</xdr:row>
      <xdr:rowOff>114300</xdr:rowOff>
    </xdr:from>
    <xdr:to>
      <xdr:col>5</xdr:col>
      <xdr:colOff>375920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9</xdr:row>
      <xdr:rowOff>114300</xdr:rowOff>
    </xdr:from>
    <xdr:to>
      <xdr:col>6</xdr:col>
      <xdr:colOff>375920</xdr:colOff>
      <xdr:row>9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133350</xdr:rowOff>
    </xdr:from>
    <xdr:to>
      <xdr:col>7</xdr:col>
      <xdr:colOff>394970</xdr:colOff>
      <xdr:row>9</xdr:row>
      <xdr:rowOff>407670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10</xdr:row>
      <xdr:rowOff>114300</xdr:rowOff>
    </xdr:from>
    <xdr:to>
      <xdr:col>1</xdr:col>
      <xdr:colOff>375920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</xdr:row>
      <xdr:rowOff>114300</xdr:rowOff>
    </xdr:from>
    <xdr:to>
      <xdr:col>2</xdr:col>
      <xdr:colOff>375920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10</xdr:row>
      <xdr:rowOff>114300</xdr:rowOff>
    </xdr:from>
    <xdr:to>
      <xdr:col>3</xdr:col>
      <xdr:colOff>375368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10</xdr:row>
      <xdr:rowOff>114300</xdr:rowOff>
    </xdr:from>
    <xdr:to>
      <xdr:col>4</xdr:col>
      <xdr:colOff>375368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10</xdr:row>
      <xdr:rowOff>114300</xdr:rowOff>
    </xdr:from>
    <xdr:to>
      <xdr:col>5</xdr:col>
      <xdr:colOff>375920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10</xdr:row>
      <xdr:rowOff>114300</xdr:rowOff>
    </xdr:from>
    <xdr:to>
      <xdr:col>6</xdr:col>
      <xdr:colOff>375920</xdr:colOff>
      <xdr:row>10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133350</xdr:rowOff>
    </xdr:from>
    <xdr:to>
      <xdr:col>7</xdr:col>
      <xdr:colOff>394970</xdr:colOff>
      <xdr:row>10</xdr:row>
      <xdr:rowOff>407670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11</xdr:row>
      <xdr:rowOff>114300</xdr:rowOff>
    </xdr:from>
    <xdr:to>
      <xdr:col>1</xdr:col>
      <xdr:colOff>375920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114300</xdr:rowOff>
    </xdr:from>
    <xdr:to>
      <xdr:col>2</xdr:col>
      <xdr:colOff>375920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11</xdr:row>
      <xdr:rowOff>114300</xdr:rowOff>
    </xdr:from>
    <xdr:to>
      <xdr:col>3</xdr:col>
      <xdr:colOff>375368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7</xdr:row>
      <xdr:rowOff>114300</xdr:rowOff>
    </xdr:from>
    <xdr:to>
      <xdr:col>12</xdr:col>
      <xdr:colOff>375368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7</xdr:row>
      <xdr:rowOff>114300</xdr:rowOff>
    </xdr:from>
    <xdr:to>
      <xdr:col>13</xdr:col>
      <xdr:colOff>375920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</xdr:row>
      <xdr:rowOff>114300</xdr:rowOff>
    </xdr:from>
    <xdr:to>
      <xdr:col>14</xdr:col>
      <xdr:colOff>375920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7</xdr:row>
      <xdr:rowOff>133350</xdr:rowOff>
    </xdr:from>
    <xdr:to>
      <xdr:col>15</xdr:col>
      <xdr:colOff>385445</xdr:colOff>
      <xdr:row>7</xdr:row>
      <xdr:rowOff>407670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8</xdr:row>
      <xdr:rowOff>114300</xdr:rowOff>
    </xdr:from>
    <xdr:to>
      <xdr:col>9</xdr:col>
      <xdr:colOff>375920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8</xdr:row>
      <xdr:rowOff>114300</xdr:rowOff>
    </xdr:from>
    <xdr:to>
      <xdr:col>10</xdr:col>
      <xdr:colOff>375920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8</xdr:row>
      <xdr:rowOff>114300</xdr:rowOff>
    </xdr:from>
    <xdr:to>
      <xdr:col>11</xdr:col>
      <xdr:colOff>375368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8</xdr:row>
      <xdr:rowOff>114300</xdr:rowOff>
    </xdr:from>
    <xdr:to>
      <xdr:col>12</xdr:col>
      <xdr:colOff>375368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8</xdr:row>
      <xdr:rowOff>114300</xdr:rowOff>
    </xdr:from>
    <xdr:to>
      <xdr:col>13</xdr:col>
      <xdr:colOff>375920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</xdr:row>
      <xdr:rowOff>114300</xdr:rowOff>
    </xdr:from>
    <xdr:to>
      <xdr:col>14</xdr:col>
      <xdr:colOff>375920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8</xdr:row>
      <xdr:rowOff>133350</xdr:rowOff>
    </xdr:from>
    <xdr:to>
      <xdr:col>15</xdr:col>
      <xdr:colOff>385445</xdr:colOff>
      <xdr:row>8</xdr:row>
      <xdr:rowOff>407670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9</xdr:row>
      <xdr:rowOff>114300</xdr:rowOff>
    </xdr:from>
    <xdr:to>
      <xdr:col>9</xdr:col>
      <xdr:colOff>375920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9</xdr:row>
      <xdr:rowOff>114300</xdr:rowOff>
    </xdr:from>
    <xdr:to>
      <xdr:col>10</xdr:col>
      <xdr:colOff>375920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9</xdr:row>
      <xdr:rowOff>114300</xdr:rowOff>
    </xdr:from>
    <xdr:to>
      <xdr:col>11</xdr:col>
      <xdr:colOff>375920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9</xdr:row>
      <xdr:rowOff>114300</xdr:rowOff>
    </xdr:from>
    <xdr:to>
      <xdr:col>12</xdr:col>
      <xdr:colOff>375920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9</xdr:row>
      <xdr:rowOff>114300</xdr:rowOff>
    </xdr:from>
    <xdr:to>
      <xdr:col>13</xdr:col>
      <xdr:colOff>375920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9</xdr:row>
      <xdr:rowOff>114300</xdr:rowOff>
    </xdr:from>
    <xdr:to>
      <xdr:col>14</xdr:col>
      <xdr:colOff>375920</xdr:colOff>
      <xdr:row>9</xdr:row>
      <xdr:rowOff>379095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9</xdr:row>
      <xdr:rowOff>133350</xdr:rowOff>
    </xdr:from>
    <xdr:to>
      <xdr:col>15</xdr:col>
      <xdr:colOff>385445</xdr:colOff>
      <xdr:row>9</xdr:row>
      <xdr:rowOff>407670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10</xdr:row>
      <xdr:rowOff>114300</xdr:rowOff>
    </xdr:from>
    <xdr:to>
      <xdr:col>9</xdr:col>
      <xdr:colOff>375920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10</xdr:row>
      <xdr:rowOff>114300</xdr:rowOff>
    </xdr:from>
    <xdr:to>
      <xdr:col>10</xdr:col>
      <xdr:colOff>375920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10</xdr:row>
      <xdr:rowOff>114300</xdr:rowOff>
    </xdr:from>
    <xdr:to>
      <xdr:col>11</xdr:col>
      <xdr:colOff>375920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10</xdr:row>
      <xdr:rowOff>114300</xdr:rowOff>
    </xdr:from>
    <xdr:to>
      <xdr:col>12</xdr:col>
      <xdr:colOff>375920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10</xdr:row>
      <xdr:rowOff>114300</xdr:rowOff>
    </xdr:from>
    <xdr:to>
      <xdr:col>13</xdr:col>
      <xdr:colOff>375368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10</xdr:row>
      <xdr:rowOff>114300</xdr:rowOff>
    </xdr:from>
    <xdr:to>
      <xdr:col>14</xdr:col>
      <xdr:colOff>375368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10</xdr:row>
      <xdr:rowOff>133350</xdr:rowOff>
    </xdr:from>
    <xdr:to>
      <xdr:col>15</xdr:col>
      <xdr:colOff>385445</xdr:colOff>
      <xdr:row>10</xdr:row>
      <xdr:rowOff>407670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11</xdr:row>
      <xdr:rowOff>114300</xdr:rowOff>
    </xdr:from>
    <xdr:to>
      <xdr:col>9</xdr:col>
      <xdr:colOff>375920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11</xdr:row>
      <xdr:rowOff>114300</xdr:rowOff>
    </xdr:from>
    <xdr:to>
      <xdr:col>10</xdr:col>
      <xdr:colOff>375920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11</xdr:row>
      <xdr:rowOff>114300</xdr:rowOff>
    </xdr:from>
    <xdr:to>
      <xdr:col>11</xdr:col>
      <xdr:colOff>375920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7</xdr:row>
      <xdr:rowOff>114300</xdr:rowOff>
    </xdr:from>
    <xdr:to>
      <xdr:col>20</xdr:col>
      <xdr:colOff>384893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384893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133350</xdr:rowOff>
    </xdr:from>
    <xdr:to>
      <xdr:col>23</xdr:col>
      <xdr:colOff>404495</xdr:colOff>
      <xdr:row>7</xdr:row>
      <xdr:rowOff>407670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385445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384893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384893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133350</xdr:rowOff>
    </xdr:from>
    <xdr:to>
      <xdr:col>23</xdr:col>
      <xdr:colOff>404495</xdr:colOff>
      <xdr:row>8</xdr:row>
      <xdr:rowOff>407670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385445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385445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133350</xdr:rowOff>
    </xdr:from>
    <xdr:to>
      <xdr:col>23</xdr:col>
      <xdr:colOff>404495</xdr:colOff>
      <xdr:row>9</xdr:row>
      <xdr:rowOff>407670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379095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385445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385445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384893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133350</xdr:rowOff>
    </xdr:from>
    <xdr:to>
      <xdr:col>23</xdr:col>
      <xdr:colOff>403943</xdr:colOff>
      <xdr:row>10</xdr:row>
      <xdr:rowOff>407670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2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385445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385445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385445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384893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123825</xdr:rowOff>
    </xdr:from>
    <xdr:to>
      <xdr:col>7</xdr:col>
      <xdr:colOff>384893</xdr:colOff>
      <xdr:row>16</xdr:row>
      <xdr:rowOff>398145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400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17</xdr:row>
      <xdr:rowOff>123825</xdr:rowOff>
    </xdr:from>
    <xdr:to>
      <xdr:col>1</xdr:col>
      <xdr:colOff>404495</xdr:colOff>
      <xdr:row>17</xdr:row>
      <xdr:rowOff>398145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17</xdr:row>
      <xdr:rowOff>123825</xdr:rowOff>
    </xdr:from>
    <xdr:to>
      <xdr:col>2</xdr:col>
      <xdr:colOff>404495</xdr:colOff>
      <xdr:row>17</xdr:row>
      <xdr:rowOff>398145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17</xdr:row>
      <xdr:rowOff>123825</xdr:rowOff>
    </xdr:from>
    <xdr:to>
      <xdr:col>3</xdr:col>
      <xdr:colOff>404495</xdr:colOff>
      <xdr:row>17</xdr:row>
      <xdr:rowOff>398145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17</xdr:row>
      <xdr:rowOff>123825</xdr:rowOff>
    </xdr:from>
    <xdr:to>
      <xdr:col>4</xdr:col>
      <xdr:colOff>404495</xdr:colOff>
      <xdr:row>17</xdr:row>
      <xdr:rowOff>398145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17</xdr:row>
      <xdr:rowOff>123825</xdr:rowOff>
    </xdr:from>
    <xdr:to>
      <xdr:col>5</xdr:col>
      <xdr:colOff>404495</xdr:colOff>
      <xdr:row>17</xdr:row>
      <xdr:rowOff>398145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17</xdr:row>
      <xdr:rowOff>123825</xdr:rowOff>
    </xdr:from>
    <xdr:to>
      <xdr:col>6</xdr:col>
      <xdr:colOff>404495</xdr:colOff>
      <xdr:row>17</xdr:row>
      <xdr:rowOff>398145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123825</xdr:rowOff>
    </xdr:from>
    <xdr:to>
      <xdr:col>7</xdr:col>
      <xdr:colOff>384893</xdr:colOff>
      <xdr:row>17</xdr:row>
      <xdr:rowOff>398145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58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18</xdr:row>
      <xdr:rowOff>123825</xdr:rowOff>
    </xdr:from>
    <xdr:to>
      <xdr:col>1</xdr:col>
      <xdr:colOff>403943</xdr:colOff>
      <xdr:row>18</xdr:row>
      <xdr:rowOff>398145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18</xdr:row>
      <xdr:rowOff>123825</xdr:rowOff>
    </xdr:from>
    <xdr:to>
      <xdr:col>2</xdr:col>
      <xdr:colOff>404495</xdr:colOff>
      <xdr:row>18</xdr:row>
      <xdr:rowOff>398145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18</xdr:row>
      <xdr:rowOff>123825</xdr:rowOff>
    </xdr:from>
    <xdr:to>
      <xdr:col>3</xdr:col>
      <xdr:colOff>404495</xdr:colOff>
      <xdr:row>18</xdr:row>
      <xdr:rowOff>398145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18</xdr:row>
      <xdr:rowOff>123825</xdr:rowOff>
    </xdr:from>
    <xdr:to>
      <xdr:col>4</xdr:col>
      <xdr:colOff>404495</xdr:colOff>
      <xdr:row>18</xdr:row>
      <xdr:rowOff>398145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18</xdr:row>
      <xdr:rowOff>123825</xdr:rowOff>
    </xdr:from>
    <xdr:to>
      <xdr:col>5</xdr:col>
      <xdr:colOff>404495</xdr:colOff>
      <xdr:row>18</xdr:row>
      <xdr:rowOff>398145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18</xdr:row>
      <xdr:rowOff>123825</xdr:rowOff>
    </xdr:from>
    <xdr:to>
      <xdr:col>6</xdr:col>
      <xdr:colOff>404495</xdr:colOff>
      <xdr:row>18</xdr:row>
      <xdr:rowOff>398145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123825</xdr:rowOff>
    </xdr:from>
    <xdr:to>
      <xdr:col>7</xdr:col>
      <xdr:colOff>385445</xdr:colOff>
      <xdr:row>18</xdr:row>
      <xdr:rowOff>398145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19</xdr:row>
      <xdr:rowOff>123825</xdr:rowOff>
    </xdr:from>
    <xdr:to>
      <xdr:col>1</xdr:col>
      <xdr:colOff>404495</xdr:colOff>
      <xdr:row>19</xdr:row>
      <xdr:rowOff>398145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19</xdr:row>
      <xdr:rowOff>123825</xdr:rowOff>
    </xdr:from>
    <xdr:to>
      <xdr:col>2</xdr:col>
      <xdr:colOff>404495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772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19</xdr:row>
      <xdr:rowOff>123825</xdr:rowOff>
    </xdr:from>
    <xdr:to>
      <xdr:col>3</xdr:col>
      <xdr:colOff>404495</xdr:colOff>
      <xdr:row>19</xdr:row>
      <xdr:rowOff>398145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19</xdr:row>
      <xdr:rowOff>123825</xdr:rowOff>
    </xdr:from>
    <xdr:to>
      <xdr:col>4</xdr:col>
      <xdr:colOff>404495</xdr:colOff>
      <xdr:row>19</xdr:row>
      <xdr:rowOff>398145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19</xdr:row>
      <xdr:rowOff>123825</xdr:rowOff>
    </xdr:from>
    <xdr:to>
      <xdr:col>5</xdr:col>
      <xdr:colOff>404495</xdr:colOff>
      <xdr:row>19</xdr:row>
      <xdr:rowOff>398145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19</xdr:row>
      <xdr:rowOff>123825</xdr:rowOff>
    </xdr:from>
    <xdr:to>
      <xdr:col>6</xdr:col>
      <xdr:colOff>404495</xdr:colOff>
      <xdr:row>19</xdr:row>
      <xdr:rowOff>398145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123825</xdr:rowOff>
    </xdr:from>
    <xdr:to>
      <xdr:col>7</xdr:col>
      <xdr:colOff>384893</xdr:colOff>
      <xdr:row>19</xdr:row>
      <xdr:rowOff>398145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20</xdr:row>
      <xdr:rowOff>123825</xdr:rowOff>
    </xdr:from>
    <xdr:to>
      <xdr:col>1</xdr:col>
      <xdr:colOff>403943</xdr:colOff>
      <xdr:row>20</xdr:row>
      <xdr:rowOff>398145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9229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20</xdr:row>
      <xdr:rowOff>123825</xdr:rowOff>
    </xdr:from>
    <xdr:to>
      <xdr:col>2</xdr:col>
      <xdr:colOff>404495</xdr:colOff>
      <xdr:row>20</xdr:row>
      <xdr:rowOff>398145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20</xdr:row>
      <xdr:rowOff>123825</xdr:rowOff>
    </xdr:from>
    <xdr:to>
      <xdr:col>3</xdr:col>
      <xdr:colOff>404495</xdr:colOff>
      <xdr:row>20</xdr:row>
      <xdr:rowOff>398145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20</xdr:row>
      <xdr:rowOff>123825</xdr:rowOff>
    </xdr:from>
    <xdr:to>
      <xdr:col>4</xdr:col>
      <xdr:colOff>404495</xdr:colOff>
      <xdr:row>20</xdr:row>
      <xdr:rowOff>398145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20</xdr:row>
      <xdr:rowOff>123825</xdr:rowOff>
    </xdr:from>
    <xdr:to>
      <xdr:col>5</xdr:col>
      <xdr:colOff>404495</xdr:colOff>
      <xdr:row>20</xdr:row>
      <xdr:rowOff>398145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20</xdr:row>
      <xdr:rowOff>123825</xdr:rowOff>
    </xdr:from>
    <xdr:to>
      <xdr:col>6</xdr:col>
      <xdr:colOff>404495</xdr:colOff>
      <xdr:row>20</xdr:row>
      <xdr:rowOff>398145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20</xdr:row>
      <xdr:rowOff>123825</xdr:rowOff>
    </xdr:from>
    <xdr:to>
      <xdr:col>7</xdr:col>
      <xdr:colOff>384893</xdr:colOff>
      <xdr:row>20</xdr:row>
      <xdr:rowOff>398145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9229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21</xdr:row>
      <xdr:rowOff>123825</xdr:rowOff>
    </xdr:from>
    <xdr:to>
      <xdr:col>1</xdr:col>
      <xdr:colOff>403943</xdr:colOff>
      <xdr:row>21</xdr:row>
      <xdr:rowOff>398145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9686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16</xdr:row>
      <xdr:rowOff>114300</xdr:rowOff>
    </xdr:from>
    <xdr:to>
      <xdr:col>10</xdr:col>
      <xdr:colOff>394970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16</xdr:row>
      <xdr:rowOff>114300</xdr:rowOff>
    </xdr:from>
    <xdr:to>
      <xdr:col>11</xdr:col>
      <xdr:colOff>394970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16</xdr:row>
      <xdr:rowOff>114300</xdr:rowOff>
    </xdr:from>
    <xdr:to>
      <xdr:col>12</xdr:col>
      <xdr:colOff>394970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16</xdr:row>
      <xdr:rowOff>114300</xdr:rowOff>
    </xdr:from>
    <xdr:to>
      <xdr:col>13</xdr:col>
      <xdr:colOff>394970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16</xdr:row>
      <xdr:rowOff>114300</xdr:rowOff>
    </xdr:from>
    <xdr:to>
      <xdr:col>14</xdr:col>
      <xdr:colOff>394970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123825</xdr:rowOff>
    </xdr:from>
    <xdr:to>
      <xdr:col>15</xdr:col>
      <xdr:colOff>394970</xdr:colOff>
      <xdr:row>16</xdr:row>
      <xdr:rowOff>398145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114300</xdr:rowOff>
    </xdr:from>
    <xdr:to>
      <xdr:col>9</xdr:col>
      <xdr:colOff>394418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114300</xdr:rowOff>
    </xdr:from>
    <xdr:to>
      <xdr:col>10</xdr:col>
      <xdr:colOff>394418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114300</xdr:rowOff>
    </xdr:from>
    <xdr:to>
      <xdr:col>11</xdr:col>
      <xdr:colOff>394970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114300</xdr:rowOff>
    </xdr:from>
    <xdr:to>
      <xdr:col>12</xdr:col>
      <xdr:colOff>394970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114300</xdr:rowOff>
    </xdr:from>
    <xdr:to>
      <xdr:col>13</xdr:col>
      <xdr:colOff>394970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114300</xdr:rowOff>
    </xdr:from>
    <xdr:to>
      <xdr:col>14</xdr:col>
      <xdr:colOff>394970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123825</xdr:rowOff>
    </xdr:from>
    <xdr:to>
      <xdr:col>15</xdr:col>
      <xdr:colOff>394970</xdr:colOff>
      <xdr:row>17</xdr:row>
      <xdr:rowOff>398145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114300</xdr:rowOff>
    </xdr:from>
    <xdr:to>
      <xdr:col>9</xdr:col>
      <xdr:colOff>394970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114300</xdr:rowOff>
    </xdr:from>
    <xdr:to>
      <xdr:col>10</xdr:col>
      <xdr:colOff>394970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114300</xdr:rowOff>
    </xdr:from>
    <xdr:to>
      <xdr:col>11</xdr:col>
      <xdr:colOff>394970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114300</xdr:rowOff>
    </xdr:from>
    <xdr:to>
      <xdr:col>12</xdr:col>
      <xdr:colOff>394970</xdr:colOff>
      <xdr:row>18</xdr:row>
      <xdr:rowOff>379095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114300</xdr:rowOff>
    </xdr:from>
    <xdr:to>
      <xdr:col>13</xdr:col>
      <xdr:colOff>394970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114300</xdr:rowOff>
    </xdr:from>
    <xdr:to>
      <xdr:col>14</xdr:col>
      <xdr:colOff>394970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123825</xdr:rowOff>
    </xdr:from>
    <xdr:to>
      <xdr:col>15</xdr:col>
      <xdr:colOff>394970</xdr:colOff>
      <xdr:row>18</xdr:row>
      <xdr:rowOff>398145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114300</xdr:rowOff>
    </xdr:from>
    <xdr:to>
      <xdr:col>9</xdr:col>
      <xdr:colOff>394418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114300</xdr:rowOff>
    </xdr:from>
    <xdr:to>
      <xdr:col>10</xdr:col>
      <xdr:colOff>394418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114300</xdr:rowOff>
    </xdr:from>
    <xdr:to>
      <xdr:col>11</xdr:col>
      <xdr:colOff>394970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114300</xdr:rowOff>
    </xdr:from>
    <xdr:to>
      <xdr:col>12</xdr:col>
      <xdr:colOff>394970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114300</xdr:rowOff>
    </xdr:from>
    <xdr:to>
      <xdr:col>13</xdr:col>
      <xdr:colOff>394970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114300</xdr:rowOff>
    </xdr:from>
    <xdr:to>
      <xdr:col>14</xdr:col>
      <xdr:colOff>394970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123825</xdr:rowOff>
    </xdr:from>
    <xdr:to>
      <xdr:col>15</xdr:col>
      <xdr:colOff>394970</xdr:colOff>
      <xdr:row>19</xdr:row>
      <xdr:rowOff>398145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114300</xdr:rowOff>
    </xdr:from>
    <xdr:to>
      <xdr:col>9</xdr:col>
      <xdr:colOff>394970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114300</xdr:rowOff>
    </xdr:from>
    <xdr:to>
      <xdr:col>10</xdr:col>
      <xdr:colOff>394418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114300</xdr:rowOff>
    </xdr:from>
    <xdr:to>
      <xdr:col>11</xdr:col>
      <xdr:colOff>394418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20</xdr:row>
      <xdr:rowOff>114300</xdr:rowOff>
    </xdr:from>
    <xdr:to>
      <xdr:col>12</xdr:col>
      <xdr:colOff>394970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16</xdr:row>
      <xdr:rowOff>114300</xdr:rowOff>
    </xdr:from>
    <xdr:to>
      <xdr:col>21</xdr:col>
      <xdr:colOff>385445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16</xdr:row>
      <xdr:rowOff>114300</xdr:rowOff>
    </xdr:from>
    <xdr:to>
      <xdr:col>22</xdr:col>
      <xdr:colOff>385445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16</xdr:row>
      <xdr:rowOff>123825</xdr:rowOff>
    </xdr:from>
    <xdr:to>
      <xdr:col>23</xdr:col>
      <xdr:colOff>385445</xdr:colOff>
      <xdr:row>16</xdr:row>
      <xdr:rowOff>398145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17</xdr:row>
      <xdr:rowOff>114300</xdr:rowOff>
    </xdr:from>
    <xdr:to>
      <xdr:col>17</xdr:col>
      <xdr:colOff>385445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17</xdr:row>
      <xdr:rowOff>114300</xdr:rowOff>
    </xdr:from>
    <xdr:to>
      <xdr:col>18</xdr:col>
      <xdr:colOff>385445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17</xdr:row>
      <xdr:rowOff>114300</xdr:rowOff>
    </xdr:from>
    <xdr:to>
      <xdr:col>19</xdr:col>
      <xdr:colOff>384893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17</xdr:row>
      <xdr:rowOff>114300</xdr:rowOff>
    </xdr:from>
    <xdr:to>
      <xdr:col>20</xdr:col>
      <xdr:colOff>384893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17</xdr:row>
      <xdr:rowOff>114300</xdr:rowOff>
    </xdr:from>
    <xdr:to>
      <xdr:col>21</xdr:col>
      <xdr:colOff>385445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114300</xdr:rowOff>
    </xdr:from>
    <xdr:to>
      <xdr:col>22</xdr:col>
      <xdr:colOff>385445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17</xdr:row>
      <xdr:rowOff>123825</xdr:rowOff>
    </xdr:from>
    <xdr:to>
      <xdr:col>23</xdr:col>
      <xdr:colOff>385445</xdr:colOff>
      <xdr:row>17</xdr:row>
      <xdr:rowOff>398145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18</xdr:row>
      <xdr:rowOff>114300</xdr:rowOff>
    </xdr:from>
    <xdr:to>
      <xdr:col>17</xdr:col>
      <xdr:colOff>385445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18</xdr:row>
      <xdr:rowOff>114300</xdr:rowOff>
    </xdr:from>
    <xdr:to>
      <xdr:col>18</xdr:col>
      <xdr:colOff>385445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18</xdr:row>
      <xdr:rowOff>114300</xdr:rowOff>
    </xdr:from>
    <xdr:to>
      <xdr:col>19</xdr:col>
      <xdr:colOff>385445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18</xdr:row>
      <xdr:rowOff>114300</xdr:rowOff>
    </xdr:from>
    <xdr:to>
      <xdr:col>20</xdr:col>
      <xdr:colOff>385445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18</xdr:row>
      <xdr:rowOff>114300</xdr:rowOff>
    </xdr:from>
    <xdr:to>
      <xdr:col>21</xdr:col>
      <xdr:colOff>385445</xdr:colOff>
      <xdr:row>18</xdr:row>
      <xdr:rowOff>379095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18</xdr:row>
      <xdr:rowOff>114300</xdr:rowOff>
    </xdr:from>
    <xdr:to>
      <xdr:col>22</xdr:col>
      <xdr:colOff>385445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18</xdr:row>
      <xdr:rowOff>123825</xdr:rowOff>
    </xdr:from>
    <xdr:to>
      <xdr:col>23</xdr:col>
      <xdr:colOff>385445</xdr:colOff>
      <xdr:row>18</xdr:row>
      <xdr:rowOff>398145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19</xdr:row>
      <xdr:rowOff>114300</xdr:rowOff>
    </xdr:from>
    <xdr:to>
      <xdr:col>17</xdr:col>
      <xdr:colOff>385445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19</xdr:row>
      <xdr:rowOff>114300</xdr:rowOff>
    </xdr:from>
    <xdr:to>
      <xdr:col>18</xdr:col>
      <xdr:colOff>385445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19</xdr:row>
      <xdr:rowOff>114300</xdr:rowOff>
    </xdr:from>
    <xdr:to>
      <xdr:col>19</xdr:col>
      <xdr:colOff>384893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19</xdr:row>
      <xdr:rowOff>114300</xdr:rowOff>
    </xdr:from>
    <xdr:to>
      <xdr:col>20</xdr:col>
      <xdr:colOff>384893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19</xdr:row>
      <xdr:rowOff>114300</xdr:rowOff>
    </xdr:from>
    <xdr:to>
      <xdr:col>21</xdr:col>
      <xdr:colOff>385445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19</xdr:row>
      <xdr:rowOff>114300</xdr:rowOff>
    </xdr:from>
    <xdr:to>
      <xdr:col>22</xdr:col>
      <xdr:colOff>385445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19</xdr:row>
      <xdr:rowOff>123825</xdr:rowOff>
    </xdr:from>
    <xdr:to>
      <xdr:col>23</xdr:col>
      <xdr:colOff>385445</xdr:colOff>
      <xdr:row>19</xdr:row>
      <xdr:rowOff>398145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20</xdr:row>
      <xdr:rowOff>114300</xdr:rowOff>
    </xdr:from>
    <xdr:to>
      <xdr:col>17</xdr:col>
      <xdr:colOff>385445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20</xdr:row>
      <xdr:rowOff>114300</xdr:rowOff>
    </xdr:from>
    <xdr:to>
      <xdr:col>18</xdr:col>
      <xdr:colOff>385445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20</xdr:row>
      <xdr:rowOff>114300</xdr:rowOff>
    </xdr:from>
    <xdr:to>
      <xdr:col>19</xdr:col>
      <xdr:colOff>384893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20</xdr:row>
      <xdr:rowOff>114300</xdr:rowOff>
    </xdr:from>
    <xdr:to>
      <xdr:col>20</xdr:col>
      <xdr:colOff>384893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20</xdr:row>
      <xdr:rowOff>114300</xdr:rowOff>
    </xdr:from>
    <xdr:to>
      <xdr:col>21</xdr:col>
      <xdr:colOff>385445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20</xdr:row>
      <xdr:rowOff>114300</xdr:rowOff>
    </xdr:from>
    <xdr:to>
      <xdr:col>22</xdr:col>
      <xdr:colOff>385445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114300</xdr:rowOff>
    </xdr:from>
    <xdr:to>
      <xdr:col>7</xdr:col>
      <xdr:colOff>394970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26</xdr:row>
      <xdr:rowOff>114300</xdr:rowOff>
    </xdr:from>
    <xdr:to>
      <xdr:col>1</xdr:col>
      <xdr:colOff>394970</xdr:colOff>
      <xdr:row>26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26</xdr:row>
      <xdr:rowOff>114300</xdr:rowOff>
    </xdr:from>
    <xdr:to>
      <xdr:col>2</xdr:col>
      <xdr:colOff>394970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26</xdr:row>
      <xdr:rowOff>114300</xdr:rowOff>
    </xdr:from>
    <xdr:to>
      <xdr:col>3</xdr:col>
      <xdr:colOff>394970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26</xdr:row>
      <xdr:rowOff>114300</xdr:rowOff>
    </xdr:from>
    <xdr:to>
      <xdr:col>4</xdr:col>
      <xdr:colOff>394418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26</xdr:row>
      <xdr:rowOff>114300</xdr:rowOff>
    </xdr:from>
    <xdr:to>
      <xdr:col>5</xdr:col>
      <xdr:colOff>394418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26</xdr:row>
      <xdr:rowOff>114300</xdr:rowOff>
    </xdr:from>
    <xdr:to>
      <xdr:col>6</xdr:col>
      <xdr:colOff>394418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114300</xdr:rowOff>
    </xdr:from>
    <xdr:to>
      <xdr:col>7</xdr:col>
      <xdr:colOff>394970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27</xdr:row>
      <xdr:rowOff>114300</xdr:rowOff>
    </xdr:from>
    <xdr:to>
      <xdr:col>1</xdr:col>
      <xdr:colOff>394970</xdr:colOff>
      <xdr:row>27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27</xdr:row>
      <xdr:rowOff>114300</xdr:rowOff>
    </xdr:from>
    <xdr:to>
      <xdr:col>2</xdr:col>
      <xdr:colOff>394970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27</xdr:row>
      <xdr:rowOff>114300</xdr:rowOff>
    </xdr:from>
    <xdr:to>
      <xdr:col>3</xdr:col>
      <xdr:colOff>394970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27</xdr:row>
      <xdr:rowOff>114300</xdr:rowOff>
    </xdr:from>
    <xdr:to>
      <xdr:col>4</xdr:col>
      <xdr:colOff>394970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27</xdr:row>
      <xdr:rowOff>114300</xdr:rowOff>
    </xdr:from>
    <xdr:to>
      <xdr:col>5</xdr:col>
      <xdr:colOff>394970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27</xdr:row>
      <xdr:rowOff>114300</xdr:rowOff>
    </xdr:from>
    <xdr:to>
      <xdr:col>6</xdr:col>
      <xdr:colOff>394970</xdr:colOff>
      <xdr:row>27</xdr:row>
      <xdr:rowOff>379095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114300</xdr:rowOff>
    </xdr:from>
    <xdr:to>
      <xdr:col>7</xdr:col>
      <xdr:colOff>394970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28</xdr:row>
      <xdr:rowOff>114300</xdr:rowOff>
    </xdr:from>
    <xdr:to>
      <xdr:col>1</xdr:col>
      <xdr:colOff>394970</xdr:colOff>
      <xdr:row>28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28</xdr:row>
      <xdr:rowOff>114300</xdr:rowOff>
    </xdr:from>
    <xdr:to>
      <xdr:col>2</xdr:col>
      <xdr:colOff>394970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28</xdr:row>
      <xdr:rowOff>114300</xdr:rowOff>
    </xdr:from>
    <xdr:to>
      <xdr:col>3</xdr:col>
      <xdr:colOff>394970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28</xdr:row>
      <xdr:rowOff>114300</xdr:rowOff>
    </xdr:from>
    <xdr:to>
      <xdr:col>4</xdr:col>
      <xdr:colOff>394418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28</xdr:row>
      <xdr:rowOff>114300</xdr:rowOff>
    </xdr:from>
    <xdr:to>
      <xdr:col>5</xdr:col>
      <xdr:colOff>394418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28</xdr:row>
      <xdr:rowOff>114300</xdr:rowOff>
    </xdr:from>
    <xdr:to>
      <xdr:col>6</xdr:col>
      <xdr:colOff>394970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114300</xdr:rowOff>
    </xdr:from>
    <xdr:to>
      <xdr:col>7</xdr:col>
      <xdr:colOff>394970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29</xdr:row>
      <xdr:rowOff>114300</xdr:rowOff>
    </xdr:from>
    <xdr:to>
      <xdr:col>1</xdr:col>
      <xdr:colOff>394970</xdr:colOff>
      <xdr:row>29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29</xdr:row>
      <xdr:rowOff>114300</xdr:rowOff>
    </xdr:from>
    <xdr:to>
      <xdr:col>2</xdr:col>
      <xdr:colOff>394970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29</xdr:row>
      <xdr:rowOff>114300</xdr:rowOff>
    </xdr:from>
    <xdr:to>
      <xdr:col>3</xdr:col>
      <xdr:colOff>394970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29</xdr:row>
      <xdr:rowOff>114300</xdr:rowOff>
    </xdr:from>
    <xdr:to>
      <xdr:col>4</xdr:col>
      <xdr:colOff>394970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29</xdr:row>
      <xdr:rowOff>114300</xdr:rowOff>
    </xdr:from>
    <xdr:to>
      <xdr:col>5</xdr:col>
      <xdr:colOff>394418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29</xdr:row>
      <xdr:rowOff>114300</xdr:rowOff>
    </xdr:from>
    <xdr:to>
      <xdr:col>6</xdr:col>
      <xdr:colOff>394418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29</xdr:row>
      <xdr:rowOff>114300</xdr:rowOff>
    </xdr:from>
    <xdr:to>
      <xdr:col>7</xdr:col>
      <xdr:colOff>394970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30</xdr:row>
      <xdr:rowOff>114300</xdr:rowOff>
    </xdr:from>
    <xdr:to>
      <xdr:col>1</xdr:col>
      <xdr:colOff>394970</xdr:colOff>
      <xdr:row>30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30</xdr:row>
      <xdr:rowOff>114300</xdr:rowOff>
    </xdr:from>
    <xdr:to>
      <xdr:col>2</xdr:col>
      <xdr:colOff>394970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25</xdr:row>
      <xdr:rowOff>114300</xdr:rowOff>
    </xdr:from>
    <xdr:to>
      <xdr:col>11</xdr:col>
      <xdr:colOff>394970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394418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114300</xdr:rowOff>
    </xdr:from>
    <xdr:to>
      <xdr:col>15</xdr:col>
      <xdr:colOff>403943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26</xdr:row>
      <xdr:rowOff>114300</xdr:rowOff>
    </xdr:from>
    <xdr:to>
      <xdr:col>9</xdr:col>
      <xdr:colOff>394970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26</xdr:row>
      <xdr:rowOff>114300</xdr:rowOff>
    </xdr:from>
    <xdr:to>
      <xdr:col>10</xdr:col>
      <xdr:colOff>394970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26</xdr:row>
      <xdr:rowOff>114300</xdr:rowOff>
    </xdr:from>
    <xdr:to>
      <xdr:col>11</xdr:col>
      <xdr:colOff>394970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26</xdr:row>
      <xdr:rowOff>114300</xdr:rowOff>
    </xdr:from>
    <xdr:to>
      <xdr:col>12</xdr:col>
      <xdr:colOff>394970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26</xdr:row>
      <xdr:rowOff>114300</xdr:rowOff>
    </xdr:from>
    <xdr:to>
      <xdr:col>13</xdr:col>
      <xdr:colOff>394970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26</xdr:row>
      <xdr:rowOff>114300</xdr:rowOff>
    </xdr:from>
    <xdr:to>
      <xdr:col>14</xdr:col>
      <xdr:colOff>394970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114300</xdr:rowOff>
    </xdr:from>
    <xdr:to>
      <xdr:col>15</xdr:col>
      <xdr:colOff>404495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27</xdr:row>
      <xdr:rowOff>114300</xdr:rowOff>
    </xdr:from>
    <xdr:to>
      <xdr:col>9</xdr:col>
      <xdr:colOff>394970</xdr:colOff>
      <xdr:row>27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27</xdr:row>
      <xdr:rowOff>114300</xdr:rowOff>
    </xdr:from>
    <xdr:to>
      <xdr:col>10</xdr:col>
      <xdr:colOff>394970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27</xdr:row>
      <xdr:rowOff>114300</xdr:rowOff>
    </xdr:from>
    <xdr:to>
      <xdr:col>11</xdr:col>
      <xdr:colOff>394970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27</xdr:row>
      <xdr:rowOff>114300</xdr:rowOff>
    </xdr:from>
    <xdr:to>
      <xdr:col>12</xdr:col>
      <xdr:colOff>394970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27</xdr:row>
      <xdr:rowOff>114300</xdr:rowOff>
    </xdr:from>
    <xdr:to>
      <xdr:col>13</xdr:col>
      <xdr:colOff>394970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27</xdr:row>
      <xdr:rowOff>114300</xdr:rowOff>
    </xdr:from>
    <xdr:to>
      <xdr:col>14</xdr:col>
      <xdr:colOff>394418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114300</xdr:rowOff>
    </xdr:from>
    <xdr:to>
      <xdr:col>15</xdr:col>
      <xdr:colOff>403943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28</xdr:row>
      <xdr:rowOff>114300</xdr:rowOff>
    </xdr:from>
    <xdr:to>
      <xdr:col>9</xdr:col>
      <xdr:colOff>394970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28</xdr:row>
      <xdr:rowOff>114300</xdr:rowOff>
    </xdr:from>
    <xdr:to>
      <xdr:col>10</xdr:col>
      <xdr:colOff>394970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28</xdr:row>
      <xdr:rowOff>114300</xdr:rowOff>
    </xdr:from>
    <xdr:to>
      <xdr:col>11</xdr:col>
      <xdr:colOff>394970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28</xdr:row>
      <xdr:rowOff>114300</xdr:rowOff>
    </xdr:from>
    <xdr:to>
      <xdr:col>12</xdr:col>
      <xdr:colOff>394970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28</xdr:row>
      <xdr:rowOff>114300</xdr:rowOff>
    </xdr:from>
    <xdr:to>
      <xdr:col>13</xdr:col>
      <xdr:colOff>394970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28</xdr:row>
      <xdr:rowOff>114300</xdr:rowOff>
    </xdr:from>
    <xdr:to>
      <xdr:col>14</xdr:col>
      <xdr:colOff>394970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114300</xdr:rowOff>
    </xdr:from>
    <xdr:to>
      <xdr:col>15</xdr:col>
      <xdr:colOff>403943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29</xdr:row>
      <xdr:rowOff>114300</xdr:rowOff>
    </xdr:from>
    <xdr:to>
      <xdr:col>9</xdr:col>
      <xdr:colOff>394418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29</xdr:row>
      <xdr:rowOff>114300</xdr:rowOff>
    </xdr:from>
    <xdr:to>
      <xdr:col>10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29</xdr:row>
      <xdr:rowOff>114300</xdr:rowOff>
    </xdr:from>
    <xdr:to>
      <xdr:col>11</xdr:col>
      <xdr:colOff>394970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29</xdr:row>
      <xdr:rowOff>114300</xdr:rowOff>
    </xdr:from>
    <xdr:to>
      <xdr:col>12</xdr:col>
      <xdr:colOff>394970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29</xdr:row>
      <xdr:rowOff>114300</xdr:rowOff>
    </xdr:from>
    <xdr:to>
      <xdr:col>13</xdr:col>
      <xdr:colOff>394970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25</xdr:row>
      <xdr:rowOff>114300</xdr:rowOff>
    </xdr:from>
    <xdr:to>
      <xdr:col>22</xdr:col>
      <xdr:colOff>404495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403943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403943</xdr:colOff>
      <xdr:row>26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404495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404495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404495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404495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379095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404495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404495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403943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403943</xdr:colOff>
      <xdr:row>28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404495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404495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403943</xdr:colOff>
      <xdr:row>29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403943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404495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404495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29</xdr:row>
      <xdr:rowOff>114300</xdr:rowOff>
    </xdr:from>
    <xdr:to>
      <xdr:col>23</xdr:col>
      <xdr:colOff>404495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34</xdr:row>
      <xdr:rowOff>114300</xdr:rowOff>
    </xdr:from>
    <xdr:to>
      <xdr:col>1</xdr:col>
      <xdr:colOff>394970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34</xdr:row>
      <xdr:rowOff>114300</xdr:rowOff>
    </xdr:from>
    <xdr:to>
      <xdr:col>2</xdr:col>
      <xdr:colOff>394418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34</xdr:row>
      <xdr:rowOff>114300</xdr:rowOff>
    </xdr:from>
    <xdr:to>
      <xdr:col>3</xdr:col>
      <xdr:colOff>394418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394970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114300</xdr:rowOff>
    </xdr:from>
    <xdr:to>
      <xdr:col>7</xdr:col>
      <xdr:colOff>394970</xdr:colOff>
      <xdr:row>34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379095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394970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394970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394970</xdr:colOff>
      <xdr:row>35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114300</xdr:rowOff>
    </xdr:from>
    <xdr:to>
      <xdr:col>7</xdr:col>
      <xdr:colOff>394970</xdr:colOff>
      <xdr:row>35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394418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394418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394970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394970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114300</xdr:rowOff>
    </xdr:from>
    <xdr:to>
      <xdr:col>7</xdr:col>
      <xdr:colOff>394970</xdr:colOff>
      <xdr:row>36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37</xdr:row>
      <xdr:rowOff>114300</xdr:rowOff>
    </xdr:from>
    <xdr:to>
      <xdr:col>1</xdr:col>
      <xdr:colOff>394970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37</xdr:row>
      <xdr:rowOff>114300</xdr:rowOff>
    </xdr:from>
    <xdr:to>
      <xdr:col>2</xdr:col>
      <xdr:colOff>394970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37</xdr:row>
      <xdr:rowOff>114300</xdr:rowOff>
    </xdr:from>
    <xdr:to>
      <xdr:col>3</xdr:col>
      <xdr:colOff>394418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37</xdr:row>
      <xdr:rowOff>114300</xdr:rowOff>
    </xdr:from>
    <xdr:to>
      <xdr:col>4</xdr:col>
      <xdr:colOff>394418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37</xdr:row>
      <xdr:rowOff>114300</xdr:rowOff>
    </xdr:from>
    <xdr:to>
      <xdr:col>5</xdr:col>
      <xdr:colOff>394970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37</xdr:row>
      <xdr:rowOff>114300</xdr:rowOff>
    </xdr:from>
    <xdr:to>
      <xdr:col>6</xdr:col>
      <xdr:colOff>394970</xdr:colOff>
      <xdr:row>37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114300</xdr:rowOff>
    </xdr:from>
    <xdr:to>
      <xdr:col>7</xdr:col>
      <xdr:colOff>394970</xdr:colOff>
      <xdr:row>37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114300</xdr:rowOff>
    </xdr:from>
    <xdr:to>
      <xdr:col>1</xdr:col>
      <xdr:colOff>394970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38</xdr:row>
      <xdr:rowOff>114300</xdr:rowOff>
    </xdr:from>
    <xdr:to>
      <xdr:col>2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38</xdr:row>
      <xdr:rowOff>114300</xdr:rowOff>
    </xdr:from>
    <xdr:to>
      <xdr:col>3</xdr:col>
      <xdr:colOff>394418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34</xdr:row>
      <xdr:rowOff>114300</xdr:rowOff>
    </xdr:from>
    <xdr:to>
      <xdr:col>12</xdr:col>
      <xdr:colOff>394418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394970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104775</xdr:rowOff>
    </xdr:from>
    <xdr:to>
      <xdr:col>15</xdr:col>
      <xdr:colOff>394970</xdr:colOff>
      <xdr:row>34</xdr:row>
      <xdr:rowOff>379095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394970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394970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379095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394970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104775</xdr:rowOff>
    </xdr:from>
    <xdr:to>
      <xdr:col>15</xdr:col>
      <xdr:colOff>394970</xdr:colOff>
      <xdr:row>35</xdr:row>
      <xdr:rowOff>379095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394970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394970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394970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394418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394418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394970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104775</xdr:rowOff>
    </xdr:from>
    <xdr:to>
      <xdr:col>15</xdr:col>
      <xdr:colOff>394970</xdr:colOff>
      <xdr:row>36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394970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394970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114300</xdr:rowOff>
    </xdr:from>
    <xdr:to>
      <xdr:col>12</xdr:col>
      <xdr:colOff>394418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114300</xdr:rowOff>
    </xdr:from>
    <xdr:to>
      <xdr:col>13</xdr:col>
      <xdr:colOff>394418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114300</xdr:rowOff>
    </xdr:from>
    <xdr:to>
      <xdr:col>14</xdr:col>
      <xdr:colOff>394970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104775</xdr:rowOff>
    </xdr:from>
    <xdr:to>
      <xdr:col>15</xdr:col>
      <xdr:colOff>394970</xdr:colOff>
      <xdr:row>37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38</xdr:row>
      <xdr:rowOff>114300</xdr:rowOff>
    </xdr:from>
    <xdr:to>
      <xdr:col>11</xdr:col>
      <xdr:colOff>394970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38</xdr:row>
      <xdr:rowOff>114300</xdr:rowOff>
    </xdr:from>
    <xdr:to>
      <xdr:col>12</xdr:col>
      <xdr:colOff>394418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38</xdr:row>
      <xdr:rowOff>114300</xdr:rowOff>
    </xdr:from>
    <xdr:to>
      <xdr:col>13</xdr:col>
      <xdr:colOff>394418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34</xdr:row>
      <xdr:rowOff>114300</xdr:rowOff>
    </xdr:from>
    <xdr:to>
      <xdr:col>22</xdr:col>
      <xdr:colOff>375920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34</xdr:row>
      <xdr:rowOff>104775</xdr:rowOff>
    </xdr:from>
    <xdr:to>
      <xdr:col>23</xdr:col>
      <xdr:colOff>385445</xdr:colOff>
      <xdr:row>34</xdr:row>
      <xdr:rowOff>379095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35</xdr:row>
      <xdr:rowOff>114300</xdr:rowOff>
    </xdr:from>
    <xdr:to>
      <xdr:col>17</xdr:col>
      <xdr:colOff>375920</xdr:colOff>
      <xdr:row>35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35</xdr:row>
      <xdr:rowOff>114300</xdr:rowOff>
    </xdr:from>
    <xdr:to>
      <xdr:col>18</xdr:col>
      <xdr:colOff>375920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35</xdr:row>
      <xdr:rowOff>114300</xdr:rowOff>
    </xdr:from>
    <xdr:to>
      <xdr:col>19</xdr:col>
      <xdr:colOff>375920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35</xdr:row>
      <xdr:rowOff>114300</xdr:rowOff>
    </xdr:from>
    <xdr:to>
      <xdr:col>20</xdr:col>
      <xdr:colOff>375920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35</xdr:row>
      <xdr:rowOff>114300</xdr:rowOff>
    </xdr:from>
    <xdr:to>
      <xdr:col>21</xdr:col>
      <xdr:colOff>375920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35</xdr:row>
      <xdr:rowOff>114300</xdr:rowOff>
    </xdr:from>
    <xdr:to>
      <xdr:col>22</xdr:col>
      <xdr:colOff>375920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35</xdr:row>
      <xdr:rowOff>104775</xdr:rowOff>
    </xdr:from>
    <xdr:to>
      <xdr:col>23</xdr:col>
      <xdr:colOff>385445</xdr:colOff>
      <xdr:row>35</xdr:row>
      <xdr:rowOff>369570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5554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385445</xdr:colOff>
      <xdr:row>36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385445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385445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384893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36</xdr:row>
      <xdr:rowOff>104775</xdr:rowOff>
    </xdr:from>
    <xdr:to>
      <xdr:col>23</xdr:col>
      <xdr:colOff>384893</xdr:colOff>
      <xdr:row>36</xdr:row>
      <xdr:rowOff>379095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6011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385445</xdr:colOff>
      <xdr:row>37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385445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385445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385445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384893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37</xdr:row>
      <xdr:rowOff>104775</xdr:rowOff>
    </xdr:from>
    <xdr:to>
      <xdr:col>23</xdr:col>
      <xdr:colOff>384893</xdr:colOff>
      <xdr:row>37</xdr:row>
      <xdr:rowOff>379095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149225</xdr:colOff>
      <xdr:row>38</xdr:row>
      <xdr:rowOff>114300</xdr:rowOff>
    </xdr:from>
    <xdr:to>
      <xdr:col>17</xdr:col>
      <xdr:colOff>423545</xdr:colOff>
      <xdr:row>38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149225</xdr:colOff>
      <xdr:row>38</xdr:row>
      <xdr:rowOff>114300</xdr:rowOff>
    </xdr:from>
    <xdr:to>
      <xdr:col>18</xdr:col>
      <xdr:colOff>423545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149225</xdr:colOff>
      <xdr:row>38</xdr:row>
      <xdr:rowOff>114300</xdr:rowOff>
    </xdr:from>
    <xdr:to>
      <xdr:col>19</xdr:col>
      <xdr:colOff>423545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38</xdr:row>
      <xdr:rowOff>114300</xdr:rowOff>
    </xdr:from>
    <xdr:to>
      <xdr:col>20</xdr:col>
      <xdr:colOff>404495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38</xdr:row>
      <xdr:rowOff>114300</xdr:rowOff>
    </xdr:from>
    <xdr:to>
      <xdr:col>21</xdr:col>
      <xdr:colOff>404495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38</xdr:row>
      <xdr:rowOff>114300</xdr:rowOff>
    </xdr:from>
    <xdr:to>
      <xdr:col>22</xdr:col>
      <xdr:colOff>403943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38</xdr:row>
      <xdr:rowOff>104775</xdr:rowOff>
    </xdr:from>
    <xdr:to>
      <xdr:col>23</xdr:col>
      <xdr:colOff>384893</xdr:colOff>
      <xdr:row>38</xdr:row>
      <xdr:rowOff>379095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16925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149225</xdr:colOff>
      <xdr:row>39</xdr:row>
      <xdr:rowOff>114300</xdr:rowOff>
    </xdr:from>
    <xdr:to>
      <xdr:col>17</xdr:col>
      <xdr:colOff>423545</xdr:colOff>
      <xdr:row>39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5" y="17392650"/>
          <a:ext cx="274320" cy="274320"/>
        </a:xfrm>
        <a:prstGeom prst="rect">
          <a:avLst/>
        </a:prstGeom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 descr="image nuit étoilée&#10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7</xdr:row>
      <xdr:rowOff>114300</xdr:rowOff>
    </xdr:from>
    <xdr:to>
      <xdr:col>2</xdr:col>
      <xdr:colOff>394970</xdr:colOff>
      <xdr:row>7</xdr:row>
      <xdr:rowOff>388620</xdr:rowOff>
    </xdr:to>
    <xdr:pic>
      <xdr:nvPicPr>
        <xdr:cNvPr id="3" name="Image 2" descr="phase de la lun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7</xdr:row>
      <xdr:rowOff>114300</xdr:rowOff>
    </xdr:from>
    <xdr:to>
      <xdr:col>3</xdr:col>
      <xdr:colOff>394970</xdr:colOff>
      <xdr:row>7</xdr:row>
      <xdr:rowOff>388620</xdr:rowOff>
    </xdr:to>
    <xdr:pic>
      <xdr:nvPicPr>
        <xdr:cNvPr id="4" name="Image 3" descr="phase de la lun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7</xdr:row>
      <xdr:rowOff>114300</xdr:rowOff>
    </xdr:from>
    <xdr:to>
      <xdr:col>4</xdr:col>
      <xdr:colOff>394970</xdr:colOff>
      <xdr:row>7</xdr:row>
      <xdr:rowOff>388620</xdr:rowOff>
    </xdr:to>
    <xdr:pic>
      <xdr:nvPicPr>
        <xdr:cNvPr id="5" name="Image 4" descr="phase de la lun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7</xdr:row>
      <xdr:rowOff>114300</xdr:rowOff>
    </xdr:from>
    <xdr:to>
      <xdr:col>5</xdr:col>
      <xdr:colOff>394970</xdr:colOff>
      <xdr:row>7</xdr:row>
      <xdr:rowOff>388620</xdr:rowOff>
    </xdr:to>
    <xdr:pic>
      <xdr:nvPicPr>
        <xdr:cNvPr id="6" name="Image 5" descr="phase de la lun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7</xdr:row>
      <xdr:rowOff>114300</xdr:rowOff>
    </xdr:from>
    <xdr:to>
      <xdr:col>6</xdr:col>
      <xdr:colOff>394970</xdr:colOff>
      <xdr:row>7</xdr:row>
      <xdr:rowOff>388620</xdr:rowOff>
    </xdr:to>
    <xdr:pic>
      <xdr:nvPicPr>
        <xdr:cNvPr id="7" name="Image 6" descr="phase de la lun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133350</xdr:rowOff>
    </xdr:from>
    <xdr:to>
      <xdr:col>7</xdr:col>
      <xdr:colOff>394970</xdr:colOff>
      <xdr:row>7</xdr:row>
      <xdr:rowOff>407670</xdr:rowOff>
    </xdr:to>
    <xdr:pic>
      <xdr:nvPicPr>
        <xdr:cNvPr id="8" name="Image 7" descr="phase de la lun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8</xdr:row>
      <xdr:rowOff>114300</xdr:rowOff>
    </xdr:from>
    <xdr:to>
      <xdr:col>1</xdr:col>
      <xdr:colOff>394970</xdr:colOff>
      <xdr:row>8</xdr:row>
      <xdr:rowOff>379095</xdr:rowOff>
    </xdr:to>
    <xdr:pic>
      <xdr:nvPicPr>
        <xdr:cNvPr id="9" name="Image 8" descr="phase de la lun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114300</xdr:rowOff>
    </xdr:from>
    <xdr:to>
      <xdr:col>2</xdr:col>
      <xdr:colOff>394970</xdr:colOff>
      <xdr:row>8</xdr:row>
      <xdr:rowOff>388620</xdr:rowOff>
    </xdr:to>
    <xdr:pic>
      <xdr:nvPicPr>
        <xdr:cNvPr id="10" name="Image 9" descr="phase de la lun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8</xdr:row>
      <xdr:rowOff>114300</xdr:rowOff>
    </xdr:from>
    <xdr:to>
      <xdr:col>3</xdr:col>
      <xdr:colOff>394970</xdr:colOff>
      <xdr:row>8</xdr:row>
      <xdr:rowOff>388620</xdr:rowOff>
    </xdr:to>
    <xdr:pic>
      <xdr:nvPicPr>
        <xdr:cNvPr id="11" name="Image 10" descr="phase de la lun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8</xdr:row>
      <xdr:rowOff>114300</xdr:rowOff>
    </xdr:from>
    <xdr:to>
      <xdr:col>4</xdr:col>
      <xdr:colOff>394970</xdr:colOff>
      <xdr:row>8</xdr:row>
      <xdr:rowOff>388620</xdr:rowOff>
    </xdr:to>
    <xdr:pic>
      <xdr:nvPicPr>
        <xdr:cNvPr id="12" name="Image 11" descr="phase de la lun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114300</xdr:rowOff>
    </xdr:from>
    <xdr:to>
      <xdr:col>5</xdr:col>
      <xdr:colOff>394970</xdr:colOff>
      <xdr:row>8</xdr:row>
      <xdr:rowOff>388620</xdr:rowOff>
    </xdr:to>
    <xdr:pic>
      <xdr:nvPicPr>
        <xdr:cNvPr id="13" name="Image 12" descr="phase de la lun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8</xdr:row>
      <xdr:rowOff>114300</xdr:rowOff>
    </xdr:from>
    <xdr:to>
      <xdr:col>6</xdr:col>
      <xdr:colOff>394970</xdr:colOff>
      <xdr:row>8</xdr:row>
      <xdr:rowOff>388620</xdr:rowOff>
    </xdr:to>
    <xdr:pic>
      <xdr:nvPicPr>
        <xdr:cNvPr id="14" name="Image 13" descr="phase de la lun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133350</xdr:rowOff>
    </xdr:from>
    <xdr:to>
      <xdr:col>7</xdr:col>
      <xdr:colOff>394418</xdr:colOff>
      <xdr:row>8</xdr:row>
      <xdr:rowOff>407670</xdr:rowOff>
    </xdr:to>
    <xdr:pic>
      <xdr:nvPicPr>
        <xdr:cNvPr id="15" name="Image 14" descr="phase de la lun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010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9</xdr:row>
      <xdr:rowOff>114300</xdr:rowOff>
    </xdr:from>
    <xdr:to>
      <xdr:col>1</xdr:col>
      <xdr:colOff>394418</xdr:colOff>
      <xdr:row>9</xdr:row>
      <xdr:rowOff>388620</xdr:rowOff>
    </xdr:to>
    <xdr:pic>
      <xdr:nvPicPr>
        <xdr:cNvPr id="16" name="Image 15" descr="phase de la lun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9</xdr:row>
      <xdr:rowOff>114300</xdr:rowOff>
    </xdr:from>
    <xdr:to>
      <xdr:col>2</xdr:col>
      <xdr:colOff>394970</xdr:colOff>
      <xdr:row>9</xdr:row>
      <xdr:rowOff>388620</xdr:rowOff>
    </xdr:to>
    <xdr:pic>
      <xdr:nvPicPr>
        <xdr:cNvPr id="17" name="Image 16" descr="phase de la lun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9</xdr:row>
      <xdr:rowOff>114300</xdr:rowOff>
    </xdr:from>
    <xdr:to>
      <xdr:col>3</xdr:col>
      <xdr:colOff>394970</xdr:colOff>
      <xdr:row>9</xdr:row>
      <xdr:rowOff>388620</xdr:rowOff>
    </xdr:to>
    <xdr:pic>
      <xdr:nvPicPr>
        <xdr:cNvPr id="18" name="Image 17" descr="phase de la lun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</xdr:row>
      <xdr:rowOff>114300</xdr:rowOff>
    </xdr:from>
    <xdr:to>
      <xdr:col>4</xdr:col>
      <xdr:colOff>394970</xdr:colOff>
      <xdr:row>9</xdr:row>
      <xdr:rowOff>388620</xdr:rowOff>
    </xdr:to>
    <xdr:pic>
      <xdr:nvPicPr>
        <xdr:cNvPr id="19" name="Image 18" descr="phase de la lun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9</xdr:row>
      <xdr:rowOff>114300</xdr:rowOff>
    </xdr:from>
    <xdr:to>
      <xdr:col>5</xdr:col>
      <xdr:colOff>394970</xdr:colOff>
      <xdr:row>9</xdr:row>
      <xdr:rowOff>388620</xdr:rowOff>
    </xdr:to>
    <xdr:pic>
      <xdr:nvPicPr>
        <xdr:cNvPr id="20" name="Image 19" descr="phase de la lun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9</xdr:row>
      <xdr:rowOff>114300</xdr:rowOff>
    </xdr:from>
    <xdr:to>
      <xdr:col>6</xdr:col>
      <xdr:colOff>394970</xdr:colOff>
      <xdr:row>9</xdr:row>
      <xdr:rowOff>388620</xdr:rowOff>
    </xdr:to>
    <xdr:pic>
      <xdr:nvPicPr>
        <xdr:cNvPr id="21" name="Image 20" descr="phase de la lun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133350</xdr:rowOff>
    </xdr:from>
    <xdr:to>
      <xdr:col>7</xdr:col>
      <xdr:colOff>394418</xdr:colOff>
      <xdr:row>9</xdr:row>
      <xdr:rowOff>407670</xdr:rowOff>
    </xdr:to>
    <xdr:pic>
      <xdr:nvPicPr>
        <xdr:cNvPr id="22" name="Image 21" descr="phase de la lun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67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10</xdr:row>
      <xdr:rowOff>114300</xdr:rowOff>
    </xdr:from>
    <xdr:to>
      <xdr:col>1</xdr:col>
      <xdr:colOff>394418</xdr:colOff>
      <xdr:row>10</xdr:row>
      <xdr:rowOff>388620</xdr:rowOff>
    </xdr:to>
    <xdr:pic>
      <xdr:nvPicPr>
        <xdr:cNvPr id="23" name="Image 22" descr="phase de la lun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10</xdr:row>
      <xdr:rowOff>114300</xdr:rowOff>
    </xdr:from>
    <xdr:to>
      <xdr:col>2</xdr:col>
      <xdr:colOff>394970</xdr:colOff>
      <xdr:row>10</xdr:row>
      <xdr:rowOff>388620</xdr:rowOff>
    </xdr:to>
    <xdr:pic>
      <xdr:nvPicPr>
        <xdr:cNvPr id="24" name="Image 23" descr="phase de la lun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10</xdr:row>
      <xdr:rowOff>114300</xdr:rowOff>
    </xdr:from>
    <xdr:to>
      <xdr:col>3</xdr:col>
      <xdr:colOff>394970</xdr:colOff>
      <xdr:row>10</xdr:row>
      <xdr:rowOff>388620</xdr:rowOff>
    </xdr:to>
    <xdr:pic>
      <xdr:nvPicPr>
        <xdr:cNvPr id="25" name="Image 24" descr="phase de la lun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10</xdr:row>
      <xdr:rowOff>114300</xdr:rowOff>
    </xdr:from>
    <xdr:to>
      <xdr:col>4</xdr:col>
      <xdr:colOff>394970</xdr:colOff>
      <xdr:row>10</xdr:row>
      <xdr:rowOff>388620</xdr:rowOff>
    </xdr:to>
    <xdr:pic>
      <xdr:nvPicPr>
        <xdr:cNvPr id="26" name="Image 25" descr="phase de la lun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10</xdr:row>
      <xdr:rowOff>114300</xdr:rowOff>
    </xdr:from>
    <xdr:to>
      <xdr:col>5</xdr:col>
      <xdr:colOff>394970</xdr:colOff>
      <xdr:row>10</xdr:row>
      <xdr:rowOff>388620</xdr:rowOff>
    </xdr:to>
    <xdr:pic>
      <xdr:nvPicPr>
        <xdr:cNvPr id="27" name="Image 26" descr="phase de la lun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10</xdr:row>
      <xdr:rowOff>114300</xdr:rowOff>
    </xdr:from>
    <xdr:to>
      <xdr:col>6</xdr:col>
      <xdr:colOff>394970</xdr:colOff>
      <xdr:row>10</xdr:row>
      <xdr:rowOff>388620</xdr:rowOff>
    </xdr:to>
    <xdr:pic>
      <xdr:nvPicPr>
        <xdr:cNvPr id="28" name="Image 27" descr="phase de la lune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133350</xdr:rowOff>
    </xdr:from>
    <xdr:to>
      <xdr:col>7</xdr:col>
      <xdr:colOff>394418</xdr:colOff>
      <xdr:row>10</xdr:row>
      <xdr:rowOff>407670</xdr:rowOff>
    </xdr:to>
    <xdr:pic>
      <xdr:nvPicPr>
        <xdr:cNvPr id="29" name="Image 28" descr="phase de la lune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2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11</xdr:row>
      <xdr:rowOff>114300</xdr:rowOff>
    </xdr:from>
    <xdr:to>
      <xdr:col>1</xdr:col>
      <xdr:colOff>394418</xdr:colOff>
      <xdr:row>11</xdr:row>
      <xdr:rowOff>388620</xdr:rowOff>
    </xdr:to>
    <xdr:pic>
      <xdr:nvPicPr>
        <xdr:cNvPr id="30" name="Image 29" descr="phase de la lune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11</xdr:row>
      <xdr:rowOff>114300</xdr:rowOff>
    </xdr:from>
    <xdr:to>
      <xdr:col>2</xdr:col>
      <xdr:colOff>394970</xdr:colOff>
      <xdr:row>11</xdr:row>
      <xdr:rowOff>388620</xdr:rowOff>
    </xdr:to>
    <xdr:pic>
      <xdr:nvPicPr>
        <xdr:cNvPr id="31" name="Image 30" descr="phase de la lune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11</xdr:row>
      <xdr:rowOff>114300</xdr:rowOff>
    </xdr:from>
    <xdr:to>
      <xdr:col>3</xdr:col>
      <xdr:colOff>394970</xdr:colOff>
      <xdr:row>11</xdr:row>
      <xdr:rowOff>388620</xdr:rowOff>
    </xdr:to>
    <xdr:pic>
      <xdr:nvPicPr>
        <xdr:cNvPr id="32" name="Image 31" descr="phase de la lune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11</xdr:row>
      <xdr:rowOff>114300</xdr:rowOff>
    </xdr:from>
    <xdr:to>
      <xdr:col>4</xdr:col>
      <xdr:colOff>394970</xdr:colOff>
      <xdr:row>11</xdr:row>
      <xdr:rowOff>388620</xdr:rowOff>
    </xdr:to>
    <xdr:pic>
      <xdr:nvPicPr>
        <xdr:cNvPr id="33" name="Image 32" descr="phase de la lune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4" name="Image 33" descr="phase de la lun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5" name="Image 34" descr="phase de la lun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123825</xdr:rowOff>
    </xdr:from>
    <xdr:to>
      <xdr:col>15</xdr:col>
      <xdr:colOff>394970</xdr:colOff>
      <xdr:row>7</xdr:row>
      <xdr:rowOff>398145</xdr:rowOff>
    </xdr:to>
    <xdr:pic>
      <xdr:nvPicPr>
        <xdr:cNvPr id="36" name="Image 35" descr="phase de la lun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7" name="Image 36" descr="phase de la lun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8" name="Image 37" descr="phase de la lun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379095</xdr:rowOff>
    </xdr:to>
    <xdr:pic>
      <xdr:nvPicPr>
        <xdr:cNvPr id="39" name="Image 38" descr="phase de la lun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0" name="Image 39" descr="phase de la lune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1" name="Image 40" descr="phase de la lune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2" name="Image 41" descr="phase de la lune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123825</xdr:rowOff>
    </xdr:from>
    <xdr:to>
      <xdr:col>15</xdr:col>
      <xdr:colOff>394970</xdr:colOff>
      <xdr:row>8</xdr:row>
      <xdr:rowOff>398145</xdr:rowOff>
    </xdr:to>
    <xdr:pic>
      <xdr:nvPicPr>
        <xdr:cNvPr id="43" name="Image 42" descr="phase de la lune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4" name="Image 43" descr="phase de la lune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394418</xdr:colOff>
      <xdr:row>9</xdr:row>
      <xdr:rowOff>388620</xdr:rowOff>
    </xdr:to>
    <xdr:pic>
      <xdr:nvPicPr>
        <xdr:cNvPr id="45" name="Image 44" descr="phase de la lune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394418</xdr:colOff>
      <xdr:row>9</xdr:row>
      <xdr:rowOff>388620</xdr:rowOff>
    </xdr:to>
    <xdr:pic>
      <xdr:nvPicPr>
        <xdr:cNvPr id="46" name="Image 45" descr="phase de la lun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7" name="Image 46" descr="phase de la lune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8" name="Image 47" descr="phase de la lune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49" name="Image 48" descr="phase de la lune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123825</xdr:rowOff>
    </xdr:from>
    <xdr:to>
      <xdr:col>15</xdr:col>
      <xdr:colOff>394970</xdr:colOff>
      <xdr:row>9</xdr:row>
      <xdr:rowOff>398145</xdr:rowOff>
    </xdr:to>
    <xdr:pic>
      <xdr:nvPicPr>
        <xdr:cNvPr id="50" name="Image 49" descr="phase de la lune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1" name="Image 50" descr="phase de la lune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394418</xdr:colOff>
      <xdr:row>10</xdr:row>
      <xdr:rowOff>388620</xdr:rowOff>
    </xdr:to>
    <xdr:pic>
      <xdr:nvPicPr>
        <xdr:cNvPr id="52" name="Image 51" descr="phase de la lun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394418</xdr:colOff>
      <xdr:row>10</xdr:row>
      <xdr:rowOff>388620</xdr:rowOff>
    </xdr:to>
    <xdr:pic>
      <xdr:nvPicPr>
        <xdr:cNvPr id="53" name="Image 52" descr="phase de la lun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4" name="Image 53" descr="phase de la lun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5" name="Image 54" descr="phase de la lun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6" name="Image 55" descr="phase de la lun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123825</xdr:rowOff>
    </xdr:from>
    <xdr:to>
      <xdr:col>15</xdr:col>
      <xdr:colOff>394970</xdr:colOff>
      <xdr:row>10</xdr:row>
      <xdr:rowOff>398145</xdr:rowOff>
    </xdr:to>
    <xdr:pic>
      <xdr:nvPicPr>
        <xdr:cNvPr id="57" name="Image 56" descr="phase de la lun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8" name="Image 57" descr="phase de la lune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394418</xdr:colOff>
      <xdr:row>11</xdr:row>
      <xdr:rowOff>388620</xdr:rowOff>
    </xdr:to>
    <xdr:pic>
      <xdr:nvPicPr>
        <xdr:cNvPr id="59" name="Image 58" descr="phase de la lune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394418</xdr:colOff>
      <xdr:row>11</xdr:row>
      <xdr:rowOff>388620</xdr:rowOff>
    </xdr:to>
    <xdr:pic>
      <xdr:nvPicPr>
        <xdr:cNvPr id="60" name="Image 59" descr="phase de la lune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1" name="Image 60" descr="phase de la lune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2" name="Image 61" descr="phase de la lune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3" name="Image 62" descr="phase de la lune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7</xdr:row>
      <xdr:rowOff>123825</xdr:rowOff>
    </xdr:from>
    <xdr:to>
      <xdr:col>23</xdr:col>
      <xdr:colOff>423545</xdr:colOff>
      <xdr:row>7</xdr:row>
      <xdr:rowOff>398145</xdr:rowOff>
    </xdr:to>
    <xdr:pic>
      <xdr:nvPicPr>
        <xdr:cNvPr id="64" name="Image 63" descr="phase de la lune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385445</xdr:colOff>
      <xdr:row>8</xdr:row>
      <xdr:rowOff>388620</xdr:rowOff>
    </xdr:to>
    <xdr:pic>
      <xdr:nvPicPr>
        <xdr:cNvPr id="65" name="Image 64" descr="phase de la lune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388620</xdr:rowOff>
    </xdr:to>
    <xdr:pic>
      <xdr:nvPicPr>
        <xdr:cNvPr id="66" name="Image 65" descr="phase de la lune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7" name="Image 66" descr="phase de la lune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8" name="Image 67" descr="phase de la lun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379095</xdr:rowOff>
    </xdr:to>
    <xdr:pic>
      <xdr:nvPicPr>
        <xdr:cNvPr id="69" name="Image 68" descr="phase de la lun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0" name="Image 69" descr="phase de la lun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8</xdr:row>
      <xdr:rowOff>123825</xdr:rowOff>
    </xdr:from>
    <xdr:to>
      <xdr:col>23</xdr:col>
      <xdr:colOff>423545</xdr:colOff>
      <xdr:row>8</xdr:row>
      <xdr:rowOff>398145</xdr:rowOff>
    </xdr:to>
    <xdr:pic>
      <xdr:nvPicPr>
        <xdr:cNvPr id="71" name="Image 70" descr="phase de la lun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385445</xdr:colOff>
      <xdr:row>9</xdr:row>
      <xdr:rowOff>388620</xdr:rowOff>
    </xdr:to>
    <xdr:pic>
      <xdr:nvPicPr>
        <xdr:cNvPr id="72" name="Image 71" descr="phase de la lune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385445</xdr:colOff>
      <xdr:row>9</xdr:row>
      <xdr:rowOff>388620</xdr:rowOff>
    </xdr:to>
    <xdr:pic>
      <xdr:nvPicPr>
        <xdr:cNvPr id="73" name="Image 72" descr="phase de la lune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4" name="Image 73" descr="phase de la lune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384893</xdr:colOff>
      <xdr:row>9</xdr:row>
      <xdr:rowOff>388620</xdr:rowOff>
    </xdr:to>
    <xdr:pic>
      <xdr:nvPicPr>
        <xdr:cNvPr id="75" name="Image 74" descr="phase de la lun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384893</xdr:colOff>
      <xdr:row>9</xdr:row>
      <xdr:rowOff>388620</xdr:rowOff>
    </xdr:to>
    <xdr:pic>
      <xdr:nvPicPr>
        <xdr:cNvPr id="76" name="Image 75" descr="phase de la lun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385445</xdr:colOff>
      <xdr:row>9</xdr:row>
      <xdr:rowOff>388620</xdr:rowOff>
    </xdr:to>
    <xdr:pic>
      <xdr:nvPicPr>
        <xdr:cNvPr id="77" name="Image 76" descr="phase de la lun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9</xdr:row>
      <xdr:rowOff>123825</xdr:rowOff>
    </xdr:from>
    <xdr:to>
      <xdr:col>23</xdr:col>
      <xdr:colOff>423545</xdr:colOff>
      <xdr:row>9</xdr:row>
      <xdr:rowOff>398145</xdr:rowOff>
    </xdr:to>
    <xdr:pic>
      <xdr:nvPicPr>
        <xdr:cNvPr id="78" name="Image 77" descr="phase de la lune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388620</xdr:rowOff>
    </xdr:to>
    <xdr:pic>
      <xdr:nvPicPr>
        <xdr:cNvPr id="79" name="Image 78" descr="phase de la lun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385445</xdr:colOff>
      <xdr:row>10</xdr:row>
      <xdr:rowOff>388620</xdr:rowOff>
    </xdr:to>
    <xdr:pic>
      <xdr:nvPicPr>
        <xdr:cNvPr id="80" name="Image 79" descr="phase de la lun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384893</xdr:colOff>
      <xdr:row>10</xdr:row>
      <xdr:rowOff>388620</xdr:rowOff>
    </xdr:to>
    <xdr:pic>
      <xdr:nvPicPr>
        <xdr:cNvPr id="81" name="Image 80" descr="phase de la lun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384893</xdr:colOff>
      <xdr:row>10</xdr:row>
      <xdr:rowOff>388620</xdr:rowOff>
    </xdr:to>
    <xdr:pic>
      <xdr:nvPicPr>
        <xdr:cNvPr id="82" name="Image 81" descr="phase de la lun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3" name="Image 82" descr="phase de la lun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4" name="Image 83" descr="phase de la lun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10</xdr:row>
      <xdr:rowOff>123825</xdr:rowOff>
    </xdr:from>
    <xdr:to>
      <xdr:col>23</xdr:col>
      <xdr:colOff>423545</xdr:colOff>
      <xdr:row>10</xdr:row>
      <xdr:rowOff>398145</xdr:rowOff>
    </xdr:to>
    <xdr:pic>
      <xdr:nvPicPr>
        <xdr:cNvPr id="85" name="Image 84" descr="phase de la lune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385445</xdr:colOff>
      <xdr:row>11</xdr:row>
      <xdr:rowOff>388620</xdr:rowOff>
    </xdr:to>
    <xdr:pic>
      <xdr:nvPicPr>
        <xdr:cNvPr id="86" name="Image 85" descr="phase de la lune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385445</xdr:colOff>
      <xdr:row>11</xdr:row>
      <xdr:rowOff>388620</xdr:rowOff>
    </xdr:to>
    <xdr:pic>
      <xdr:nvPicPr>
        <xdr:cNvPr id="87" name="Image 86" descr="phase de la lune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384893</xdr:colOff>
      <xdr:row>11</xdr:row>
      <xdr:rowOff>388620</xdr:rowOff>
    </xdr:to>
    <xdr:pic>
      <xdr:nvPicPr>
        <xdr:cNvPr id="88" name="Image 87" descr="phase de la lune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384893</xdr:colOff>
      <xdr:row>11</xdr:row>
      <xdr:rowOff>388620</xdr:rowOff>
    </xdr:to>
    <xdr:pic>
      <xdr:nvPicPr>
        <xdr:cNvPr id="89" name="Image 88" descr="phase de la lune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0" name="Image 89" descr="phase de la lune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385445</xdr:colOff>
      <xdr:row>11</xdr:row>
      <xdr:rowOff>388620</xdr:rowOff>
    </xdr:to>
    <xdr:pic>
      <xdr:nvPicPr>
        <xdr:cNvPr id="91" name="Image 90" descr="phase de la lune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149225</xdr:colOff>
      <xdr:row>11</xdr:row>
      <xdr:rowOff>123825</xdr:rowOff>
    </xdr:from>
    <xdr:to>
      <xdr:col>23</xdr:col>
      <xdr:colOff>423545</xdr:colOff>
      <xdr:row>11</xdr:row>
      <xdr:rowOff>398145</xdr:rowOff>
    </xdr:to>
    <xdr:pic>
      <xdr:nvPicPr>
        <xdr:cNvPr id="92" name="Image 91" descr="phase de la lune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77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16</xdr:row>
      <xdr:rowOff>114300</xdr:rowOff>
    </xdr:from>
    <xdr:to>
      <xdr:col>1</xdr:col>
      <xdr:colOff>385445</xdr:colOff>
      <xdr:row>16</xdr:row>
      <xdr:rowOff>388620</xdr:rowOff>
    </xdr:to>
    <xdr:pic>
      <xdr:nvPicPr>
        <xdr:cNvPr id="93" name="Image 92" descr="phase de la lune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16</xdr:row>
      <xdr:rowOff>114300</xdr:rowOff>
    </xdr:from>
    <xdr:to>
      <xdr:col>2</xdr:col>
      <xdr:colOff>385445</xdr:colOff>
      <xdr:row>16</xdr:row>
      <xdr:rowOff>388620</xdr:rowOff>
    </xdr:to>
    <xdr:pic>
      <xdr:nvPicPr>
        <xdr:cNvPr id="94" name="Image 93" descr="phase de la lune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16</xdr:row>
      <xdr:rowOff>114300</xdr:rowOff>
    </xdr:from>
    <xdr:to>
      <xdr:col>3</xdr:col>
      <xdr:colOff>385445</xdr:colOff>
      <xdr:row>16</xdr:row>
      <xdr:rowOff>388620</xdr:rowOff>
    </xdr:to>
    <xdr:pic>
      <xdr:nvPicPr>
        <xdr:cNvPr id="95" name="Image 94" descr="phase de la lune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16</xdr:row>
      <xdr:rowOff>114300</xdr:rowOff>
    </xdr:from>
    <xdr:to>
      <xdr:col>4</xdr:col>
      <xdr:colOff>385445</xdr:colOff>
      <xdr:row>16</xdr:row>
      <xdr:rowOff>388620</xdr:rowOff>
    </xdr:to>
    <xdr:pic>
      <xdr:nvPicPr>
        <xdr:cNvPr id="96" name="Image 95" descr="phase de la lune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16</xdr:row>
      <xdr:rowOff>114300</xdr:rowOff>
    </xdr:from>
    <xdr:to>
      <xdr:col>5</xdr:col>
      <xdr:colOff>385445</xdr:colOff>
      <xdr:row>16</xdr:row>
      <xdr:rowOff>388620</xdr:rowOff>
    </xdr:to>
    <xdr:pic>
      <xdr:nvPicPr>
        <xdr:cNvPr id="97" name="Image 96" descr="phase de la lune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16</xdr:row>
      <xdr:rowOff>114300</xdr:rowOff>
    </xdr:from>
    <xdr:to>
      <xdr:col>6</xdr:col>
      <xdr:colOff>385445</xdr:colOff>
      <xdr:row>16</xdr:row>
      <xdr:rowOff>388620</xdr:rowOff>
    </xdr:to>
    <xdr:pic>
      <xdr:nvPicPr>
        <xdr:cNvPr id="98" name="Image 97" descr="phase de la lune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114300</xdr:rowOff>
    </xdr:from>
    <xdr:to>
      <xdr:col>7</xdr:col>
      <xdr:colOff>385445</xdr:colOff>
      <xdr:row>16</xdr:row>
      <xdr:rowOff>379095</xdr:rowOff>
    </xdr:to>
    <xdr:pic>
      <xdr:nvPicPr>
        <xdr:cNvPr id="99" name="Image 98" descr="phase de la lune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394970</xdr:colOff>
      <xdr:row>17</xdr:row>
      <xdr:rowOff>388620</xdr:rowOff>
    </xdr:to>
    <xdr:pic>
      <xdr:nvPicPr>
        <xdr:cNvPr id="100" name="Image 99" descr="phase de la lune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394970</xdr:colOff>
      <xdr:row>17</xdr:row>
      <xdr:rowOff>388620</xdr:rowOff>
    </xdr:to>
    <xdr:pic>
      <xdr:nvPicPr>
        <xdr:cNvPr id="101" name="Image 100" descr="phase de la lune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394970</xdr:colOff>
      <xdr:row>17</xdr:row>
      <xdr:rowOff>388620</xdr:rowOff>
    </xdr:to>
    <xdr:pic>
      <xdr:nvPicPr>
        <xdr:cNvPr id="102" name="Image 101" descr="phase de la lune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103" name="Image 102" descr="phase de la lune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394418</xdr:colOff>
      <xdr:row>17</xdr:row>
      <xdr:rowOff>388620</xdr:rowOff>
    </xdr:to>
    <xdr:pic>
      <xdr:nvPicPr>
        <xdr:cNvPr id="104" name="Image 103" descr="phase de la lune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394418</xdr:colOff>
      <xdr:row>17</xdr:row>
      <xdr:rowOff>388620</xdr:rowOff>
    </xdr:to>
    <xdr:pic>
      <xdr:nvPicPr>
        <xdr:cNvPr id="105" name="Image 104" descr="phase de la lune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114300</xdr:rowOff>
    </xdr:from>
    <xdr:to>
      <xdr:col>7</xdr:col>
      <xdr:colOff>385445</xdr:colOff>
      <xdr:row>17</xdr:row>
      <xdr:rowOff>388620</xdr:rowOff>
    </xdr:to>
    <xdr:pic>
      <xdr:nvPicPr>
        <xdr:cNvPr id="106" name="Image 105" descr="phase de la lune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394970</xdr:colOff>
      <xdr:row>18</xdr:row>
      <xdr:rowOff>388620</xdr:rowOff>
    </xdr:to>
    <xdr:pic>
      <xdr:nvPicPr>
        <xdr:cNvPr id="107" name="Image 106" descr="phase de la lune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394970</xdr:colOff>
      <xdr:row>18</xdr:row>
      <xdr:rowOff>388620</xdr:rowOff>
    </xdr:to>
    <xdr:pic>
      <xdr:nvPicPr>
        <xdr:cNvPr id="108" name="Image 107" descr="phase de la lune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394970</xdr:colOff>
      <xdr:row>18</xdr:row>
      <xdr:rowOff>388620</xdr:rowOff>
    </xdr:to>
    <xdr:pic>
      <xdr:nvPicPr>
        <xdr:cNvPr id="109" name="Image 108" descr="phase de la lune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10" name="Image 109" descr="phase de la lune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394418</xdr:colOff>
      <xdr:row>18</xdr:row>
      <xdr:rowOff>388620</xdr:rowOff>
    </xdr:to>
    <xdr:pic>
      <xdr:nvPicPr>
        <xdr:cNvPr id="111" name="Image 110" descr="phase de la lune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394418</xdr:colOff>
      <xdr:row>18</xdr:row>
      <xdr:rowOff>388620</xdr:rowOff>
    </xdr:to>
    <xdr:pic>
      <xdr:nvPicPr>
        <xdr:cNvPr id="112" name="Image 111" descr="phase de la lune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114300</xdr:rowOff>
    </xdr:from>
    <xdr:to>
      <xdr:col>7</xdr:col>
      <xdr:colOff>385445</xdr:colOff>
      <xdr:row>18</xdr:row>
      <xdr:rowOff>388620</xdr:rowOff>
    </xdr:to>
    <xdr:pic>
      <xdr:nvPicPr>
        <xdr:cNvPr id="113" name="Image 112" descr="phase de la lune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19</xdr:row>
      <xdr:rowOff>114300</xdr:rowOff>
    </xdr:from>
    <xdr:to>
      <xdr:col>1</xdr:col>
      <xdr:colOff>404495</xdr:colOff>
      <xdr:row>19</xdr:row>
      <xdr:rowOff>388620</xdr:rowOff>
    </xdr:to>
    <xdr:pic>
      <xdr:nvPicPr>
        <xdr:cNvPr id="114" name="Image 113" descr="phase de la lun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19</xdr:row>
      <xdr:rowOff>114300</xdr:rowOff>
    </xdr:from>
    <xdr:to>
      <xdr:col>2</xdr:col>
      <xdr:colOff>404495</xdr:colOff>
      <xdr:row>19</xdr:row>
      <xdr:rowOff>388620</xdr:rowOff>
    </xdr:to>
    <xdr:pic>
      <xdr:nvPicPr>
        <xdr:cNvPr id="115" name="Image 114" descr="phase de la lun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19</xdr:row>
      <xdr:rowOff>114300</xdr:rowOff>
    </xdr:from>
    <xdr:to>
      <xdr:col>3</xdr:col>
      <xdr:colOff>404495</xdr:colOff>
      <xdr:row>19</xdr:row>
      <xdr:rowOff>388620</xdr:rowOff>
    </xdr:to>
    <xdr:pic>
      <xdr:nvPicPr>
        <xdr:cNvPr id="116" name="Image 115" descr="phase de la lun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19</xdr:row>
      <xdr:rowOff>114300</xdr:rowOff>
    </xdr:from>
    <xdr:to>
      <xdr:col>4</xdr:col>
      <xdr:colOff>404495</xdr:colOff>
      <xdr:row>19</xdr:row>
      <xdr:rowOff>388620</xdr:rowOff>
    </xdr:to>
    <xdr:pic>
      <xdr:nvPicPr>
        <xdr:cNvPr id="117" name="Image 116" descr="phase de la lun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19</xdr:row>
      <xdr:rowOff>114300</xdr:rowOff>
    </xdr:from>
    <xdr:to>
      <xdr:col>5</xdr:col>
      <xdr:colOff>403943</xdr:colOff>
      <xdr:row>19</xdr:row>
      <xdr:rowOff>388620</xdr:rowOff>
    </xdr:to>
    <xdr:pic>
      <xdr:nvPicPr>
        <xdr:cNvPr id="118" name="Image 117" descr="phase de la lune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19</xdr:row>
      <xdr:rowOff>114300</xdr:rowOff>
    </xdr:from>
    <xdr:to>
      <xdr:col>6</xdr:col>
      <xdr:colOff>403943</xdr:colOff>
      <xdr:row>19</xdr:row>
      <xdr:rowOff>388620</xdr:rowOff>
    </xdr:to>
    <xdr:pic>
      <xdr:nvPicPr>
        <xdr:cNvPr id="119" name="Image 118" descr="phase de la lune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114300</xdr:rowOff>
    </xdr:from>
    <xdr:to>
      <xdr:col>7</xdr:col>
      <xdr:colOff>385445</xdr:colOff>
      <xdr:row>19</xdr:row>
      <xdr:rowOff>388620</xdr:rowOff>
    </xdr:to>
    <xdr:pic>
      <xdr:nvPicPr>
        <xdr:cNvPr id="120" name="Image 119" descr="phase de la lun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20</xdr:row>
      <xdr:rowOff>114300</xdr:rowOff>
    </xdr:from>
    <xdr:to>
      <xdr:col>1</xdr:col>
      <xdr:colOff>404495</xdr:colOff>
      <xdr:row>20</xdr:row>
      <xdr:rowOff>388620</xdr:rowOff>
    </xdr:to>
    <xdr:pic>
      <xdr:nvPicPr>
        <xdr:cNvPr id="121" name="Image 120" descr="phase de la lun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20</xdr:row>
      <xdr:rowOff>114300</xdr:rowOff>
    </xdr:from>
    <xdr:to>
      <xdr:col>2</xdr:col>
      <xdr:colOff>404495</xdr:colOff>
      <xdr:row>20</xdr:row>
      <xdr:rowOff>388620</xdr:rowOff>
    </xdr:to>
    <xdr:pic>
      <xdr:nvPicPr>
        <xdr:cNvPr id="122" name="Image 121" descr="phase de la lun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385445</xdr:colOff>
      <xdr:row>16</xdr:row>
      <xdr:rowOff>388620</xdr:rowOff>
    </xdr:to>
    <xdr:pic>
      <xdr:nvPicPr>
        <xdr:cNvPr id="123" name="Image 122" descr="phase de la lun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385445</xdr:colOff>
      <xdr:row>16</xdr:row>
      <xdr:rowOff>388620</xdr:rowOff>
    </xdr:to>
    <xdr:pic>
      <xdr:nvPicPr>
        <xdr:cNvPr id="124" name="Image 123" descr="phase de la lun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5" name="Image 124" descr="phase de la lun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388620</xdr:rowOff>
    </xdr:to>
    <xdr:pic>
      <xdr:nvPicPr>
        <xdr:cNvPr id="126" name="Image 125" descr="phase de la lun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123825</xdr:rowOff>
    </xdr:from>
    <xdr:to>
      <xdr:col>15</xdr:col>
      <xdr:colOff>404495</xdr:colOff>
      <xdr:row>16</xdr:row>
      <xdr:rowOff>398145</xdr:rowOff>
    </xdr:to>
    <xdr:pic>
      <xdr:nvPicPr>
        <xdr:cNvPr id="127" name="Image 126" descr="phase de la lun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379095</xdr:rowOff>
    </xdr:to>
    <xdr:pic>
      <xdr:nvPicPr>
        <xdr:cNvPr id="128" name="Image 127" descr="phase de la lun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29" name="Image 128" descr="phase de la lune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0" name="Image 129" descr="phase de la lun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388620</xdr:rowOff>
    </xdr:to>
    <xdr:pic>
      <xdr:nvPicPr>
        <xdr:cNvPr id="131" name="Image 130" descr="phase de la lun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2" name="Image 131" descr="phase de la lun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384893</xdr:colOff>
      <xdr:row>17</xdr:row>
      <xdr:rowOff>388620</xdr:rowOff>
    </xdr:to>
    <xdr:pic>
      <xdr:nvPicPr>
        <xdr:cNvPr id="133" name="Image 132" descr="phase de la lun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123825</xdr:rowOff>
    </xdr:from>
    <xdr:to>
      <xdr:col>15</xdr:col>
      <xdr:colOff>403943</xdr:colOff>
      <xdr:row>17</xdr:row>
      <xdr:rowOff>398145</xdr:rowOff>
    </xdr:to>
    <xdr:pic>
      <xdr:nvPicPr>
        <xdr:cNvPr id="134" name="Image 133" descr="phase de la lun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58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5" name="Image 134" descr="phase de la lun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6" name="Image 135" descr="phase de la lune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385445</xdr:colOff>
      <xdr:row>18</xdr:row>
      <xdr:rowOff>388620</xdr:rowOff>
    </xdr:to>
    <xdr:pic>
      <xdr:nvPicPr>
        <xdr:cNvPr id="137" name="Image 136" descr="phase de la lun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385445</xdr:colOff>
      <xdr:row>18</xdr:row>
      <xdr:rowOff>388620</xdr:rowOff>
    </xdr:to>
    <xdr:pic>
      <xdr:nvPicPr>
        <xdr:cNvPr id="138" name="Image 137" descr="phase de la lun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385445</xdr:colOff>
      <xdr:row>18</xdr:row>
      <xdr:rowOff>388620</xdr:rowOff>
    </xdr:to>
    <xdr:pic>
      <xdr:nvPicPr>
        <xdr:cNvPr id="139" name="Image 138" descr="phase de la lun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384893</xdr:colOff>
      <xdr:row>18</xdr:row>
      <xdr:rowOff>388620</xdr:rowOff>
    </xdr:to>
    <xdr:pic>
      <xdr:nvPicPr>
        <xdr:cNvPr id="140" name="Image 139" descr="phase de la lun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123825</xdr:rowOff>
    </xdr:from>
    <xdr:to>
      <xdr:col>15</xdr:col>
      <xdr:colOff>403943</xdr:colOff>
      <xdr:row>18</xdr:row>
      <xdr:rowOff>398145</xdr:rowOff>
    </xdr:to>
    <xdr:pic>
      <xdr:nvPicPr>
        <xdr:cNvPr id="141" name="Image 140" descr="phase de la lun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2" name="Image 141" descr="phase de la lun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3" name="Image 142" descr="phase de la lune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4" name="Image 143" descr="phase de la lune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385445</xdr:colOff>
      <xdr:row>19</xdr:row>
      <xdr:rowOff>388620</xdr:rowOff>
    </xdr:to>
    <xdr:pic>
      <xdr:nvPicPr>
        <xdr:cNvPr id="145" name="Image 144" descr="phase de la lune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385445</xdr:colOff>
      <xdr:row>19</xdr:row>
      <xdr:rowOff>388620</xdr:rowOff>
    </xdr:to>
    <xdr:pic>
      <xdr:nvPicPr>
        <xdr:cNvPr id="146" name="Image 145" descr="phase de la lune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7" name="Image 146" descr="phase de la lune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123825</xdr:rowOff>
    </xdr:from>
    <xdr:to>
      <xdr:col>15</xdr:col>
      <xdr:colOff>403943</xdr:colOff>
      <xdr:row>19</xdr:row>
      <xdr:rowOff>398145</xdr:rowOff>
    </xdr:to>
    <xdr:pic>
      <xdr:nvPicPr>
        <xdr:cNvPr id="148" name="Image 147" descr="phase de la lune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384893</xdr:colOff>
      <xdr:row>20</xdr:row>
      <xdr:rowOff>388620</xdr:rowOff>
    </xdr:to>
    <xdr:pic>
      <xdr:nvPicPr>
        <xdr:cNvPr id="149" name="Image 148" descr="phase de la lune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0" name="Image 149" descr="phase de la lune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1" name="Image 150" descr="phase de la lune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385445</xdr:colOff>
      <xdr:row>20</xdr:row>
      <xdr:rowOff>388620</xdr:rowOff>
    </xdr:to>
    <xdr:pic>
      <xdr:nvPicPr>
        <xdr:cNvPr id="152" name="Image 151" descr="phase de la lune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20</xdr:row>
      <xdr:rowOff>114300</xdr:rowOff>
    </xdr:from>
    <xdr:to>
      <xdr:col>13</xdr:col>
      <xdr:colOff>385445</xdr:colOff>
      <xdr:row>20</xdr:row>
      <xdr:rowOff>388620</xdr:rowOff>
    </xdr:to>
    <xdr:pic>
      <xdr:nvPicPr>
        <xdr:cNvPr id="153" name="Image 152" descr="phase de la lune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4" name="Image 153" descr="phase de la lune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104775</xdr:rowOff>
    </xdr:from>
    <xdr:to>
      <xdr:col>23</xdr:col>
      <xdr:colOff>394970</xdr:colOff>
      <xdr:row>16</xdr:row>
      <xdr:rowOff>379095</xdr:rowOff>
    </xdr:to>
    <xdr:pic>
      <xdr:nvPicPr>
        <xdr:cNvPr id="155" name="Image 154" descr="phase de la lune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56" name="Image 155" descr="phase de la lune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394970</xdr:colOff>
      <xdr:row>17</xdr:row>
      <xdr:rowOff>388620</xdr:rowOff>
    </xdr:to>
    <xdr:pic>
      <xdr:nvPicPr>
        <xdr:cNvPr id="157" name="Image 156" descr="phase de la lune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394970</xdr:colOff>
      <xdr:row>17</xdr:row>
      <xdr:rowOff>379095</xdr:rowOff>
    </xdr:to>
    <xdr:pic>
      <xdr:nvPicPr>
        <xdr:cNvPr id="158" name="Image 157" descr="phase de la lune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59" name="Image 158" descr="phase de la lune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394970</xdr:colOff>
      <xdr:row>17</xdr:row>
      <xdr:rowOff>388620</xdr:rowOff>
    </xdr:to>
    <xdr:pic>
      <xdr:nvPicPr>
        <xdr:cNvPr id="160" name="Image 159" descr="phase de la lune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394970</xdr:colOff>
      <xdr:row>17</xdr:row>
      <xdr:rowOff>388620</xdr:rowOff>
    </xdr:to>
    <xdr:pic>
      <xdr:nvPicPr>
        <xdr:cNvPr id="161" name="Image 160" descr="phase de la lune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104775</xdr:rowOff>
    </xdr:from>
    <xdr:to>
      <xdr:col>23</xdr:col>
      <xdr:colOff>394418</xdr:colOff>
      <xdr:row>17</xdr:row>
      <xdr:rowOff>379095</xdr:rowOff>
    </xdr:to>
    <xdr:pic>
      <xdr:nvPicPr>
        <xdr:cNvPr id="162" name="Image 161" descr="phase de la lune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39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394418</xdr:colOff>
      <xdr:row>18</xdr:row>
      <xdr:rowOff>388620</xdr:rowOff>
    </xdr:to>
    <xdr:pic>
      <xdr:nvPicPr>
        <xdr:cNvPr id="163" name="Image 162" descr="phase de la lune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394970</xdr:colOff>
      <xdr:row>18</xdr:row>
      <xdr:rowOff>388620</xdr:rowOff>
    </xdr:to>
    <xdr:pic>
      <xdr:nvPicPr>
        <xdr:cNvPr id="164" name="Image 163" descr="phase de la lune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394970</xdr:colOff>
      <xdr:row>18</xdr:row>
      <xdr:rowOff>388620</xdr:rowOff>
    </xdr:to>
    <xdr:pic>
      <xdr:nvPicPr>
        <xdr:cNvPr id="165" name="Image 164" descr="phase de la lune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6" name="Image 165" descr="phase de la lune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67" name="Image 166" descr="phase de la lune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394970</xdr:colOff>
      <xdr:row>18</xdr:row>
      <xdr:rowOff>388620</xdr:rowOff>
    </xdr:to>
    <xdr:pic>
      <xdr:nvPicPr>
        <xdr:cNvPr id="168" name="Image 167" descr="phase de la lune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104775</xdr:rowOff>
    </xdr:from>
    <xdr:to>
      <xdr:col>23</xdr:col>
      <xdr:colOff>394970</xdr:colOff>
      <xdr:row>18</xdr:row>
      <xdr:rowOff>379095</xdr:rowOff>
    </xdr:to>
    <xdr:pic>
      <xdr:nvPicPr>
        <xdr:cNvPr id="169" name="Image 168" descr="phase de la lune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19</xdr:row>
      <xdr:rowOff>114300</xdr:rowOff>
    </xdr:from>
    <xdr:to>
      <xdr:col>17</xdr:col>
      <xdr:colOff>403943</xdr:colOff>
      <xdr:row>19</xdr:row>
      <xdr:rowOff>388620</xdr:rowOff>
    </xdr:to>
    <xdr:pic>
      <xdr:nvPicPr>
        <xdr:cNvPr id="170" name="Image 169" descr="phase de la lune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19</xdr:row>
      <xdr:rowOff>114300</xdr:rowOff>
    </xdr:from>
    <xdr:to>
      <xdr:col>18</xdr:col>
      <xdr:colOff>403943</xdr:colOff>
      <xdr:row>19</xdr:row>
      <xdr:rowOff>388620</xdr:rowOff>
    </xdr:to>
    <xdr:pic>
      <xdr:nvPicPr>
        <xdr:cNvPr id="171" name="Image 170" descr="phase de la lune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19</xdr:row>
      <xdr:rowOff>114300</xdr:rowOff>
    </xdr:from>
    <xdr:to>
      <xdr:col>19</xdr:col>
      <xdr:colOff>404495</xdr:colOff>
      <xdr:row>19</xdr:row>
      <xdr:rowOff>388620</xdr:rowOff>
    </xdr:to>
    <xdr:pic>
      <xdr:nvPicPr>
        <xdr:cNvPr id="172" name="Image 171" descr="phase de la lune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19</xdr:row>
      <xdr:rowOff>114300</xdr:rowOff>
    </xdr:from>
    <xdr:to>
      <xdr:col>20</xdr:col>
      <xdr:colOff>404495</xdr:colOff>
      <xdr:row>19</xdr:row>
      <xdr:rowOff>388620</xdr:rowOff>
    </xdr:to>
    <xdr:pic>
      <xdr:nvPicPr>
        <xdr:cNvPr id="173" name="Image 172" descr="phase de la lune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19</xdr:row>
      <xdr:rowOff>114300</xdr:rowOff>
    </xdr:from>
    <xdr:to>
      <xdr:col>21</xdr:col>
      <xdr:colOff>404495</xdr:colOff>
      <xdr:row>19</xdr:row>
      <xdr:rowOff>388620</xdr:rowOff>
    </xdr:to>
    <xdr:pic>
      <xdr:nvPicPr>
        <xdr:cNvPr id="174" name="Image 173" descr="phase de la lune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19</xdr:row>
      <xdr:rowOff>114300</xdr:rowOff>
    </xdr:from>
    <xdr:to>
      <xdr:col>22</xdr:col>
      <xdr:colOff>404495</xdr:colOff>
      <xdr:row>19</xdr:row>
      <xdr:rowOff>388620</xdr:rowOff>
    </xdr:to>
    <xdr:pic>
      <xdr:nvPicPr>
        <xdr:cNvPr id="175" name="Image 174" descr="phase de la lune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104775</xdr:rowOff>
    </xdr:from>
    <xdr:to>
      <xdr:col>23</xdr:col>
      <xdr:colOff>394970</xdr:colOff>
      <xdr:row>19</xdr:row>
      <xdr:rowOff>379095</xdr:rowOff>
    </xdr:to>
    <xdr:pic>
      <xdr:nvPicPr>
        <xdr:cNvPr id="176" name="Image 175" descr="phase de la lune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20</xdr:row>
      <xdr:rowOff>114300</xdr:rowOff>
    </xdr:from>
    <xdr:to>
      <xdr:col>17</xdr:col>
      <xdr:colOff>404495</xdr:colOff>
      <xdr:row>20</xdr:row>
      <xdr:rowOff>388620</xdr:rowOff>
    </xdr:to>
    <xdr:pic>
      <xdr:nvPicPr>
        <xdr:cNvPr id="177" name="Image 176" descr="phase de la lune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20</xdr:row>
      <xdr:rowOff>114300</xdr:rowOff>
    </xdr:from>
    <xdr:to>
      <xdr:col>18</xdr:col>
      <xdr:colOff>403943</xdr:colOff>
      <xdr:row>20</xdr:row>
      <xdr:rowOff>388620</xdr:rowOff>
    </xdr:to>
    <xdr:pic>
      <xdr:nvPicPr>
        <xdr:cNvPr id="178" name="Image 177" descr="phase de la lune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20</xdr:row>
      <xdr:rowOff>114300</xdr:rowOff>
    </xdr:from>
    <xdr:to>
      <xdr:col>19</xdr:col>
      <xdr:colOff>403943</xdr:colOff>
      <xdr:row>20</xdr:row>
      <xdr:rowOff>388620</xdr:rowOff>
    </xdr:to>
    <xdr:pic>
      <xdr:nvPicPr>
        <xdr:cNvPr id="179" name="Image 178" descr="phase de la lune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20</xdr:row>
      <xdr:rowOff>114300</xdr:rowOff>
    </xdr:from>
    <xdr:to>
      <xdr:col>20</xdr:col>
      <xdr:colOff>404495</xdr:colOff>
      <xdr:row>20</xdr:row>
      <xdr:rowOff>388620</xdr:rowOff>
    </xdr:to>
    <xdr:pic>
      <xdr:nvPicPr>
        <xdr:cNvPr id="180" name="Image 179" descr="phase de la lune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20</xdr:row>
      <xdr:rowOff>114300</xdr:rowOff>
    </xdr:from>
    <xdr:to>
      <xdr:col>21</xdr:col>
      <xdr:colOff>404495</xdr:colOff>
      <xdr:row>20</xdr:row>
      <xdr:rowOff>388620</xdr:rowOff>
    </xdr:to>
    <xdr:pic>
      <xdr:nvPicPr>
        <xdr:cNvPr id="181" name="Image 180" descr="phase de la lune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20</xdr:row>
      <xdr:rowOff>114300</xdr:rowOff>
    </xdr:from>
    <xdr:to>
      <xdr:col>22</xdr:col>
      <xdr:colOff>404495</xdr:colOff>
      <xdr:row>20</xdr:row>
      <xdr:rowOff>388620</xdr:rowOff>
    </xdr:to>
    <xdr:pic>
      <xdr:nvPicPr>
        <xdr:cNvPr id="182" name="Image 181" descr="phase de la lune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104775</xdr:rowOff>
    </xdr:from>
    <xdr:to>
      <xdr:col>23</xdr:col>
      <xdr:colOff>394970</xdr:colOff>
      <xdr:row>20</xdr:row>
      <xdr:rowOff>379095</xdr:rowOff>
    </xdr:to>
    <xdr:pic>
      <xdr:nvPicPr>
        <xdr:cNvPr id="183" name="Image 182" descr="phase de la lune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25</xdr:row>
      <xdr:rowOff>114300</xdr:rowOff>
    </xdr:from>
    <xdr:to>
      <xdr:col>1</xdr:col>
      <xdr:colOff>404495</xdr:colOff>
      <xdr:row>25</xdr:row>
      <xdr:rowOff>388620</xdr:rowOff>
    </xdr:to>
    <xdr:pic>
      <xdr:nvPicPr>
        <xdr:cNvPr id="184" name="Image 183" descr="phase de la lune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25</xdr:row>
      <xdr:rowOff>114300</xdr:rowOff>
    </xdr:from>
    <xdr:to>
      <xdr:col>2</xdr:col>
      <xdr:colOff>404495</xdr:colOff>
      <xdr:row>25</xdr:row>
      <xdr:rowOff>388620</xdr:rowOff>
    </xdr:to>
    <xdr:pic>
      <xdr:nvPicPr>
        <xdr:cNvPr id="185" name="Image 184" descr="phase de la lune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25</xdr:row>
      <xdr:rowOff>114300</xdr:rowOff>
    </xdr:from>
    <xdr:to>
      <xdr:col>3</xdr:col>
      <xdr:colOff>404495</xdr:colOff>
      <xdr:row>25</xdr:row>
      <xdr:rowOff>388620</xdr:rowOff>
    </xdr:to>
    <xdr:pic>
      <xdr:nvPicPr>
        <xdr:cNvPr id="186" name="Image 185" descr="phase de la lune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25</xdr:row>
      <xdr:rowOff>114300</xdr:rowOff>
    </xdr:from>
    <xdr:to>
      <xdr:col>4</xdr:col>
      <xdr:colOff>404495</xdr:colOff>
      <xdr:row>25</xdr:row>
      <xdr:rowOff>379095</xdr:rowOff>
    </xdr:to>
    <xdr:pic>
      <xdr:nvPicPr>
        <xdr:cNvPr id="187" name="Image 186" descr="phase de la lune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25</xdr:row>
      <xdr:rowOff>114300</xdr:rowOff>
    </xdr:from>
    <xdr:to>
      <xdr:col>5</xdr:col>
      <xdr:colOff>404495</xdr:colOff>
      <xdr:row>25</xdr:row>
      <xdr:rowOff>388620</xdr:rowOff>
    </xdr:to>
    <xdr:pic>
      <xdr:nvPicPr>
        <xdr:cNvPr id="188" name="Image 187" descr="phase de la lune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25</xdr:row>
      <xdr:rowOff>114300</xdr:rowOff>
    </xdr:from>
    <xdr:to>
      <xdr:col>6</xdr:col>
      <xdr:colOff>404495</xdr:colOff>
      <xdr:row>25</xdr:row>
      <xdr:rowOff>388620</xdr:rowOff>
    </xdr:to>
    <xdr:pic>
      <xdr:nvPicPr>
        <xdr:cNvPr id="189" name="Image 188" descr="phase de la lune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123825</xdr:rowOff>
    </xdr:from>
    <xdr:to>
      <xdr:col>7</xdr:col>
      <xdr:colOff>404495</xdr:colOff>
      <xdr:row>25</xdr:row>
      <xdr:rowOff>398145</xdr:rowOff>
    </xdr:to>
    <xdr:pic>
      <xdr:nvPicPr>
        <xdr:cNvPr id="190" name="Image 189" descr="phase de la lune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26</xdr:row>
      <xdr:rowOff>114300</xdr:rowOff>
    </xdr:from>
    <xdr:to>
      <xdr:col>1</xdr:col>
      <xdr:colOff>404495</xdr:colOff>
      <xdr:row>26</xdr:row>
      <xdr:rowOff>388620</xdr:rowOff>
    </xdr:to>
    <xdr:pic>
      <xdr:nvPicPr>
        <xdr:cNvPr id="191" name="Image 190" descr="phase de la lune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26</xdr:row>
      <xdr:rowOff>114300</xdr:rowOff>
    </xdr:from>
    <xdr:to>
      <xdr:col>2</xdr:col>
      <xdr:colOff>403943</xdr:colOff>
      <xdr:row>26</xdr:row>
      <xdr:rowOff>388620</xdr:rowOff>
    </xdr:to>
    <xdr:pic>
      <xdr:nvPicPr>
        <xdr:cNvPr id="192" name="Image 191" descr="phase de la lune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26</xdr:row>
      <xdr:rowOff>114300</xdr:rowOff>
    </xdr:from>
    <xdr:to>
      <xdr:col>3</xdr:col>
      <xdr:colOff>403943</xdr:colOff>
      <xdr:row>26</xdr:row>
      <xdr:rowOff>388620</xdr:rowOff>
    </xdr:to>
    <xdr:pic>
      <xdr:nvPicPr>
        <xdr:cNvPr id="193" name="Image 192" descr="phase de la lune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26</xdr:row>
      <xdr:rowOff>114300</xdr:rowOff>
    </xdr:from>
    <xdr:to>
      <xdr:col>4</xdr:col>
      <xdr:colOff>404495</xdr:colOff>
      <xdr:row>26</xdr:row>
      <xdr:rowOff>388620</xdr:rowOff>
    </xdr:to>
    <xdr:pic>
      <xdr:nvPicPr>
        <xdr:cNvPr id="194" name="Image 193" descr="phase de la lun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26</xdr:row>
      <xdr:rowOff>114300</xdr:rowOff>
    </xdr:from>
    <xdr:to>
      <xdr:col>5</xdr:col>
      <xdr:colOff>404495</xdr:colOff>
      <xdr:row>26</xdr:row>
      <xdr:rowOff>388620</xdr:rowOff>
    </xdr:to>
    <xdr:pic>
      <xdr:nvPicPr>
        <xdr:cNvPr id="195" name="Image 194" descr="phase de la lun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26</xdr:row>
      <xdr:rowOff>114300</xdr:rowOff>
    </xdr:from>
    <xdr:to>
      <xdr:col>6</xdr:col>
      <xdr:colOff>404495</xdr:colOff>
      <xdr:row>26</xdr:row>
      <xdr:rowOff>388620</xdr:rowOff>
    </xdr:to>
    <xdr:pic>
      <xdr:nvPicPr>
        <xdr:cNvPr id="196" name="Image 195" descr="phase de la lun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123825</xdr:rowOff>
    </xdr:from>
    <xdr:to>
      <xdr:col>7</xdr:col>
      <xdr:colOff>404495</xdr:colOff>
      <xdr:row>26</xdr:row>
      <xdr:rowOff>398145</xdr:rowOff>
    </xdr:to>
    <xdr:pic>
      <xdr:nvPicPr>
        <xdr:cNvPr id="197" name="Image 196" descr="phase de la lun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27</xdr:row>
      <xdr:rowOff>114300</xdr:rowOff>
    </xdr:from>
    <xdr:to>
      <xdr:col>1</xdr:col>
      <xdr:colOff>404495</xdr:colOff>
      <xdr:row>27</xdr:row>
      <xdr:rowOff>388620</xdr:rowOff>
    </xdr:to>
    <xdr:pic>
      <xdr:nvPicPr>
        <xdr:cNvPr id="198" name="Image 197" descr="phase de la lun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27</xdr:row>
      <xdr:rowOff>114300</xdr:rowOff>
    </xdr:from>
    <xdr:to>
      <xdr:col>2</xdr:col>
      <xdr:colOff>403943</xdr:colOff>
      <xdr:row>27</xdr:row>
      <xdr:rowOff>388620</xdr:rowOff>
    </xdr:to>
    <xdr:pic>
      <xdr:nvPicPr>
        <xdr:cNvPr id="199" name="Image 198" descr="phase de la lun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27</xdr:row>
      <xdr:rowOff>114300</xdr:rowOff>
    </xdr:from>
    <xdr:to>
      <xdr:col>3</xdr:col>
      <xdr:colOff>403943</xdr:colOff>
      <xdr:row>27</xdr:row>
      <xdr:rowOff>388620</xdr:rowOff>
    </xdr:to>
    <xdr:pic>
      <xdr:nvPicPr>
        <xdr:cNvPr id="200" name="Image 199" descr="phase de la lun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27</xdr:row>
      <xdr:rowOff>114300</xdr:rowOff>
    </xdr:from>
    <xdr:to>
      <xdr:col>4</xdr:col>
      <xdr:colOff>404495</xdr:colOff>
      <xdr:row>27</xdr:row>
      <xdr:rowOff>388620</xdr:rowOff>
    </xdr:to>
    <xdr:pic>
      <xdr:nvPicPr>
        <xdr:cNvPr id="201" name="Image 200" descr="phase de la lun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27</xdr:row>
      <xdr:rowOff>114300</xdr:rowOff>
    </xdr:from>
    <xdr:to>
      <xdr:col>5</xdr:col>
      <xdr:colOff>404495</xdr:colOff>
      <xdr:row>27</xdr:row>
      <xdr:rowOff>388620</xdr:rowOff>
    </xdr:to>
    <xdr:pic>
      <xdr:nvPicPr>
        <xdr:cNvPr id="202" name="Image 201" descr="phase de la lun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27</xdr:row>
      <xdr:rowOff>114300</xdr:rowOff>
    </xdr:from>
    <xdr:to>
      <xdr:col>6</xdr:col>
      <xdr:colOff>404495</xdr:colOff>
      <xdr:row>27</xdr:row>
      <xdr:rowOff>388620</xdr:rowOff>
    </xdr:to>
    <xdr:pic>
      <xdr:nvPicPr>
        <xdr:cNvPr id="203" name="Image 202" descr="phase de la lun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123825</xdr:rowOff>
    </xdr:from>
    <xdr:to>
      <xdr:col>7</xdr:col>
      <xdr:colOff>404495</xdr:colOff>
      <xdr:row>27</xdr:row>
      <xdr:rowOff>398145</xdr:rowOff>
    </xdr:to>
    <xdr:pic>
      <xdr:nvPicPr>
        <xdr:cNvPr id="204" name="Image 203" descr="phase de la lun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5" name="Image 204" descr="phase de la lun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6" name="Image 205" descr="phase de la lun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384893</xdr:colOff>
      <xdr:row>28</xdr:row>
      <xdr:rowOff>388620</xdr:rowOff>
    </xdr:to>
    <xdr:pic>
      <xdr:nvPicPr>
        <xdr:cNvPr id="207" name="Image 206" descr="phase de la lun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384893</xdr:colOff>
      <xdr:row>28</xdr:row>
      <xdr:rowOff>388620</xdr:rowOff>
    </xdr:to>
    <xdr:pic>
      <xdr:nvPicPr>
        <xdr:cNvPr id="208" name="Image 207" descr="phase de la lun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9" name="Image 208" descr="phase de la lun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10" name="Image 209" descr="phase de la lun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123825</xdr:rowOff>
    </xdr:from>
    <xdr:to>
      <xdr:col>7</xdr:col>
      <xdr:colOff>404495</xdr:colOff>
      <xdr:row>28</xdr:row>
      <xdr:rowOff>398145</xdr:rowOff>
    </xdr:to>
    <xdr:pic>
      <xdr:nvPicPr>
        <xdr:cNvPr id="211" name="Image 210" descr="phase de la lun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12" name="Image 211" descr="phase de la lun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13" name="Image 212" descr="phase de la lun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14" name="Image 213" descr="phase de la lun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25</xdr:row>
      <xdr:rowOff>114300</xdr:rowOff>
    </xdr:from>
    <xdr:to>
      <xdr:col>12</xdr:col>
      <xdr:colOff>394970</xdr:colOff>
      <xdr:row>25</xdr:row>
      <xdr:rowOff>388620</xdr:rowOff>
    </xdr:to>
    <xdr:pic>
      <xdr:nvPicPr>
        <xdr:cNvPr id="215" name="Image 214" descr="phase de la lun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25</xdr:row>
      <xdr:rowOff>114300</xdr:rowOff>
    </xdr:from>
    <xdr:to>
      <xdr:col>13</xdr:col>
      <xdr:colOff>394970</xdr:colOff>
      <xdr:row>25</xdr:row>
      <xdr:rowOff>379095</xdr:rowOff>
    </xdr:to>
    <xdr:pic>
      <xdr:nvPicPr>
        <xdr:cNvPr id="216" name="Image 215" descr="phase de la lun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25</xdr:row>
      <xdr:rowOff>114300</xdr:rowOff>
    </xdr:from>
    <xdr:to>
      <xdr:col>14</xdr:col>
      <xdr:colOff>394970</xdr:colOff>
      <xdr:row>25</xdr:row>
      <xdr:rowOff>388620</xdr:rowOff>
    </xdr:to>
    <xdr:pic>
      <xdr:nvPicPr>
        <xdr:cNvPr id="217" name="Image 216" descr="phase de la lun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133350</xdr:rowOff>
    </xdr:from>
    <xdr:to>
      <xdr:col>15</xdr:col>
      <xdr:colOff>404495</xdr:colOff>
      <xdr:row>25</xdr:row>
      <xdr:rowOff>407670</xdr:rowOff>
    </xdr:to>
    <xdr:pic>
      <xdr:nvPicPr>
        <xdr:cNvPr id="218" name="Image 217" descr="phase de la lun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68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385445</xdr:colOff>
      <xdr:row>26</xdr:row>
      <xdr:rowOff>388620</xdr:rowOff>
    </xdr:to>
    <xdr:pic>
      <xdr:nvPicPr>
        <xdr:cNvPr id="219" name="Image 218" descr="phase de la lun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385445</xdr:colOff>
      <xdr:row>26</xdr:row>
      <xdr:rowOff>388620</xdr:rowOff>
    </xdr:to>
    <xdr:pic>
      <xdr:nvPicPr>
        <xdr:cNvPr id="220" name="Image 219" descr="phase de la lun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384893</xdr:colOff>
      <xdr:row>26</xdr:row>
      <xdr:rowOff>388620</xdr:rowOff>
    </xdr:to>
    <xdr:pic>
      <xdr:nvPicPr>
        <xdr:cNvPr id="221" name="Image 220" descr="phase de la lun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384893</xdr:colOff>
      <xdr:row>26</xdr:row>
      <xdr:rowOff>388620</xdr:rowOff>
    </xdr:to>
    <xdr:pic>
      <xdr:nvPicPr>
        <xdr:cNvPr id="222" name="Image 221" descr="phase de la lun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385445</xdr:colOff>
      <xdr:row>26</xdr:row>
      <xdr:rowOff>388620</xdr:rowOff>
    </xdr:to>
    <xdr:pic>
      <xdr:nvPicPr>
        <xdr:cNvPr id="223" name="Image 222" descr="phase de la lun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388620</xdr:rowOff>
    </xdr:to>
    <xdr:pic>
      <xdr:nvPicPr>
        <xdr:cNvPr id="224" name="Image 223" descr="phase de la lun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133350</xdr:rowOff>
    </xdr:from>
    <xdr:to>
      <xdr:col>15</xdr:col>
      <xdr:colOff>404495</xdr:colOff>
      <xdr:row>26</xdr:row>
      <xdr:rowOff>407670</xdr:rowOff>
    </xdr:to>
    <xdr:pic>
      <xdr:nvPicPr>
        <xdr:cNvPr id="225" name="Image 224" descr="phase de la lun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25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385445</xdr:colOff>
      <xdr:row>27</xdr:row>
      <xdr:rowOff>388620</xdr:rowOff>
    </xdr:to>
    <xdr:pic>
      <xdr:nvPicPr>
        <xdr:cNvPr id="226" name="Image 225" descr="phase de la lun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385445</xdr:colOff>
      <xdr:row>27</xdr:row>
      <xdr:rowOff>388620</xdr:rowOff>
    </xdr:to>
    <xdr:pic>
      <xdr:nvPicPr>
        <xdr:cNvPr id="227" name="Image 226" descr="phase de la lun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28" name="Image 227" descr="phase de la lun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384893</xdr:colOff>
      <xdr:row>27</xdr:row>
      <xdr:rowOff>388620</xdr:rowOff>
    </xdr:to>
    <xdr:pic>
      <xdr:nvPicPr>
        <xdr:cNvPr id="229" name="Image 228" descr="phase de la lun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384893</xdr:colOff>
      <xdr:row>27</xdr:row>
      <xdr:rowOff>388620</xdr:rowOff>
    </xdr:to>
    <xdr:pic>
      <xdr:nvPicPr>
        <xdr:cNvPr id="230" name="Image 229" descr="phase de la lun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1" name="Image 230" descr="phase de la lun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133350</xdr:rowOff>
    </xdr:from>
    <xdr:to>
      <xdr:col>15</xdr:col>
      <xdr:colOff>404495</xdr:colOff>
      <xdr:row>27</xdr:row>
      <xdr:rowOff>407670</xdr:rowOff>
    </xdr:to>
    <xdr:pic>
      <xdr:nvPicPr>
        <xdr:cNvPr id="232" name="Image 231" descr="phase de la lun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8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28</xdr:row>
      <xdr:rowOff>114300</xdr:rowOff>
    </xdr:from>
    <xdr:to>
      <xdr:col>9</xdr:col>
      <xdr:colOff>404495</xdr:colOff>
      <xdr:row>28</xdr:row>
      <xdr:rowOff>388620</xdr:rowOff>
    </xdr:to>
    <xdr:pic>
      <xdr:nvPicPr>
        <xdr:cNvPr id="233" name="Image 232" descr="phase de la lun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28</xdr:row>
      <xdr:rowOff>114300</xdr:rowOff>
    </xdr:from>
    <xdr:to>
      <xdr:col>10</xdr:col>
      <xdr:colOff>404495</xdr:colOff>
      <xdr:row>28</xdr:row>
      <xdr:rowOff>388620</xdr:rowOff>
    </xdr:to>
    <xdr:pic>
      <xdr:nvPicPr>
        <xdr:cNvPr id="234" name="Image 233" descr="phase de la lun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28</xdr:row>
      <xdr:rowOff>114300</xdr:rowOff>
    </xdr:from>
    <xdr:to>
      <xdr:col>11</xdr:col>
      <xdr:colOff>404495</xdr:colOff>
      <xdr:row>28</xdr:row>
      <xdr:rowOff>388620</xdr:rowOff>
    </xdr:to>
    <xdr:pic>
      <xdr:nvPicPr>
        <xdr:cNvPr id="235" name="Image 234" descr="phase de la lun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28</xdr:row>
      <xdr:rowOff>114300</xdr:rowOff>
    </xdr:from>
    <xdr:to>
      <xdr:col>12</xdr:col>
      <xdr:colOff>404495</xdr:colOff>
      <xdr:row>28</xdr:row>
      <xdr:rowOff>388620</xdr:rowOff>
    </xdr:to>
    <xdr:pic>
      <xdr:nvPicPr>
        <xdr:cNvPr id="236" name="Image 235" descr="phase de la lun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28</xdr:row>
      <xdr:rowOff>114300</xdr:rowOff>
    </xdr:from>
    <xdr:to>
      <xdr:col>13</xdr:col>
      <xdr:colOff>403943</xdr:colOff>
      <xdr:row>28</xdr:row>
      <xdr:rowOff>388620</xdr:rowOff>
    </xdr:to>
    <xdr:pic>
      <xdr:nvPicPr>
        <xdr:cNvPr id="237" name="Image 236" descr="phase de la lun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28</xdr:row>
      <xdr:rowOff>114300</xdr:rowOff>
    </xdr:from>
    <xdr:to>
      <xdr:col>14</xdr:col>
      <xdr:colOff>403943</xdr:colOff>
      <xdr:row>28</xdr:row>
      <xdr:rowOff>388620</xdr:rowOff>
    </xdr:to>
    <xdr:pic>
      <xdr:nvPicPr>
        <xdr:cNvPr id="238" name="Image 237" descr="phase de la lun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133350</xdr:rowOff>
    </xdr:from>
    <xdr:to>
      <xdr:col>15</xdr:col>
      <xdr:colOff>404495</xdr:colOff>
      <xdr:row>28</xdr:row>
      <xdr:rowOff>407670</xdr:rowOff>
    </xdr:to>
    <xdr:pic>
      <xdr:nvPicPr>
        <xdr:cNvPr id="239" name="Image 238" descr="phase de la lun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3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29</xdr:row>
      <xdr:rowOff>114300</xdr:rowOff>
    </xdr:from>
    <xdr:to>
      <xdr:col>9</xdr:col>
      <xdr:colOff>404495</xdr:colOff>
      <xdr:row>29</xdr:row>
      <xdr:rowOff>388620</xdr:rowOff>
    </xdr:to>
    <xdr:pic>
      <xdr:nvPicPr>
        <xdr:cNvPr id="240" name="Image 239" descr="phase de la lun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29</xdr:row>
      <xdr:rowOff>114300</xdr:rowOff>
    </xdr:from>
    <xdr:to>
      <xdr:col>10</xdr:col>
      <xdr:colOff>404495</xdr:colOff>
      <xdr:row>29</xdr:row>
      <xdr:rowOff>388620</xdr:rowOff>
    </xdr:to>
    <xdr:pic>
      <xdr:nvPicPr>
        <xdr:cNvPr id="241" name="Image 240" descr="phase de la lun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29</xdr:row>
      <xdr:rowOff>114300</xdr:rowOff>
    </xdr:from>
    <xdr:to>
      <xdr:col>11</xdr:col>
      <xdr:colOff>404495</xdr:colOff>
      <xdr:row>29</xdr:row>
      <xdr:rowOff>388620</xdr:rowOff>
    </xdr:to>
    <xdr:pic>
      <xdr:nvPicPr>
        <xdr:cNvPr id="242" name="Image 241" descr="phase de la lun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29</xdr:row>
      <xdr:rowOff>114300</xdr:rowOff>
    </xdr:from>
    <xdr:to>
      <xdr:col>12</xdr:col>
      <xdr:colOff>404495</xdr:colOff>
      <xdr:row>29</xdr:row>
      <xdr:rowOff>388620</xdr:rowOff>
    </xdr:to>
    <xdr:pic>
      <xdr:nvPicPr>
        <xdr:cNvPr id="243" name="Image 242" descr="phase de la lun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29</xdr:row>
      <xdr:rowOff>114300</xdr:rowOff>
    </xdr:from>
    <xdr:to>
      <xdr:col>13</xdr:col>
      <xdr:colOff>404495</xdr:colOff>
      <xdr:row>29</xdr:row>
      <xdr:rowOff>388620</xdr:rowOff>
    </xdr:to>
    <xdr:pic>
      <xdr:nvPicPr>
        <xdr:cNvPr id="244" name="Image 243" descr="phase de la lun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29</xdr:row>
      <xdr:rowOff>114300</xdr:rowOff>
    </xdr:from>
    <xdr:to>
      <xdr:col>14</xdr:col>
      <xdr:colOff>404495</xdr:colOff>
      <xdr:row>29</xdr:row>
      <xdr:rowOff>388620</xdr:rowOff>
    </xdr:to>
    <xdr:pic>
      <xdr:nvPicPr>
        <xdr:cNvPr id="245" name="Image 244" descr="phase de la lun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379095</xdr:rowOff>
    </xdr:to>
    <xdr:pic>
      <xdr:nvPicPr>
        <xdr:cNvPr id="246" name="Image 245" descr="phase de la lun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404495</xdr:colOff>
      <xdr:row>26</xdr:row>
      <xdr:rowOff>388620</xdr:rowOff>
    </xdr:to>
    <xdr:pic>
      <xdr:nvPicPr>
        <xdr:cNvPr id="247" name="Image 246" descr="phase de la lun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114300</xdr:rowOff>
    </xdr:from>
    <xdr:to>
      <xdr:col>18</xdr:col>
      <xdr:colOff>404495</xdr:colOff>
      <xdr:row>26</xdr:row>
      <xdr:rowOff>388620</xdr:rowOff>
    </xdr:to>
    <xdr:pic>
      <xdr:nvPicPr>
        <xdr:cNvPr id="248" name="Image 247" descr="phase de la lun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404495</xdr:colOff>
      <xdr:row>26</xdr:row>
      <xdr:rowOff>388620</xdr:rowOff>
    </xdr:to>
    <xdr:pic>
      <xdr:nvPicPr>
        <xdr:cNvPr id="249" name="Image 248" descr="phase de la lun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403943</xdr:colOff>
      <xdr:row>26</xdr:row>
      <xdr:rowOff>388620</xdr:rowOff>
    </xdr:to>
    <xdr:pic>
      <xdr:nvPicPr>
        <xdr:cNvPr id="250" name="Image 249" descr="phase de la lun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403943</xdr:colOff>
      <xdr:row>26</xdr:row>
      <xdr:rowOff>388620</xdr:rowOff>
    </xdr:to>
    <xdr:pic>
      <xdr:nvPicPr>
        <xdr:cNvPr id="251" name="Image 250" descr="phase de la lun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2" name="Image 251" descr="phase de la lun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3" name="Image 252" descr="phase de la lun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388620</xdr:rowOff>
    </xdr:to>
    <xdr:pic>
      <xdr:nvPicPr>
        <xdr:cNvPr id="254" name="Image 253" descr="phase de la lun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388620</xdr:rowOff>
    </xdr:to>
    <xdr:pic>
      <xdr:nvPicPr>
        <xdr:cNvPr id="255" name="Image 254" descr="phase de la lun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6" name="Image 255" descr="phase de la lun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7" name="Image 256" descr="phase de la lun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403943</xdr:colOff>
      <xdr:row>27</xdr:row>
      <xdr:rowOff>388620</xdr:rowOff>
    </xdr:to>
    <xdr:pic>
      <xdr:nvPicPr>
        <xdr:cNvPr id="258" name="Image 257" descr="phase de la lun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403943</xdr:colOff>
      <xdr:row>27</xdr:row>
      <xdr:rowOff>388620</xdr:rowOff>
    </xdr:to>
    <xdr:pic>
      <xdr:nvPicPr>
        <xdr:cNvPr id="259" name="Image 258" descr="phase de la lun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0" name="Image 259" descr="phase de la lun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404495</xdr:colOff>
      <xdr:row>28</xdr:row>
      <xdr:rowOff>388620</xdr:rowOff>
    </xdr:to>
    <xdr:pic>
      <xdr:nvPicPr>
        <xdr:cNvPr id="261" name="Image 260" descr="phase de la lun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2" name="Image 261" descr="phase de la lun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3" name="Image 262" descr="phase de la lun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4" name="Image 263" descr="phase de la lun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404495</xdr:colOff>
      <xdr:row>28</xdr:row>
      <xdr:rowOff>388620</xdr:rowOff>
    </xdr:to>
    <xdr:pic>
      <xdr:nvPicPr>
        <xdr:cNvPr id="265" name="Image 264" descr="phase de la lun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403943</xdr:colOff>
      <xdr:row>28</xdr:row>
      <xdr:rowOff>388620</xdr:rowOff>
    </xdr:to>
    <xdr:pic>
      <xdr:nvPicPr>
        <xdr:cNvPr id="266" name="Image 265" descr="phase de la lun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413468</xdr:colOff>
      <xdr:row>28</xdr:row>
      <xdr:rowOff>388620</xdr:rowOff>
    </xdr:to>
    <xdr:pic>
      <xdr:nvPicPr>
        <xdr:cNvPr id="267" name="Image 266" descr="phase de la lun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404495</xdr:colOff>
      <xdr:row>29</xdr:row>
      <xdr:rowOff>388620</xdr:rowOff>
    </xdr:to>
    <xdr:pic>
      <xdr:nvPicPr>
        <xdr:cNvPr id="268" name="Image 267" descr="phase de la lun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404495</xdr:colOff>
      <xdr:row>29</xdr:row>
      <xdr:rowOff>388620</xdr:rowOff>
    </xdr:to>
    <xdr:pic>
      <xdr:nvPicPr>
        <xdr:cNvPr id="269" name="Image 268" descr="phase de la lun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0" name="Image 269" descr="phase de la lun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1" name="Image 270" descr="phase de la lun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404495</xdr:colOff>
      <xdr:row>29</xdr:row>
      <xdr:rowOff>388620</xdr:rowOff>
    </xdr:to>
    <xdr:pic>
      <xdr:nvPicPr>
        <xdr:cNvPr id="272" name="Image 271" descr="phase de la lun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404495</xdr:colOff>
      <xdr:row>29</xdr:row>
      <xdr:rowOff>388620</xdr:rowOff>
    </xdr:to>
    <xdr:pic>
      <xdr:nvPicPr>
        <xdr:cNvPr id="273" name="Image 272" descr="phase de la lun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414020</xdr:colOff>
      <xdr:row>29</xdr:row>
      <xdr:rowOff>388620</xdr:rowOff>
    </xdr:to>
    <xdr:pic>
      <xdr:nvPicPr>
        <xdr:cNvPr id="274" name="Image 273" descr="phase de la lun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30</xdr:row>
      <xdr:rowOff>114300</xdr:rowOff>
    </xdr:from>
    <xdr:to>
      <xdr:col>17</xdr:col>
      <xdr:colOff>404495</xdr:colOff>
      <xdr:row>30</xdr:row>
      <xdr:rowOff>379095</xdr:rowOff>
    </xdr:to>
    <xdr:pic>
      <xdr:nvPicPr>
        <xdr:cNvPr id="275" name="Image 274" descr="phase de la lun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535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34</xdr:row>
      <xdr:rowOff>114300</xdr:rowOff>
    </xdr:from>
    <xdr:to>
      <xdr:col>2</xdr:col>
      <xdr:colOff>375920</xdr:colOff>
      <xdr:row>34</xdr:row>
      <xdr:rowOff>388620</xdr:rowOff>
    </xdr:to>
    <xdr:pic>
      <xdr:nvPicPr>
        <xdr:cNvPr id="276" name="Image 275" descr="phase de la lun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34</xdr:row>
      <xdr:rowOff>114300</xdr:rowOff>
    </xdr:from>
    <xdr:to>
      <xdr:col>3</xdr:col>
      <xdr:colOff>375920</xdr:colOff>
      <xdr:row>34</xdr:row>
      <xdr:rowOff>388620</xdr:rowOff>
    </xdr:to>
    <xdr:pic>
      <xdr:nvPicPr>
        <xdr:cNvPr id="277" name="Image 276" descr="phase de la lun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34</xdr:row>
      <xdr:rowOff>114300</xdr:rowOff>
    </xdr:from>
    <xdr:to>
      <xdr:col>4</xdr:col>
      <xdr:colOff>375920</xdr:colOff>
      <xdr:row>34</xdr:row>
      <xdr:rowOff>388620</xdr:rowOff>
    </xdr:to>
    <xdr:pic>
      <xdr:nvPicPr>
        <xdr:cNvPr id="278" name="Image 277" descr="phase de la lun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34</xdr:row>
      <xdr:rowOff>114300</xdr:rowOff>
    </xdr:from>
    <xdr:to>
      <xdr:col>5</xdr:col>
      <xdr:colOff>375920</xdr:colOff>
      <xdr:row>34</xdr:row>
      <xdr:rowOff>388620</xdr:rowOff>
    </xdr:to>
    <xdr:pic>
      <xdr:nvPicPr>
        <xdr:cNvPr id="279" name="Image 278" descr="phase de la lun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34</xdr:row>
      <xdr:rowOff>114300</xdr:rowOff>
    </xdr:from>
    <xdr:to>
      <xdr:col>6</xdr:col>
      <xdr:colOff>375368</xdr:colOff>
      <xdr:row>34</xdr:row>
      <xdr:rowOff>388620</xdr:rowOff>
    </xdr:to>
    <xdr:pic>
      <xdr:nvPicPr>
        <xdr:cNvPr id="280" name="Image 279" descr="phase de la lun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123825</xdr:rowOff>
    </xdr:from>
    <xdr:to>
      <xdr:col>7</xdr:col>
      <xdr:colOff>413468</xdr:colOff>
      <xdr:row>34</xdr:row>
      <xdr:rowOff>398145</xdr:rowOff>
    </xdr:to>
    <xdr:pic>
      <xdr:nvPicPr>
        <xdr:cNvPr id="281" name="Image 280" descr="phase de la lun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116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82" name="Image 281" descr="phase de la lun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83" name="Image 282" descr="phase de la lun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84" name="Image 283" descr="phase de la lun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5" name="Image 284" descr="phase de la lun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375920</xdr:colOff>
      <xdr:row>35</xdr:row>
      <xdr:rowOff>388620</xdr:rowOff>
    </xdr:to>
    <xdr:pic>
      <xdr:nvPicPr>
        <xdr:cNvPr id="286" name="Image 285" descr="phase de la lun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375920</xdr:colOff>
      <xdr:row>35</xdr:row>
      <xdr:rowOff>388620</xdr:rowOff>
    </xdr:to>
    <xdr:pic>
      <xdr:nvPicPr>
        <xdr:cNvPr id="287" name="Image 286" descr="phase de la lun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123825</xdr:rowOff>
    </xdr:from>
    <xdr:to>
      <xdr:col>7</xdr:col>
      <xdr:colOff>413468</xdr:colOff>
      <xdr:row>35</xdr:row>
      <xdr:rowOff>398145</xdr:rowOff>
    </xdr:to>
    <xdr:pic>
      <xdr:nvPicPr>
        <xdr:cNvPr id="288" name="Image 287" descr="phase de la lun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573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375368</xdr:colOff>
      <xdr:row>36</xdr:row>
      <xdr:rowOff>388620</xdr:rowOff>
    </xdr:to>
    <xdr:pic>
      <xdr:nvPicPr>
        <xdr:cNvPr id="289" name="Image 288" descr="phase de la lun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90" name="Image 289" descr="phase de la lune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91" name="Image 290" descr="phase de la lune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92" name="Image 291" descr="phase de la lune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93" name="Image 292" descr="phase de la lune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375920</xdr:colOff>
      <xdr:row>36</xdr:row>
      <xdr:rowOff>388620</xdr:rowOff>
    </xdr:to>
    <xdr:pic>
      <xdr:nvPicPr>
        <xdr:cNvPr id="294" name="Image 293" descr="phase de la lune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123825</xdr:rowOff>
    </xdr:from>
    <xdr:to>
      <xdr:col>7</xdr:col>
      <xdr:colOff>414020</xdr:colOff>
      <xdr:row>36</xdr:row>
      <xdr:rowOff>398145</xdr:rowOff>
    </xdr:to>
    <xdr:pic>
      <xdr:nvPicPr>
        <xdr:cNvPr id="295" name="Image 294" descr="phase de la lune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375368</xdr:colOff>
      <xdr:row>37</xdr:row>
      <xdr:rowOff>388620</xdr:rowOff>
    </xdr:to>
    <xdr:pic>
      <xdr:nvPicPr>
        <xdr:cNvPr id="296" name="Image 295" descr="phase de la lune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375368</xdr:colOff>
      <xdr:row>37</xdr:row>
      <xdr:rowOff>388620</xdr:rowOff>
    </xdr:to>
    <xdr:pic>
      <xdr:nvPicPr>
        <xdr:cNvPr id="297" name="Image 296" descr="phase de la lune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8" name="Image 297" descr="phase de la lune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9" name="Image 298" descr="phase de la lune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300" name="Image 299" descr="phase de la lune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375920</xdr:colOff>
      <xdr:row>37</xdr:row>
      <xdr:rowOff>388620</xdr:rowOff>
    </xdr:to>
    <xdr:pic>
      <xdr:nvPicPr>
        <xdr:cNvPr id="301" name="Image 300" descr="phase de la lune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123825</xdr:rowOff>
    </xdr:from>
    <xdr:to>
      <xdr:col>7</xdr:col>
      <xdr:colOff>414020</xdr:colOff>
      <xdr:row>37</xdr:row>
      <xdr:rowOff>398145</xdr:rowOff>
    </xdr:to>
    <xdr:pic>
      <xdr:nvPicPr>
        <xdr:cNvPr id="302" name="Image 301" descr="phase de la lune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375920</xdr:colOff>
      <xdr:row>38</xdr:row>
      <xdr:rowOff>388620</xdr:rowOff>
    </xdr:to>
    <xdr:pic>
      <xdr:nvPicPr>
        <xdr:cNvPr id="303" name="Image 302" descr="phase de la lune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379095</xdr:rowOff>
    </xdr:to>
    <xdr:pic>
      <xdr:nvPicPr>
        <xdr:cNvPr id="304" name="Image 303" descr="phase de la lune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5" name="Image 304" descr="phase de la lune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6" name="Image 305" descr="phase de la lune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34</xdr:row>
      <xdr:rowOff>114300</xdr:rowOff>
    </xdr:from>
    <xdr:to>
      <xdr:col>13</xdr:col>
      <xdr:colOff>394970</xdr:colOff>
      <xdr:row>34</xdr:row>
      <xdr:rowOff>388620</xdr:rowOff>
    </xdr:to>
    <xdr:pic>
      <xdr:nvPicPr>
        <xdr:cNvPr id="307" name="Image 306" descr="phase de la lune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34</xdr:row>
      <xdr:rowOff>114300</xdr:rowOff>
    </xdr:from>
    <xdr:to>
      <xdr:col>14</xdr:col>
      <xdr:colOff>394970</xdr:colOff>
      <xdr:row>34</xdr:row>
      <xdr:rowOff>388620</xdr:rowOff>
    </xdr:to>
    <xdr:pic>
      <xdr:nvPicPr>
        <xdr:cNvPr id="308" name="Image 307" descr="phase de la lune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123825</xdr:rowOff>
    </xdr:from>
    <xdr:to>
      <xdr:col>15</xdr:col>
      <xdr:colOff>414020</xdr:colOff>
      <xdr:row>34</xdr:row>
      <xdr:rowOff>398145</xdr:rowOff>
    </xdr:to>
    <xdr:pic>
      <xdr:nvPicPr>
        <xdr:cNvPr id="309" name="Image 308" descr="phase de la lune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35</xdr:row>
      <xdr:rowOff>114300</xdr:rowOff>
    </xdr:from>
    <xdr:to>
      <xdr:col>9</xdr:col>
      <xdr:colOff>394418</xdr:colOff>
      <xdr:row>35</xdr:row>
      <xdr:rowOff>388620</xdr:rowOff>
    </xdr:to>
    <xdr:pic>
      <xdr:nvPicPr>
        <xdr:cNvPr id="310" name="Image 309" descr="phase de la lune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35</xdr:row>
      <xdr:rowOff>114300</xdr:rowOff>
    </xdr:from>
    <xdr:to>
      <xdr:col>10</xdr:col>
      <xdr:colOff>394418</xdr:colOff>
      <xdr:row>35</xdr:row>
      <xdr:rowOff>388620</xdr:rowOff>
    </xdr:to>
    <xdr:pic>
      <xdr:nvPicPr>
        <xdr:cNvPr id="311" name="Image 310" descr="phase de la lune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35</xdr:row>
      <xdr:rowOff>114300</xdr:rowOff>
    </xdr:from>
    <xdr:to>
      <xdr:col>11</xdr:col>
      <xdr:colOff>394970</xdr:colOff>
      <xdr:row>35</xdr:row>
      <xdr:rowOff>388620</xdr:rowOff>
    </xdr:to>
    <xdr:pic>
      <xdr:nvPicPr>
        <xdr:cNvPr id="312" name="Image 311" descr="phase de la lune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35</xdr:row>
      <xdr:rowOff>114300</xdr:rowOff>
    </xdr:from>
    <xdr:to>
      <xdr:col>12</xdr:col>
      <xdr:colOff>394970</xdr:colOff>
      <xdr:row>35</xdr:row>
      <xdr:rowOff>388620</xdr:rowOff>
    </xdr:to>
    <xdr:pic>
      <xdr:nvPicPr>
        <xdr:cNvPr id="313" name="Image 312" descr="phase de la lune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35</xdr:row>
      <xdr:rowOff>114300</xdr:rowOff>
    </xdr:from>
    <xdr:to>
      <xdr:col>13</xdr:col>
      <xdr:colOff>394970</xdr:colOff>
      <xdr:row>35</xdr:row>
      <xdr:rowOff>388620</xdr:rowOff>
    </xdr:to>
    <xdr:pic>
      <xdr:nvPicPr>
        <xdr:cNvPr id="314" name="Image 313" descr="phase de la lune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35</xdr:row>
      <xdr:rowOff>114300</xdr:rowOff>
    </xdr:from>
    <xdr:to>
      <xdr:col>14</xdr:col>
      <xdr:colOff>394970</xdr:colOff>
      <xdr:row>35</xdr:row>
      <xdr:rowOff>388620</xdr:rowOff>
    </xdr:to>
    <xdr:pic>
      <xdr:nvPicPr>
        <xdr:cNvPr id="315" name="Image 314" descr="phase de la lune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123825</xdr:rowOff>
    </xdr:from>
    <xdr:to>
      <xdr:col>15</xdr:col>
      <xdr:colOff>414020</xdr:colOff>
      <xdr:row>35</xdr:row>
      <xdr:rowOff>398145</xdr:rowOff>
    </xdr:to>
    <xdr:pic>
      <xdr:nvPicPr>
        <xdr:cNvPr id="316" name="Image 315" descr="phase de la lune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36</xdr:row>
      <xdr:rowOff>114300</xdr:rowOff>
    </xdr:from>
    <xdr:to>
      <xdr:col>9</xdr:col>
      <xdr:colOff>394970</xdr:colOff>
      <xdr:row>36</xdr:row>
      <xdr:rowOff>388620</xdr:rowOff>
    </xdr:to>
    <xdr:pic>
      <xdr:nvPicPr>
        <xdr:cNvPr id="317" name="Image 316" descr="phase de la lune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36</xdr:row>
      <xdr:rowOff>114300</xdr:rowOff>
    </xdr:from>
    <xdr:to>
      <xdr:col>10</xdr:col>
      <xdr:colOff>394418</xdr:colOff>
      <xdr:row>36</xdr:row>
      <xdr:rowOff>388620</xdr:rowOff>
    </xdr:to>
    <xdr:pic>
      <xdr:nvPicPr>
        <xdr:cNvPr id="318" name="Image 317" descr="phase de la lune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36</xdr:row>
      <xdr:rowOff>114300</xdr:rowOff>
    </xdr:from>
    <xdr:to>
      <xdr:col>11</xdr:col>
      <xdr:colOff>394418</xdr:colOff>
      <xdr:row>36</xdr:row>
      <xdr:rowOff>388620</xdr:rowOff>
    </xdr:to>
    <xdr:pic>
      <xdr:nvPicPr>
        <xdr:cNvPr id="319" name="Image 318" descr="phase de la lune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36</xdr:row>
      <xdr:rowOff>114300</xdr:rowOff>
    </xdr:from>
    <xdr:to>
      <xdr:col>12</xdr:col>
      <xdr:colOff>394970</xdr:colOff>
      <xdr:row>36</xdr:row>
      <xdr:rowOff>388620</xdr:rowOff>
    </xdr:to>
    <xdr:pic>
      <xdr:nvPicPr>
        <xdr:cNvPr id="320" name="Image 319" descr="phase de la lune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36</xdr:row>
      <xdr:rowOff>114300</xdr:rowOff>
    </xdr:from>
    <xdr:to>
      <xdr:col>13</xdr:col>
      <xdr:colOff>394970</xdr:colOff>
      <xdr:row>36</xdr:row>
      <xdr:rowOff>388620</xdr:rowOff>
    </xdr:to>
    <xdr:pic>
      <xdr:nvPicPr>
        <xdr:cNvPr id="321" name="Image 320" descr="phase de la lune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36</xdr:row>
      <xdr:rowOff>114300</xdr:rowOff>
    </xdr:from>
    <xdr:to>
      <xdr:col>14</xdr:col>
      <xdr:colOff>394970</xdr:colOff>
      <xdr:row>36</xdr:row>
      <xdr:rowOff>388620</xdr:rowOff>
    </xdr:to>
    <xdr:pic>
      <xdr:nvPicPr>
        <xdr:cNvPr id="322" name="Image 321" descr="phase de la lune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123825</xdr:rowOff>
    </xdr:from>
    <xdr:to>
      <xdr:col>15</xdr:col>
      <xdr:colOff>414020</xdr:colOff>
      <xdr:row>36</xdr:row>
      <xdr:rowOff>398145</xdr:rowOff>
    </xdr:to>
    <xdr:pic>
      <xdr:nvPicPr>
        <xdr:cNvPr id="323" name="Image 322" descr="phase de la lune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37</xdr:row>
      <xdr:rowOff>114300</xdr:rowOff>
    </xdr:from>
    <xdr:to>
      <xdr:col>9</xdr:col>
      <xdr:colOff>404495</xdr:colOff>
      <xdr:row>37</xdr:row>
      <xdr:rowOff>388620</xdr:rowOff>
    </xdr:to>
    <xdr:pic>
      <xdr:nvPicPr>
        <xdr:cNvPr id="324" name="Image 323" descr="phase de la lune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37</xdr:row>
      <xdr:rowOff>114300</xdr:rowOff>
    </xdr:from>
    <xdr:to>
      <xdr:col>10</xdr:col>
      <xdr:colOff>403943</xdr:colOff>
      <xdr:row>37</xdr:row>
      <xdr:rowOff>388620</xdr:rowOff>
    </xdr:to>
    <xdr:pic>
      <xdr:nvPicPr>
        <xdr:cNvPr id="325" name="Image 324" descr="phase de la lune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37</xdr:row>
      <xdr:rowOff>114300</xdr:rowOff>
    </xdr:from>
    <xdr:to>
      <xdr:col>11</xdr:col>
      <xdr:colOff>403943</xdr:colOff>
      <xdr:row>37</xdr:row>
      <xdr:rowOff>388620</xdr:rowOff>
    </xdr:to>
    <xdr:pic>
      <xdr:nvPicPr>
        <xdr:cNvPr id="326" name="Image 325" descr="phase de la lune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37</xdr:row>
      <xdr:rowOff>114300</xdr:rowOff>
    </xdr:from>
    <xdr:to>
      <xdr:col>12</xdr:col>
      <xdr:colOff>404495</xdr:colOff>
      <xdr:row>37</xdr:row>
      <xdr:rowOff>388620</xdr:rowOff>
    </xdr:to>
    <xdr:pic>
      <xdr:nvPicPr>
        <xdr:cNvPr id="327" name="Image 326" descr="phase de la lune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37</xdr:row>
      <xdr:rowOff>114300</xdr:rowOff>
    </xdr:from>
    <xdr:to>
      <xdr:col>13</xdr:col>
      <xdr:colOff>404495</xdr:colOff>
      <xdr:row>37</xdr:row>
      <xdr:rowOff>388620</xdr:rowOff>
    </xdr:to>
    <xdr:pic>
      <xdr:nvPicPr>
        <xdr:cNvPr id="328" name="Image 327" descr="phase de la lune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37</xdr:row>
      <xdr:rowOff>114300</xdr:rowOff>
    </xdr:from>
    <xdr:to>
      <xdr:col>14</xdr:col>
      <xdr:colOff>404495</xdr:colOff>
      <xdr:row>37</xdr:row>
      <xdr:rowOff>388620</xdr:rowOff>
    </xdr:to>
    <xdr:pic>
      <xdr:nvPicPr>
        <xdr:cNvPr id="329" name="Image 328" descr="phase de la lune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123825</xdr:rowOff>
    </xdr:from>
    <xdr:to>
      <xdr:col>15</xdr:col>
      <xdr:colOff>414020</xdr:colOff>
      <xdr:row>37</xdr:row>
      <xdr:rowOff>398145</xdr:rowOff>
    </xdr:to>
    <xdr:pic>
      <xdr:nvPicPr>
        <xdr:cNvPr id="330" name="Image 329" descr="phase de la lune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38</xdr:row>
      <xdr:rowOff>114300</xdr:rowOff>
    </xdr:from>
    <xdr:to>
      <xdr:col>9</xdr:col>
      <xdr:colOff>404495</xdr:colOff>
      <xdr:row>38</xdr:row>
      <xdr:rowOff>388620</xdr:rowOff>
    </xdr:to>
    <xdr:pic>
      <xdr:nvPicPr>
        <xdr:cNvPr id="331" name="Image 330" descr="phase de la lune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38</xdr:row>
      <xdr:rowOff>114300</xdr:rowOff>
    </xdr:from>
    <xdr:to>
      <xdr:col>10</xdr:col>
      <xdr:colOff>404495</xdr:colOff>
      <xdr:row>38</xdr:row>
      <xdr:rowOff>388620</xdr:rowOff>
    </xdr:to>
    <xdr:pic>
      <xdr:nvPicPr>
        <xdr:cNvPr id="332" name="Image 331" descr="phase de la lune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38</xdr:row>
      <xdr:rowOff>114300</xdr:rowOff>
    </xdr:from>
    <xdr:to>
      <xdr:col>11</xdr:col>
      <xdr:colOff>404495</xdr:colOff>
      <xdr:row>38</xdr:row>
      <xdr:rowOff>388620</xdr:rowOff>
    </xdr:to>
    <xdr:pic>
      <xdr:nvPicPr>
        <xdr:cNvPr id="333" name="Image 332" descr="phase de la lune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38</xdr:row>
      <xdr:rowOff>114300</xdr:rowOff>
    </xdr:from>
    <xdr:to>
      <xdr:col>12</xdr:col>
      <xdr:colOff>404495</xdr:colOff>
      <xdr:row>38</xdr:row>
      <xdr:rowOff>379095</xdr:rowOff>
    </xdr:to>
    <xdr:pic>
      <xdr:nvPicPr>
        <xdr:cNvPr id="334" name="Image 333" descr="phase de la lune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38</xdr:row>
      <xdr:rowOff>114300</xdr:rowOff>
    </xdr:from>
    <xdr:to>
      <xdr:col>13</xdr:col>
      <xdr:colOff>404495</xdr:colOff>
      <xdr:row>38</xdr:row>
      <xdr:rowOff>388620</xdr:rowOff>
    </xdr:to>
    <xdr:pic>
      <xdr:nvPicPr>
        <xdr:cNvPr id="335" name="Image 334" descr="phase de la lune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38</xdr:row>
      <xdr:rowOff>114300</xdr:rowOff>
    </xdr:from>
    <xdr:to>
      <xdr:col>14</xdr:col>
      <xdr:colOff>404495</xdr:colOff>
      <xdr:row>38</xdr:row>
      <xdr:rowOff>388620</xdr:rowOff>
    </xdr:to>
    <xdr:pic>
      <xdr:nvPicPr>
        <xdr:cNvPr id="336" name="Image 335" descr="phase de la lune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114300</xdr:rowOff>
    </xdr:from>
    <xdr:to>
      <xdr:col>23</xdr:col>
      <xdr:colOff>404495</xdr:colOff>
      <xdr:row>34</xdr:row>
      <xdr:rowOff>388620</xdr:rowOff>
    </xdr:to>
    <xdr:pic>
      <xdr:nvPicPr>
        <xdr:cNvPr id="337" name="Image 336" descr="phase de la lune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66675</xdr:rowOff>
    </xdr:from>
    <xdr:to>
      <xdr:col>17</xdr:col>
      <xdr:colOff>394970</xdr:colOff>
      <xdr:row>35</xdr:row>
      <xdr:rowOff>340995</xdr:rowOff>
    </xdr:to>
    <xdr:pic>
      <xdr:nvPicPr>
        <xdr:cNvPr id="338" name="Image 337" descr="phase de la lune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66675</xdr:rowOff>
    </xdr:from>
    <xdr:to>
      <xdr:col>18</xdr:col>
      <xdr:colOff>394418</xdr:colOff>
      <xdr:row>35</xdr:row>
      <xdr:rowOff>340995</xdr:rowOff>
    </xdr:to>
    <xdr:pic>
      <xdr:nvPicPr>
        <xdr:cNvPr id="339" name="Image 338" descr="phase de la lune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1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66675</xdr:rowOff>
    </xdr:from>
    <xdr:to>
      <xdr:col>19</xdr:col>
      <xdr:colOff>394418</xdr:colOff>
      <xdr:row>35</xdr:row>
      <xdr:rowOff>340995</xdr:rowOff>
    </xdr:to>
    <xdr:pic>
      <xdr:nvPicPr>
        <xdr:cNvPr id="340" name="Image 339" descr="phase de la lune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1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66675</xdr:rowOff>
    </xdr:from>
    <xdr:to>
      <xdr:col>20</xdr:col>
      <xdr:colOff>394970</xdr:colOff>
      <xdr:row>35</xdr:row>
      <xdr:rowOff>340995</xdr:rowOff>
    </xdr:to>
    <xdr:pic>
      <xdr:nvPicPr>
        <xdr:cNvPr id="341" name="Image 340" descr="phase de la lune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66675</xdr:rowOff>
    </xdr:from>
    <xdr:to>
      <xdr:col>21</xdr:col>
      <xdr:colOff>394970</xdr:colOff>
      <xdr:row>35</xdr:row>
      <xdr:rowOff>340995</xdr:rowOff>
    </xdr:to>
    <xdr:pic>
      <xdr:nvPicPr>
        <xdr:cNvPr id="342" name="Image 341" descr="phase de la lune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66675</xdr:rowOff>
    </xdr:from>
    <xdr:to>
      <xdr:col>22</xdr:col>
      <xdr:colOff>394970</xdr:colOff>
      <xdr:row>35</xdr:row>
      <xdr:rowOff>340995</xdr:rowOff>
    </xdr:to>
    <xdr:pic>
      <xdr:nvPicPr>
        <xdr:cNvPr id="343" name="Image 342" descr="phase de la lune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1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114300</xdr:rowOff>
    </xdr:from>
    <xdr:to>
      <xdr:col>23</xdr:col>
      <xdr:colOff>404495</xdr:colOff>
      <xdr:row>35</xdr:row>
      <xdr:rowOff>388620</xdr:rowOff>
    </xdr:to>
    <xdr:pic>
      <xdr:nvPicPr>
        <xdr:cNvPr id="344" name="Image 343" descr="phase de la lune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95250</xdr:rowOff>
    </xdr:from>
    <xdr:to>
      <xdr:col>17</xdr:col>
      <xdr:colOff>414020</xdr:colOff>
      <xdr:row>36</xdr:row>
      <xdr:rowOff>369570</xdr:rowOff>
    </xdr:to>
    <xdr:pic>
      <xdr:nvPicPr>
        <xdr:cNvPr id="345" name="Image 344" descr="phase de la lune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95250</xdr:rowOff>
    </xdr:from>
    <xdr:to>
      <xdr:col>18</xdr:col>
      <xdr:colOff>414020</xdr:colOff>
      <xdr:row>36</xdr:row>
      <xdr:rowOff>369570</xdr:rowOff>
    </xdr:to>
    <xdr:pic>
      <xdr:nvPicPr>
        <xdr:cNvPr id="346" name="Image 345" descr="phase de la lune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6002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95250</xdr:rowOff>
    </xdr:from>
    <xdr:to>
      <xdr:col>19</xdr:col>
      <xdr:colOff>413468</xdr:colOff>
      <xdr:row>36</xdr:row>
      <xdr:rowOff>369570</xdr:rowOff>
    </xdr:to>
    <xdr:pic>
      <xdr:nvPicPr>
        <xdr:cNvPr id="347" name="Image 346" descr="phase de la lune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16002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66675</xdr:rowOff>
    </xdr:from>
    <xdr:to>
      <xdr:col>20</xdr:col>
      <xdr:colOff>394418</xdr:colOff>
      <xdr:row>36</xdr:row>
      <xdr:rowOff>340995</xdr:rowOff>
    </xdr:to>
    <xdr:pic>
      <xdr:nvPicPr>
        <xdr:cNvPr id="348" name="Image 347" descr="phase de la lune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97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66675</xdr:rowOff>
    </xdr:from>
    <xdr:to>
      <xdr:col>21</xdr:col>
      <xdr:colOff>394970</xdr:colOff>
      <xdr:row>36</xdr:row>
      <xdr:rowOff>340995</xdr:rowOff>
    </xdr:to>
    <xdr:pic>
      <xdr:nvPicPr>
        <xdr:cNvPr id="349" name="Image 348" descr="phase de la lune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97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66675</xdr:rowOff>
    </xdr:from>
    <xdr:to>
      <xdr:col>22</xdr:col>
      <xdr:colOff>394970</xdr:colOff>
      <xdr:row>36</xdr:row>
      <xdr:rowOff>340995</xdr:rowOff>
    </xdr:to>
    <xdr:pic>
      <xdr:nvPicPr>
        <xdr:cNvPr id="350" name="Image 349" descr="phase de la lune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97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114300</xdr:rowOff>
    </xdr:from>
    <xdr:to>
      <xdr:col>23</xdr:col>
      <xdr:colOff>404495</xdr:colOff>
      <xdr:row>36</xdr:row>
      <xdr:rowOff>388620</xdr:rowOff>
    </xdr:to>
    <xdr:pic>
      <xdr:nvPicPr>
        <xdr:cNvPr id="351" name="Image 350" descr="phase de la lune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95250</xdr:rowOff>
    </xdr:from>
    <xdr:to>
      <xdr:col>17</xdr:col>
      <xdr:colOff>414020</xdr:colOff>
      <xdr:row>37</xdr:row>
      <xdr:rowOff>369570</xdr:rowOff>
    </xdr:to>
    <xdr:pic>
      <xdr:nvPicPr>
        <xdr:cNvPr id="352" name="Image 351" descr="phase de la lune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95250</xdr:rowOff>
    </xdr:from>
    <xdr:to>
      <xdr:col>18</xdr:col>
      <xdr:colOff>414020</xdr:colOff>
      <xdr:row>37</xdr:row>
      <xdr:rowOff>369570</xdr:rowOff>
    </xdr:to>
    <xdr:pic>
      <xdr:nvPicPr>
        <xdr:cNvPr id="353" name="Image 352" descr="phase de la lune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95250</xdr:rowOff>
    </xdr:from>
    <xdr:to>
      <xdr:col>19</xdr:col>
      <xdr:colOff>413468</xdr:colOff>
      <xdr:row>37</xdr:row>
      <xdr:rowOff>369570</xdr:rowOff>
    </xdr:to>
    <xdr:pic>
      <xdr:nvPicPr>
        <xdr:cNvPr id="354" name="Image 353" descr="phase de la lune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95250</xdr:rowOff>
    </xdr:from>
    <xdr:to>
      <xdr:col>20</xdr:col>
      <xdr:colOff>413468</xdr:colOff>
      <xdr:row>37</xdr:row>
      <xdr:rowOff>369570</xdr:rowOff>
    </xdr:to>
    <xdr:pic>
      <xdr:nvPicPr>
        <xdr:cNvPr id="355" name="Image 354" descr="phase de la lune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16459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95250</xdr:rowOff>
    </xdr:from>
    <xdr:to>
      <xdr:col>21</xdr:col>
      <xdr:colOff>414020</xdr:colOff>
      <xdr:row>37</xdr:row>
      <xdr:rowOff>369570</xdr:rowOff>
    </xdr:to>
    <xdr:pic>
      <xdr:nvPicPr>
        <xdr:cNvPr id="356" name="Image 355" descr="phase de la lune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95250</xdr:rowOff>
    </xdr:from>
    <xdr:to>
      <xdr:col>22</xdr:col>
      <xdr:colOff>414020</xdr:colOff>
      <xdr:row>37</xdr:row>
      <xdr:rowOff>369570</xdr:rowOff>
    </xdr:to>
    <xdr:pic>
      <xdr:nvPicPr>
        <xdr:cNvPr id="357" name="Image 356" descr="phase de la lune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16459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114300</xdr:rowOff>
    </xdr:from>
    <xdr:to>
      <xdr:col>23</xdr:col>
      <xdr:colOff>404495</xdr:colOff>
      <xdr:row>37</xdr:row>
      <xdr:rowOff>388620</xdr:rowOff>
    </xdr:to>
    <xdr:pic>
      <xdr:nvPicPr>
        <xdr:cNvPr id="358" name="Image 357" descr="phase de la lune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95250</xdr:rowOff>
    </xdr:from>
    <xdr:to>
      <xdr:col>17</xdr:col>
      <xdr:colOff>414020</xdr:colOff>
      <xdr:row>38</xdr:row>
      <xdr:rowOff>369570</xdr:rowOff>
    </xdr:to>
    <xdr:pic>
      <xdr:nvPicPr>
        <xdr:cNvPr id="359" name="Image 358" descr="phase de la lune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95250</xdr:rowOff>
    </xdr:from>
    <xdr:to>
      <xdr:col>18</xdr:col>
      <xdr:colOff>414020</xdr:colOff>
      <xdr:row>38</xdr:row>
      <xdr:rowOff>369570</xdr:rowOff>
    </xdr:to>
    <xdr:pic>
      <xdr:nvPicPr>
        <xdr:cNvPr id="360" name="Image 359" descr="phase de la lune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95250</xdr:rowOff>
    </xdr:from>
    <xdr:to>
      <xdr:col>19</xdr:col>
      <xdr:colOff>414020</xdr:colOff>
      <xdr:row>38</xdr:row>
      <xdr:rowOff>369570</xdr:rowOff>
    </xdr:to>
    <xdr:pic>
      <xdr:nvPicPr>
        <xdr:cNvPr id="361" name="Image 360" descr="phase de la lune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95250</xdr:rowOff>
    </xdr:from>
    <xdr:to>
      <xdr:col>20</xdr:col>
      <xdr:colOff>414020</xdr:colOff>
      <xdr:row>38</xdr:row>
      <xdr:rowOff>369570</xdr:rowOff>
    </xdr:to>
    <xdr:pic>
      <xdr:nvPicPr>
        <xdr:cNvPr id="362" name="Image 361" descr="phase de la lune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92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95250</xdr:rowOff>
    </xdr:from>
    <xdr:to>
      <xdr:col>21</xdr:col>
      <xdr:colOff>414020</xdr:colOff>
      <xdr:row>38</xdr:row>
      <xdr:rowOff>360045</xdr:rowOff>
    </xdr:to>
    <xdr:pic>
      <xdr:nvPicPr>
        <xdr:cNvPr id="363" name="Image 362" descr="phase de la lune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16916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95250</xdr:rowOff>
    </xdr:from>
    <xdr:to>
      <xdr:col>22</xdr:col>
      <xdr:colOff>414020</xdr:colOff>
      <xdr:row>38</xdr:row>
      <xdr:rowOff>369570</xdr:rowOff>
    </xdr:to>
    <xdr:pic>
      <xdr:nvPicPr>
        <xdr:cNvPr id="364" name="Image 363" descr="phase de la lune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475" y="16916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114300</xdr:rowOff>
    </xdr:from>
    <xdr:to>
      <xdr:col>23</xdr:col>
      <xdr:colOff>404495</xdr:colOff>
      <xdr:row>38</xdr:row>
      <xdr:rowOff>388620</xdr:rowOff>
    </xdr:to>
    <xdr:pic>
      <xdr:nvPicPr>
        <xdr:cNvPr id="365" name="Image 364" descr="phase de la lune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95250</xdr:rowOff>
    </xdr:from>
    <xdr:to>
      <xdr:col>17</xdr:col>
      <xdr:colOff>414020</xdr:colOff>
      <xdr:row>39</xdr:row>
      <xdr:rowOff>369570</xdr:rowOff>
    </xdr:to>
    <xdr:pic>
      <xdr:nvPicPr>
        <xdr:cNvPr id="366" name="Image 365" descr="phase de la lune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7373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39</xdr:row>
      <xdr:rowOff>95250</xdr:rowOff>
    </xdr:from>
    <xdr:to>
      <xdr:col>18</xdr:col>
      <xdr:colOff>414020</xdr:colOff>
      <xdr:row>39</xdr:row>
      <xdr:rowOff>369570</xdr:rowOff>
    </xdr:to>
    <xdr:pic>
      <xdr:nvPicPr>
        <xdr:cNvPr id="367" name="Image 366" descr="phase de la lune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375" y="17373600"/>
          <a:ext cx="274320" cy="274320"/>
        </a:xfrm>
        <a:prstGeom prst="rect">
          <a:avLst/>
        </a:prstGeom>
      </xdr:spPr>
    </xdr:pic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7</xdr:row>
      <xdr:rowOff>114300</xdr:rowOff>
    </xdr:from>
    <xdr:to>
      <xdr:col>3</xdr:col>
      <xdr:colOff>394970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7</xdr:row>
      <xdr:rowOff>114300</xdr:rowOff>
    </xdr:from>
    <xdr:to>
      <xdr:col>4</xdr:col>
      <xdr:colOff>394418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7</xdr:row>
      <xdr:rowOff>114300</xdr:rowOff>
    </xdr:from>
    <xdr:to>
      <xdr:col>5</xdr:col>
      <xdr:colOff>394418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7</xdr:row>
      <xdr:rowOff>114300</xdr:rowOff>
    </xdr:from>
    <xdr:to>
      <xdr:col>6</xdr:col>
      <xdr:colOff>394970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133350</xdr:rowOff>
    </xdr:from>
    <xdr:to>
      <xdr:col>7</xdr:col>
      <xdr:colOff>385445</xdr:colOff>
      <xdr:row>7</xdr:row>
      <xdr:rowOff>407670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413468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413468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133350</xdr:rowOff>
    </xdr:from>
    <xdr:to>
      <xdr:col>7</xdr:col>
      <xdr:colOff>385445</xdr:colOff>
      <xdr:row>8</xdr:row>
      <xdr:rowOff>407670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413468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413468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133350</xdr:rowOff>
    </xdr:from>
    <xdr:to>
      <xdr:col>7</xdr:col>
      <xdr:colOff>385445</xdr:colOff>
      <xdr:row>9</xdr:row>
      <xdr:rowOff>407670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385445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133350</xdr:rowOff>
    </xdr:from>
    <xdr:to>
      <xdr:col>7</xdr:col>
      <xdr:colOff>385445</xdr:colOff>
      <xdr:row>10</xdr:row>
      <xdr:rowOff>398145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24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385445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114300</xdr:rowOff>
    </xdr:from>
    <xdr:to>
      <xdr:col>4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11</xdr:row>
      <xdr:rowOff>114300</xdr:rowOff>
    </xdr:from>
    <xdr:to>
      <xdr:col>5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394418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123825</xdr:rowOff>
    </xdr:from>
    <xdr:to>
      <xdr:col>15</xdr:col>
      <xdr:colOff>413468</xdr:colOff>
      <xdr:row>7</xdr:row>
      <xdr:rowOff>398145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3543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123825</xdr:rowOff>
    </xdr:from>
    <xdr:to>
      <xdr:col>15</xdr:col>
      <xdr:colOff>413468</xdr:colOff>
      <xdr:row>8</xdr:row>
      <xdr:rowOff>398145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400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394418</xdr:colOff>
      <xdr:row>9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394418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123825</xdr:rowOff>
    </xdr:from>
    <xdr:to>
      <xdr:col>15</xdr:col>
      <xdr:colOff>413468</xdr:colOff>
      <xdr:row>9</xdr:row>
      <xdr:rowOff>398145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123825</xdr:rowOff>
    </xdr:from>
    <xdr:to>
      <xdr:col>15</xdr:col>
      <xdr:colOff>414020</xdr:colOff>
      <xdr:row>10</xdr:row>
      <xdr:rowOff>398145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379095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11</xdr:row>
      <xdr:rowOff>114300</xdr:rowOff>
    </xdr:from>
    <xdr:to>
      <xdr:col>13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11</xdr:row>
      <xdr:rowOff>114300</xdr:rowOff>
    </xdr:from>
    <xdr:to>
      <xdr:col>14</xdr:col>
      <xdr:colOff>394970</xdr:colOff>
      <xdr:row>11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114300</xdr:rowOff>
    </xdr:from>
    <xdr:to>
      <xdr:col>23</xdr:col>
      <xdr:colOff>404495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375368</xdr:colOff>
      <xdr:row>8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375368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375920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375920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375920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114300</xdr:rowOff>
    </xdr:from>
    <xdr:to>
      <xdr:col>23</xdr:col>
      <xdr:colOff>404495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123825</xdr:rowOff>
    </xdr:from>
    <xdr:to>
      <xdr:col>17</xdr:col>
      <xdr:colOff>384893</xdr:colOff>
      <xdr:row>9</xdr:row>
      <xdr:rowOff>398145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123825</xdr:rowOff>
    </xdr:from>
    <xdr:to>
      <xdr:col>18</xdr:col>
      <xdr:colOff>384893</xdr:colOff>
      <xdr:row>9</xdr:row>
      <xdr:rowOff>398145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123825</xdr:rowOff>
    </xdr:from>
    <xdr:to>
      <xdr:col>19</xdr:col>
      <xdr:colOff>385445</xdr:colOff>
      <xdr:row>9</xdr:row>
      <xdr:rowOff>398145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123825</xdr:rowOff>
    </xdr:from>
    <xdr:to>
      <xdr:col>20</xdr:col>
      <xdr:colOff>385445</xdr:colOff>
      <xdr:row>9</xdr:row>
      <xdr:rowOff>398145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123825</xdr:rowOff>
    </xdr:from>
    <xdr:to>
      <xdr:col>21</xdr:col>
      <xdr:colOff>385445</xdr:colOff>
      <xdr:row>9</xdr:row>
      <xdr:rowOff>398145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123825</xdr:rowOff>
    </xdr:from>
    <xdr:to>
      <xdr:col>22</xdr:col>
      <xdr:colOff>385445</xdr:colOff>
      <xdr:row>9</xdr:row>
      <xdr:rowOff>398145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114300</xdr:rowOff>
    </xdr:from>
    <xdr:to>
      <xdr:col>23</xdr:col>
      <xdr:colOff>404495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123825</xdr:rowOff>
    </xdr:from>
    <xdr:to>
      <xdr:col>17</xdr:col>
      <xdr:colOff>384893</xdr:colOff>
      <xdr:row>10</xdr:row>
      <xdr:rowOff>398145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123825</xdr:rowOff>
    </xdr:from>
    <xdr:to>
      <xdr:col>18</xdr:col>
      <xdr:colOff>384893</xdr:colOff>
      <xdr:row>10</xdr:row>
      <xdr:rowOff>398145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123825</xdr:rowOff>
    </xdr:from>
    <xdr:to>
      <xdr:col>19</xdr:col>
      <xdr:colOff>385445</xdr:colOff>
      <xdr:row>10</xdr:row>
      <xdr:rowOff>398145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123825</xdr:rowOff>
    </xdr:from>
    <xdr:to>
      <xdr:col>20</xdr:col>
      <xdr:colOff>385445</xdr:colOff>
      <xdr:row>10</xdr:row>
      <xdr:rowOff>398145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123825</xdr:rowOff>
    </xdr:from>
    <xdr:to>
      <xdr:col>21</xdr:col>
      <xdr:colOff>385445</xdr:colOff>
      <xdr:row>10</xdr:row>
      <xdr:rowOff>398145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123825</xdr:rowOff>
    </xdr:from>
    <xdr:to>
      <xdr:col>22</xdr:col>
      <xdr:colOff>385445</xdr:colOff>
      <xdr:row>10</xdr:row>
      <xdr:rowOff>398145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114300</xdr:rowOff>
    </xdr:from>
    <xdr:to>
      <xdr:col>23</xdr:col>
      <xdr:colOff>404495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95250</xdr:rowOff>
    </xdr:from>
    <xdr:to>
      <xdr:col>17</xdr:col>
      <xdr:colOff>394970</xdr:colOff>
      <xdr:row>11</xdr:row>
      <xdr:rowOff>369570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95250</xdr:rowOff>
    </xdr:from>
    <xdr:to>
      <xdr:col>18</xdr:col>
      <xdr:colOff>394970</xdr:colOff>
      <xdr:row>11</xdr:row>
      <xdr:rowOff>369570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95250</xdr:rowOff>
    </xdr:from>
    <xdr:to>
      <xdr:col>19</xdr:col>
      <xdr:colOff>394970</xdr:colOff>
      <xdr:row>11</xdr:row>
      <xdr:rowOff>369570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11</xdr:row>
      <xdr:rowOff>95250</xdr:rowOff>
    </xdr:from>
    <xdr:to>
      <xdr:col>20</xdr:col>
      <xdr:colOff>394970</xdr:colOff>
      <xdr:row>11</xdr:row>
      <xdr:rowOff>360045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43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11</xdr:row>
      <xdr:rowOff>95250</xdr:rowOff>
    </xdr:from>
    <xdr:to>
      <xdr:col>21</xdr:col>
      <xdr:colOff>394970</xdr:colOff>
      <xdr:row>11</xdr:row>
      <xdr:rowOff>369570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11</xdr:row>
      <xdr:rowOff>95250</xdr:rowOff>
    </xdr:from>
    <xdr:to>
      <xdr:col>22</xdr:col>
      <xdr:colOff>394970</xdr:colOff>
      <xdr:row>11</xdr:row>
      <xdr:rowOff>369570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5343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114300</xdr:rowOff>
    </xdr:from>
    <xdr:to>
      <xdr:col>23</xdr:col>
      <xdr:colOff>404495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12</xdr:row>
      <xdr:rowOff>95250</xdr:rowOff>
    </xdr:from>
    <xdr:to>
      <xdr:col>17</xdr:col>
      <xdr:colOff>394970</xdr:colOff>
      <xdr:row>12</xdr:row>
      <xdr:rowOff>369570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12</xdr:row>
      <xdr:rowOff>95250</xdr:rowOff>
    </xdr:from>
    <xdr:to>
      <xdr:col>18</xdr:col>
      <xdr:colOff>394970</xdr:colOff>
      <xdr:row>12</xdr:row>
      <xdr:rowOff>369570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800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16</xdr:row>
      <xdr:rowOff>114300</xdr:rowOff>
    </xdr:from>
    <xdr:to>
      <xdr:col>3</xdr:col>
      <xdr:colOff>394418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16</xdr:row>
      <xdr:rowOff>114300</xdr:rowOff>
    </xdr:from>
    <xdr:to>
      <xdr:col>4</xdr:col>
      <xdr:colOff>394418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16</xdr:row>
      <xdr:rowOff>114300</xdr:rowOff>
    </xdr:from>
    <xdr:to>
      <xdr:col>5</xdr:col>
      <xdr:colOff>394970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16</xdr:row>
      <xdr:rowOff>114300</xdr:rowOff>
    </xdr:from>
    <xdr:to>
      <xdr:col>6</xdr:col>
      <xdr:colOff>394970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16</xdr:row>
      <xdr:rowOff>104775</xdr:rowOff>
    </xdr:from>
    <xdr:to>
      <xdr:col>7</xdr:col>
      <xdr:colOff>404495</xdr:colOff>
      <xdr:row>16</xdr:row>
      <xdr:rowOff>379095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394970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394418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394418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394970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394970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17</xdr:row>
      <xdr:rowOff>104775</xdr:rowOff>
    </xdr:from>
    <xdr:to>
      <xdr:col>7</xdr:col>
      <xdr:colOff>404495</xdr:colOff>
      <xdr:row>17</xdr:row>
      <xdr:rowOff>379095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394970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394418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394418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394970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394970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18</xdr:row>
      <xdr:rowOff>104775</xdr:rowOff>
    </xdr:from>
    <xdr:to>
      <xdr:col>7</xdr:col>
      <xdr:colOff>404495</xdr:colOff>
      <xdr:row>18</xdr:row>
      <xdr:rowOff>379095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394970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394970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379095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394970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19</xdr:row>
      <xdr:rowOff>104775</xdr:rowOff>
    </xdr:from>
    <xdr:to>
      <xdr:col>7</xdr:col>
      <xdr:colOff>404495</xdr:colOff>
      <xdr:row>19</xdr:row>
      <xdr:rowOff>379095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394418</xdr:colOff>
      <xdr:row>20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16</xdr:row>
      <xdr:rowOff>114300</xdr:rowOff>
    </xdr:from>
    <xdr:to>
      <xdr:col>13</xdr:col>
      <xdr:colOff>403943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16</xdr:row>
      <xdr:rowOff>114300</xdr:rowOff>
    </xdr:from>
    <xdr:to>
      <xdr:col>14</xdr:col>
      <xdr:colOff>404495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123825</xdr:rowOff>
    </xdr:from>
    <xdr:to>
      <xdr:col>15</xdr:col>
      <xdr:colOff>394970</xdr:colOff>
      <xdr:row>16</xdr:row>
      <xdr:rowOff>398145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17</xdr:row>
      <xdr:rowOff>114300</xdr:rowOff>
    </xdr:from>
    <xdr:to>
      <xdr:col>9</xdr:col>
      <xdr:colOff>404495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17</xdr:row>
      <xdr:rowOff>114300</xdr:rowOff>
    </xdr:from>
    <xdr:to>
      <xdr:col>10</xdr:col>
      <xdr:colOff>404495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17</xdr:row>
      <xdr:rowOff>114300</xdr:rowOff>
    </xdr:from>
    <xdr:to>
      <xdr:col>11</xdr:col>
      <xdr:colOff>404495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17</xdr:row>
      <xdr:rowOff>114300</xdr:rowOff>
    </xdr:from>
    <xdr:to>
      <xdr:col>12</xdr:col>
      <xdr:colOff>403943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17</xdr:row>
      <xdr:rowOff>114300</xdr:rowOff>
    </xdr:from>
    <xdr:to>
      <xdr:col>13</xdr:col>
      <xdr:colOff>403943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17</xdr:row>
      <xdr:rowOff>114300</xdr:rowOff>
    </xdr:from>
    <xdr:to>
      <xdr:col>14</xdr:col>
      <xdr:colOff>404495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123825</xdr:rowOff>
    </xdr:from>
    <xdr:to>
      <xdr:col>15</xdr:col>
      <xdr:colOff>394970</xdr:colOff>
      <xdr:row>17</xdr:row>
      <xdr:rowOff>398145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18</xdr:row>
      <xdr:rowOff>114300</xdr:rowOff>
    </xdr:from>
    <xdr:to>
      <xdr:col>9</xdr:col>
      <xdr:colOff>404495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18</xdr:row>
      <xdr:rowOff>114300</xdr:rowOff>
    </xdr:from>
    <xdr:to>
      <xdr:col>10</xdr:col>
      <xdr:colOff>404495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18</xdr:row>
      <xdr:rowOff>114300</xdr:rowOff>
    </xdr:from>
    <xdr:to>
      <xdr:col>11</xdr:col>
      <xdr:colOff>404495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18</xdr:row>
      <xdr:rowOff>114300</xdr:rowOff>
    </xdr:from>
    <xdr:to>
      <xdr:col>12</xdr:col>
      <xdr:colOff>403943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18</xdr:row>
      <xdr:rowOff>114300</xdr:rowOff>
    </xdr:from>
    <xdr:to>
      <xdr:col>13</xdr:col>
      <xdr:colOff>403943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18</xdr:row>
      <xdr:rowOff>114300</xdr:rowOff>
    </xdr:from>
    <xdr:to>
      <xdr:col>14</xdr:col>
      <xdr:colOff>404495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123825</xdr:rowOff>
    </xdr:from>
    <xdr:to>
      <xdr:col>15</xdr:col>
      <xdr:colOff>394970</xdr:colOff>
      <xdr:row>18</xdr:row>
      <xdr:rowOff>398145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19</xdr:row>
      <xdr:rowOff>114300</xdr:rowOff>
    </xdr:from>
    <xdr:to>
      <xdr:col>9</xdr:col>
      <xdr:colOff>404495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19</xdr:row>
      <xdr:rowOff>114300</xdr:rowOff>
    </xdr:from>
    <xdr:to>
      <xdr:col>10</xdr:col>
      <xdr:colOff>404495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19</xdr:row>
      <xdr:rowOff>114300</xdr:rowOff>
    </xdr:from>
    <xdr:to>
      <xdr:col>11</xdr:col>
      <xdr:colOff>404495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19</xdr:row>
      <xdr:rowOff>114300</xdr:rowOff>
    </xdr:from>
    <xdr:to>
      <xdr:col>12</xdr:col>
      <xdr:colOff>404495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19</xdr:row>
      <xdr:rowOff>114300</xdr:rowOff>
    </xdr:from>
    <xdr:to>
      <xdr:col>13</xdr:col>
      <xdr:colOff>404495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19</xdr:row>
      <xdr:rowOff>114300</xdr:rowOff>
    </xdr:from>
    <xdr:to>
      <xdr:col>14</xdr:col>
      <xdr:colOff>404495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123825</xdr:rowOff>
    </xdr:from>
    <xdr:to>
      <xdr:col>15</xdr:col>
      <xdr:colOff>394970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72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20</xdr:row>
      <xdr:rowOff>114300</xdr:rowOff>
    </xdr:from>
    <xdr:to>
      <xdr:col>9</xdr:col>
      <xdr:colOff>404495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20</xdr:row>
      <xdr:rowOff>114300</xdr:rowOff>
    </xdr:from>
    <xdr:to>
      <xdr:col>10</xdr:col>
      <xdr:colOff>404495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20</xdr:row>
      <xdr:rowOff>114300</xdr:rowOff>
    </xdr:from>
    <xdr:to>
      <xdr:col>11</xdr:col>
      <xdr:colOff>404495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20</xdr:row>
      <xdr:rowOff>114300</xdr:rowOff>
    </xdr:from>
    <xdr:to>
      <xdr:col>12</xdr:col>
      <xdr:colOff>404495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20</xdr:row>
      <xdr:rowOff>114300</xdr:rowOff>
    </xdr:from>
    <xdr:to>
      <xdr:col>13</xdr:col>
      <xdr:colOff>403943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20</xdr:row>
      <xdr:rowOff>114300</xdr:rowOff>
    </xdr:from>
    <xdr:to>
      <xdr:col>14</xdr:col>
      <xdr:colOff>403943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20</xdr:row>
      <xdr:rowOff>123825</xdr:rowOff>
    </xdr:from>
    <xdr:to>
      <xdr:col>15</xdr:col>
      <xdr:colOff>394970</xdr:colOff>
      <xdr:row>20</xdr:row>
      <xdr:rowOff>398145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16</xdr:row>
      <xdr:rowOff>114300</xdr:rowOff>
    </xdr:from>
    <xdr:to>
      <xdr:col>17</xdr:col>
      <xdr:colOff>375920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16</xdr:row>
      <xdr:rowOff>114300</xdr:rowOff>
    </xdr:from>
    <xdr:to>
      <xdr:col>18</xdr:col>
      <xdr:colOff>375920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16</xdr:row>
      <xdr:rowOff>114300</xdr:rowOff>
    </xdr:from>
    <xdr:to>
      <xdr:col>19</xdr:col>
      <xdr:colOff>375920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16</xdr:row>
      <xdr:rowOff>114300</xdr:rowOff>
    </xdr:from>
    <xdr:to>
      <xdr:col>20</xdr:col>
      <xdr:colOff>375920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16</xdr:row>
      <xdr:rowOff>114300</xdr:rowOff>
    </xdr:from>
    <xdr:to>
      <xdr:col>21</xdr:col>
      <xdr:colOff>375368</xdr:colOff>
      <xdr:row>16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16</xdr:row>
      <xdr:rowOff>114300</xdr:rowOff>
    </xdr:from>
    <xdr:to>
      <xdr:col>22</xdr:col>
      <xdr:colOff>375368</xdr:colOff>
      <xdr:row>16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85725</xdr:rowOff>
    </xdr:from>
    <xdr:to>
      <xdr:col>23</xdr:col>
      <xdr:colOff>394970</xdr:colOff>
      <xdr:row>16</xdr:row>
      <xdr:rowOff>360045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6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17</xdr:row>
      <xdr:rowOff>114300</xdr:rowOff>
    </xdr:from>
    <xdr:to>
      <xdr:col>17</xdr:col>
      <xdr:colOff>375920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17</xdr:row>
      <xdr:rowOff>114300</xdr:rowOff>
    </xdr:from>
    <xdr:to>
      <xdr:col>18</xdr:col>
      <xdr:colOff>375920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17</xdr:row>
      <xdr:rowOff>114300</xdr:rowOff>
    </xdr:from>
    <xdr:to>
      <xdr:col>19</xdr:col>
      <xdr:colOff>375920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17</xdr:row>
      <xdr:rowOff>114300</xdr:rowOff>
    </xdr:from>
    <xdr:to>
      <xdr:col>20</xdr:col>
      <xdr:colOff>375920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17</xdr:row>
      <xdr:rowOff>114300</xdr:rowOff>
    </xdr:from>
    <xdr:to>
      <xdr:col>21</xdr:col>
      <xdr:colOff>375368</xdr:colOff>
      <xdr:row>17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17</xdr:row>
      <xdr:rowOff>114300</xdr:rowOff>
    </xdr:from>
    <xdr:to>
      <xdr:col>22</xdr:col>
      <xdr:colOff>375368</xdr:colOff>
      <xdr:row>17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85725</xdr:rowOff>
    </xdr:from>
    <xdr:to>
      <xdr:col>23</xdr:col>
      <xdr:colOff>394970</xdr:colOff>
      <xdr:row>17</xdr:row>
      <xdr:rowOff>360045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2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18</xdr:row>
      <xdr:rowOff>114300</xdr:rowOff>
    </xdr:from>
    <xdr:to>
      <xdr:col>17</xdr:col>
      <xdr:colOff>375920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18</xdr:row>
      <xdr:rowOff>114300</xdr:rowOff>
    </xdr:from>
    <xdr:to>
      <xdr:col>18</xdr:col>
      <xdr:colOff>375920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18</xdr:row>
      <xdr:rowOff>114300</xdr:rowOff>
    </xdr:from>
    <xdr:to>
      <xdr:col>19</xdr:col>
      <xdr:colOff>375920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18</xdr:row>
      <xdr:rowOff>114300</xdr:rowOff>
    </xdr:from>
    <xdr:to>
      <xdr:col>20</xdr:col>
      <xdr:colOff>375920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18</xdr:row>
      <xdr:rowOff>114300</xdr:rowOff>
    </xdr:from>
    <xdr:to>
      <xdr:col>21</xdr:col>
      <xdr:colOff>375920</xdr:colOff>
      <xdr:row>18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18</xdr:row>
      <xdr:rowOff>114300</xdr:rowOff>
    </xdr:from>
    <xdr:to>
      <xdr:col>22</xdr:col>
      <xdr:colOff>375920</xdr:colOff>
      <xdr:row>18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85725</xdr:rowOff>
    </xdr:from>
    <xdr:to>
      <xdr:col>23</xdr:col>
      <xdr:colOff>394970</xdr:colOff>
      <xdr:row>18</xdr:row>
      <xdr:rowOff>360045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27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19</xdr:row>
      <xdr:rowOff>114300</xdr:rowOff>
    </xdr:from>
    <xdr:to>
      <xdr:col>17</xdr:col>
      <xdr:colOff>375920</xdr:colOff>
      <xdr:row>19</xdr:row>
      <xdr:rowOff>379095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19</xdr:row>
      <xdr:rowOff>114300</xdr:rowOff>
    </xdr:from>
    <xdr:to>
      <xdr:col>18</xdr:col>
      <xdr:colOff>375920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19</xdr:row>
      <xdr:rowOff>114300</xdr:rowOff>
    </xdr:from>
    <xdr:to>
      <xdr:col>19</xdr:col>
      <xdr:colOff>375920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19</xdr:row>
      <xdr:rowOff>114300</xdr:rowOff>
    </xdr:from>
    <xdr:to>
      <xdr:col>20</xdr:col>
      <xdr:colOff>375920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19</xdr:row>
      <xdr:rowOff>114300</xdr:rowOff>
    </xdr:from>
    <xdr:to>
      <xdr:col>21</xdr:col>
      <xdr:colOff>375920</xdr:colOff>
      <xdr:row>19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19</xdr:row>
      <xdr:rowOff>114300</xdr:rowOff>
    </xdr:from>
    <xdr:to>
      <xdr:col>22</xdr:col>
      <xdr:colOff>375920</xdr:colOff>
      <xdr:row>19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85725</xdr:rowOff>
    </xdr:from>
    <xdr:to>
      <xdr:col>23</xdr:col>
      <xdr:colOff>394418</xdr:colOff>
      <xdr:row>19</xdr:row>
      <xdr:rowOff>360045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3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20</xdr:row>
      <xdr:rowOff>114300</xdr:rowOff>
    </xdr:from>
    <xdr:to>
      <xdr:col>17</xdr:col>
      <xdr:colOff>375368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20</xdr:row>
      <xdr:rowOff>114300</xdr:rowOff>
    </xdr:from>
    <xdr:to>
      <xdr:col>18</xdr:col>
      <xdr:colOff>375920</xdr:colOff>
      <xdr:row>20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375368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25</xdr:row>
      <xdr:rowOff>133350</xdr:rowOff>
    </xdr:from>
    <xdr:to>
      <xdr:col>7</xdr:col>
      <xdr:colOff>384893</xdr:colOff>
      <xdr:row>25</xdr:row>
      <xdr:rowOff>407670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1268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375920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26</xdr:row>
      <xdr:rowOff>133350</xdr:rowOff>
    </xdr:from>
    <xdr:to>
      <xdr:col>7</xdr:col>
      <xdr:colOff>384893</xdr:colOff>
      <xdr:row>26</xdr:row>
      <xdr:rowOff>407670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1725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375368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27</xdr:row>
      <xdr:rowOff>133350</xdr:rowOff>
    </xdr:from>
    <xdr:to>
      <xdr:col>7</xdr:col>
      <xdr:colOff>385445</xdr:colOff>
      <xdr:row>27</xdr:row>
      <xdr:rowOff>407670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218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375920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375920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379095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28</xdr:row>
      <xdr:rowOff>133350</xdr:rowOff>
    </xdr:from>
    <xdr:to>
      <xdr:col>7</xdr:col>
      <xdr:colOff>385445</xdr:colOff>
      <xdr:row>28</xdr:row>
      <xdr:rowOff>407670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263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375368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375368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29</xdr:row>
      <xdr:rowOff>114300</xdr:rowOff>
    </xdr:from>
    <xdr:to>
      <xdr:col>4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29</xdr:row>
      <xdr:rowOff>114300</xdr:rowOff>
    </xdr:from>
    <xdr:to>
      <xdr:col>5</xdr:col>
      <xdr:colOff>375920</xdr:colOff>
      <xdr:row>29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25</xdr:row>
      <xdr:rowOff>114300</xdr:rowOff>
    </xdr:from>
    <xdr:to>
      <xdr:col>14</xdr:col>
      <xdr:colOff>375920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26</xdr:row>
      <xdr:rowOff>114300</xdr:rowOff>
    </xdr:from>
    <xdr:to>
      <xdr:col>9</xdr:col>
      <xdr:colOff>375368</xdr:colOff>
      <xdr:row>26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26</xdr:row>
      <xdr:rowOff>114300</xdr:rowOff>
    </xdr:from>
    <xdr:to>
      <xdr:col>10</xdr:col>
      <xdr:colOff>375368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26</xdr:row>
      <xdr:rowOff>114300</xdr:rowOff>
    </xdr:from>
    <xdr:to>
      <xdr:col>11</xdr:col>
      <xdr:colOff>375920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26</xdr:row>
      <xdr:rowOff>114300</xdr:rowOff>
    </xdr:from>
    <xdr:to>
      <xdr:col>12</xdr:col>
      <xdr:colOff>375920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26</xdr:row>
      <xdr:rowOff>114300</xdr:rowOff>
    </xdr:from>
    <xdr:to>
      <xdr:col>13</xdr:col>
      <xdr:colOff>375920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26</xdr:row>
      <xdr:rowOff>114300</xdr:rowOff>
    </xdr:from>
    <xdr:to>
      <xdr:col>14</xdr:col>
      <xdr:colOff>375920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27</xdr:row>
      <xdr:rowOff>114300</xdr:rowOff>
    </xdr:from>
    <xdr:to>
      <xdr:col>9</xdr:col>
      <xdr:colOff>375920</xdr:colOff>
      <xdr:row>27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27</xdr:row>
      <xdr:rowOff>114300</xdr:rowOff>
    </xdr:from>
    <xdr:to>
      <xdr:col>10</xdr:col>
      <xdr:colOff>375368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27</xdr:row>
      <xdr:rowOff>114300</xdr:rowOff>
    </xdr:from>
    <xdr:to>
      <xdr:col>11</xdr:col>
      <xdr:colOff>375368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27</xdr:row>
      <xdr:rowOff>114300</xdr:rowOff>
    </xdr:from>
    <xdr:to>
      <xdr:col>12</xdr:col>
      <xdr:colOff>375920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27</xdr:row>
      <xdr:rowOff>114300</xdr:rowOff>
    </xdr:from>
    <xdr:to>
      <xdr:col>13</xdr:col>
      <xdr:colOff>375920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27</xdr:row>
      <xdr:rowOff>114300</xdr:rowOff>
    </xdr:from>
    <xdr:to>
      <xdr:col>14</xdr:col>
      <xdr:colOff>375920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385445</xdr:colOff>
      <xdr:row>28</xdr:row>
      <xdr:rowOff>379095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384893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384893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114300</xdr:rowOff>
    </xdr:from>
    <xdr:to>
      <xdr:col>12</xdr:col>
      <xdr:colOff>385445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114300</xdr:rowOff>
    </xdr:from>
    <xdr:to>
      <xdr:col>13</xdr:col>
      <xdr:colOff>385445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29</xdr:row>
      <xdr:rowOff>114300</xdr:rowOff>
    </xdr:from>
    <xdr:to>
      <xdr:col>14</xdr:col>
      <xdr:colOff>385445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30</xdr:row>
      <xdr:rowOff>114300</xdr:rowOff>
    </xdr:from>
    <xdr:to>
      <xdr:col>9</xdr:col>
      <xdr:colOff>385445</xdr:colOff>
      <xdr:row>30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25</xdr:row>
      <xdr:rowOff>114300</xdr:rowOff>
    </xdr:from>
    <xdr:to>
      <xdr:col>18</xdr:col>
      <xdr:colOff>365843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25</xdr:row>
      <xdr:rowOff>114300</xdr:rowOff>
    </xdr:from>
    <xdr:to>
      <xdr:col>19</xdr:col>
      <xdr:colOff>365843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25</xdr:row>
      <xdr:rowOff>114300</xdr:rowOff>
    </xdr:from>
    <xdr:to>
      <xdr:col>20</xdr:col>
      <xdr:colOff>366395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25</xdr:row>
      <xdr:rowOff>114300</xdr:rowOff>
    </xdr:from>
    <xdr:to>
      <xdr:col>21</xdr:col>
      <xdr:colOff>366395</xdr:colOff>
      <xdr:row>25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25</xdr:row>
      <xdr:rowOff>114300</xdr:rowOff>
    </xdr:from>
    <xdr:to>
      <xdr:col>22</xdr:col>
      <xdr:colOff>366395</xdr:colOff>
      <xdr:row>25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26</xdr:row>
      <xdr:rowOff>114300</xdr:rowOff>
    </xdr:from>
    <xdr:to>
      <xdr:col>17</xdr:col>
      <xdr:colOff>366395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26</xdr:row>
      <xdr:rowOff>114300</xdr:rowOff>
    </xdr:from>
    <xdr:to>
      <xdr:col>18</xdr:col>
      <xdr:colOff>366395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26</xdr:row>
      <xdr:rowOff>114300</xdr:rowOff>
    </xdr:from>
    <xdr:to>
      <xdr:col>19</xdr:col>
      <xdr:colOff>365843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26</xdr:row>
      <xdr:rowOff>114300</xdr:rowOff>
    </xdr:from>
    <xdr:to>
      <xdr:col>20</xdr:col>
      <xdr:colOff>365843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26</xdr:row>
      <xdr:rowOff>114300</xdr:rowOff>
    </xdr:from>
    <xdr:to>
      <xdr:col>21</xdr:col>
      <xdr:colOff>365843</xdr:colOff>
      <xdr:row>26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26</xdr:row>
      <xdr:rowOff>114300</xdr:rowOff>
    </xdr:from>
    <xdr:to>
      <xdr:col>22</xdr:col>
      <xdr:colOff>366395</xdr:colOff>
      <xdr:row>26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27</xdr:row>
      <xdr:rowOff>114300</xdr:rowOff>
    </xdr:from>
    <xdr:to>
      <xdr:col>17</xdr:col>
      <xdr:colOff>366395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27</xdr:row>
      <xdr:rowOff>114300</xdr:rowOff>
    </xdr:from>
    <xdr:to>
      <xdr:col>18</xdr:col>
      <xdr:colOff>366395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27</xdr:row>
      <xdr:rowOff>114300</xdr:rowOff>
    </xdr:from>
    <xdr:to>
      <xdr:col>19</xdr:col>
      <xdr:colOff>366395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27</xdr:row>
      <xdr:rowOff>114300</xdr:rowOff>
    </xdr:from>
    <xdr:to>
      <xdr:col>20</xdr:col>
      <xdr:colOff>366395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27</xdr:row>
      <xdr:rowOff>114300</xdr:rowOff>
    </xdr:from>
    <xdr:to>
      <xdr:col>21</xdr:col>
      <xdr:colOff>366395</xdr:colOff>
      <xdr:row>27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27</xdr:row>
      <xdr:rowOff>114300</xdr:rowOff>
    </xdr:from>
    <xdr:to>
      <xdr:col>22</xdr:col>
      <xdr:colOff>366395</xdr:colOff>
      <xdr:row>27</xdr:row>
      <xdr:rowOff>379095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28</xdr:row>
      <xdr:rowOff>114300</xdr:rowOff>
    </xdr:from>
    <xdr:to>
      <xdr:col>17</xdr:col>
      <xdr:colOff>366395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28</xdr:row>
      <xdr:rowOff>114300</xdr:rowOff>
    </xdr:from>
    <xdr:to>
      <xdr:col>18</xdr:col>
      <xdr:colOff>366395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28</xdr:row>
      <xdr:rowOff>114300</xdr:rowOff>
    </xdr:from>
    <xdr:to>
      <xdr:col>19</xdr:col>
      <xdr:colOff>365843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92075</xdr:colOff>
      <xdr:row>28</xdr:row>
      <xdr:rowOff>114300</xdr:rowOff>
    </xdr:from>
    <xdr:to>
      <xdr:col>20</xdr:col>
      <xdr:colOff>365843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92075</xdr:colOff>
      <xdr:row>28</xdr:row>
      <xdr:rowOff>114300</xdr:rowOff>
    </xdr:from>
    <xdr:to>
      <xdr:col>21</xdr:col>
      <xdr:colOff>366395</xdr:colOff>
      <xdr:row>28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</xdr:colOff>
      <xdr:row>28</xdr:row>
      <xdr:rowOff>114300</xdr:rowOff>
    </xdr:from>
    <xdr:to>
      <xdr:col>22</xdr:col>
      <xdr:colOff>366395</xdr:colOff>
      <xdr:row>28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92075</xdr:colOff>
      <xdr:row>29</xdr:row>
      <xdr:rowOff>114300</xdr:rowOff>
    </xdr:from>
    <xdr:to>
      <xdr:col>17</xdr:col>
      <xdr:colOff>366395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92075</xdr:colOff>
      <xdr:row>29</xdr:row>
      <xdr:rowOff>114300</xdr:rowOff>
    </xdr:from>
    <xdr:to>
      <xdr:col>18</xdr:col>
      <xdr:colOff>366395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92075</xdr:colOff>
      <xdr:row>29</xdr:row>
      <xdr:rowOff>114300</xdr:rowOff>
    </xdr:from>
    <xdr:to>
      <xdr:col>19</xdr:col>
      <xdr:colOff>366395</xdr:colOff>
      <xdr:row>29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394418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394418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104775</xdr:rowOff>
    </xdr:from>
    <xdr:to>
      <xdr:col>7</xdr:col>
      <xdr:colOff>394970</xdr:colOff>
      <xdr:row>34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394970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394970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394418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394418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104775</xdr:rowOff>
    </xdr:from>
    <xdr:to>
      <xdr:col>7</xdr:col>
      <xdr:colOff>394970</xdr:colOff>
      <xdr:row>35</xdr:row>
      <xdr:rowOff>379095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394970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394970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394970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104775</xdr:rowOff>
    </xdr:from>
    <xdr:to>
      <xdr:col>7</xdr:col>
      <xdr:colOff>394970</xdr:colOff>
      <xdr:row>36</xdr:row>
      <xdr:rowOff>369570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11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385445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385445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385445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385445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384893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384893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104775</xdr:rowOff>
    </xdr:from>
    <xdr:to>
      <xdr:col>7</xdr:col>
      <xdr:colOff>394970</xdr:colOff>
      <xdr:row>37</xdr:row>
      <xdr:rowOff>379095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385445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38</xdr:row>
      <xdr:rowOff>114300</xdr:rowOff>
    </xdr:from>
    <xdr:to>
      <xdr:col>4</xdr:col>
      <xdr:colOff>385445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38</xdr:row>
      <xdr:rowOff>114300</xdr:rowOff>
    </xdr:from>
    <xdr:to>
      <xdr:col>5</xdr:col>
      <xdr:colOff>385445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114300</xdr:rowOff>
    </xdr:from>
    <xdr:to>
      <xdr:col>6</xdr:col>
      <xdr:colOff>375368</xdr:colOff>
      <xdr:row>38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394418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133350</xdr:rowOff>
    </xdr:from>
    <xdr:to>
      <xdr:col>9</xdr:col>
      <xdr:colOff>385445</xdr:colOff>
      <xdr:row>35</xdr:row>
      <xdr:rowOff>407670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133350</xdr:rowOff>
    </xdr:from>
    <xdr:to>
      <xdr:col>10</xdr:col>
      <xdr:colOff>385445</xdr:colOff>
      <xdr:row>35</xdr:row>
      <xdr:rowOff>407670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133350</xdr:rowOff>
    </xdr:from>
    <xdr:to>
      <xdr:col>11</xdr:col>
      <xdr:colOff>385445</xdr:colOff>
      <xdr:row>35</xdr:row>
      <xdr:rowOff>407670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133350</xdr:rowOff>
    </xdr:from>
    <xdr:to>
      <xdr:col>12</xdr:col>
      <xdr:colOff>385445</xdr:colOff>
      <xdr:row>35</xdr:row>
      <xdr:rowOff>407670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133350</xdr:rowOff>
    </xdr:from>
    <xdr:to>
      <xdr:col>13</xdr:col>
      <xdr:colOff>385445</xdr:colOff>
      <xdr:row>35</xdr:row>
      <xdr:rowOff>407670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133350</xdr:rowOff>
    </xdr:from>
    <xdr:to>
      <xdr:col>14</xdr:col>
      <xdr:colOff>385445</xdr:colOff>
      <xdr:row>35</xdr:row>
      <xdr:rowOff>407670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394418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133350</xdr:rowOff>
    </xdr:from>
    <xdr:to>
      <xdr:col>9</xdr:col>
      <xdr:colOff>384893</xdr:colOff>
      <xdr:row>36</xdr:row>
      <xdr:rowOff>407670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40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133350</xdr:rowOff>
    </xdr:from>
    <xdr:to>
      <xdr:col>10</xdr:col>
      <xdr:colOff>385445</xdr:colOff>
      <xdr:row>36</xdr:row>
      <xdr:rowOff>407670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133350</xdr:rowOff>
    </xdr:from>
    <xdr:to>
      <xdr:col>11</xdr:col>
      <xdr:colOff>385445</xdr:colOff>
      <xdr:row>36</xdr:row>
      <xdr:rowOff>407670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133350</xdr:rowOff>
    </xdr:from>
    <xdr:to>
      <xdr:col>12</xdr:col>
      <xdr:colOff>385445</xdr:colOff>
      <xdr:row>36</xdr:row>
      <xdr:rowOff>407670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133350</xdr:rowOff>
    </xdr:from>
    <xdr:to>
      <xdr:col>13</xdr:col>
      <xdr:colOff>385445</xdr:colOff>
      <xdr:row>36</xdr:row>
      <xdr:rowOff>407670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133350</xdr:rowOff>
    </xdr:from>
    <xdr:to>
      <xdr:col>14</xdr:col>
      <xdr:colOff>385445</xdr:colOff>
      <xdr:row>36</xdr:row>
      <xdr:rowOff>407670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104775</xdr:rowOff>
    </xdr:from>
    <xdr:to>
      <xdr:col>9</xdr:col>
      <xdr:colOff>394970</xdr:colOff>
      <xdr:row>37</xdr:row>
      <xdr:rowOff>369570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68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104775</xdr:rowOff>
    </xdr:from>
    <xdr:to>
      <xdr:col>10</xdr:col>
      <xdr:colOff>394970</xdr:colOff>
      <xdr:row>37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104775</xdr:rowOff>
    </xdr:from>
    <xdr:to>
      <xdr:col>11</xdr:col>
      <xdr:colOff>394970</xdr:colOff>
      <xdr:row>37</xdr:row>
      <xdr:rowOff>379095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37</xdr:row>
      <xdr:rowOff>104775</xdr:rowOff>
    </xdr:from>
    <xdr:to>
      <xdr:col>12</xdr:col>
      <xdr:colOff>394970</xdr:colOff>
      <xdr:row>37</xdr:row>
      <xdr:rowOff>379095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37</xdr:row>
      <xdr:rowOff>104775</xdr:rowOff>
    </xdr:from>
    <xdr:to>
      <xdr:col>13</xdr:col>
      <xdr:colOff>394970</xdr:colOff>
      <xdr:row>37</xdr:row>
      <xdr:rowOff>379095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37</xdr:row>
      <xdr:rowOff>104775</xdr:rowOff>
    </xdr:from>
    <xdr:to>
      <xdr:col>14</xdr:col>
      <xdr:colOff>394418</xdr:colOff>
      <xdr:row>37</xdr:row>
      <xdr:rowOff>379095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394418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104775</xdr:rowOff>
    </xdr:from>
    <xdr:to>
      <xdr:col>9</xdr:col>
      <xdr:colOff>385445</xdr:colOff>
      <xdr:row>38</xdr:row>
      <xdr:rowOff>379095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104775</xdr:rowOff>
    </xdr:from>
    <xdr:to>
      <xdr:col>10</xdr:col>
      <xdr:colOff>385445</xdr:colOff>
      <xdr:row>38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104775</xdr:rowOff>
    </xdr:from>
    <xdr:to>
      <xdr:col>11</xdr:col>
      <xdr:colOff>385445</xdr:colOff>
      <xdr:row>38</xdr:row>
      <xdr:rowOff>379095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104775</xdr:rowOff>
    </xdr:from>
    <xdr:to>
      <xdr:col>12</xdr:col>
      <xdr:colOff>385445</xdr:colOff>
      <xdr:row>38</xdr:row>
      <xdr:rowOff>379095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104775</xdr:rowOff>
    </xdr:from>
    <xdr:to>
      <xdr:col>13</xdr:col>
      <xdr:colOff>385445</xdr:colOff>
      <xdr:row>38</xdr:row>
      <xdr:rowOff>379095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38</xdr:row>
      <xdr:rowOff>104775</xdr:rowOff>
    </xdr:from>
    <xdr:to>
      <xdr:col>14</xdr:col>
      <xdr:colOff>394970</xdr:colOff>
      <xdr:row>38</xdr:row>
      <xdr:rowOff>379095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38</xdr:row>
      <xdr:rowOff>114300</xdr:rowOff>
    </xdr:from>
    <xdr:to>
      <xdr:col>15</xdr:col>
      <xdr:colOff>394418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39</xdr:row>
      <xdr:rowOff>104775</xdr:rowOff>
    </xdr:from>
    <xdr:to>
      <xdr:col>9</xdr:col>
      <xdr:colOff>384893</xdr:colOff>
      <xdr:row>39</xdr:row>
      <xdr:rowOff>379095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7383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34</xdr:row>
      <xdr:rowOff>114300</xdr:rowOff>
    </xdr:from>
    <xdr:to>
      <xdr:col>18</xdr:col>
      <xdr:colOff>384893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34</xdr:row>
      <xdr:rowOff>114300</xdr:rowOff>
    </xdr:from>
    <xdr:to>
      <xdr:col>19</xdr:col>
      <xdr:colOff>385445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34</xdr:row>
      <xdr:rowOff>114300</xdr:rowOff>
    </xdr:from>
    <xdr:to>
      <xdr:col>20</xdr:col>
      <xdr:colOff>385445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34</xdr:row>
      <xdr:rowOff>114300</xdr:rowOff>
    </xdr:from>
    <xdr:to>
      <xdr:col>21</xdr:col>
      <xdr:colOff>385445</xdr:colOff>
      <xdr:row>34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34</xdr:row>
      <xdr:rowOff>114300</xdr:rowOff>
    </xdr:from>
    <xdr:to>
      <xdr:col>22</xdr:col>
      <xdr:colOff>385445</xdr:colOff>
      <xdr:row>34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34</xdr:row>
      <xdr:rowOff>133350</xdr:rowOff>
    </xdr:from>
    <xdr:to>
      <xdr:col>23</xdr:col>
      <xdr:colOff>394970</xdr:colOff>
      <xdr:row>34</xdr:row>
      <xdr:rowOff>407670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125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35</xdr:row>
      <xdr:rowOff>114300</xdr:rowOff>
    </xdr:from>
    <xdr:to>
      <xdr:col>17</xdr:col>
      <xdr:colOff>384893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35</xdr:row>
      <xdr:rowOff>114300</xdr:rowOff>
    </xdr:from>
    <xdr:to>
      <xdr:col>18</xdr:col>
      <xdr:colOff>384893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35</xdr:row>
      <xdr:rowOff>114300</xdr:rowOff>
    </xdr:from>
    <xdr:to>
      <xdr:col>19</xdr:col>
      <xdr:colOff>385445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35</xdr:row>
      <xdr:rowOff>114300</xdr:rowOff>
    </xdr:from>
    <xdr:to>
      <xdr:col>20</xdr:col>
      <xdr:colOff>385445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35</xdr:row>
      <xdr:rowOff>114300</xdr:rowOff>
    </xdr:from>
    <xdr:to>
      <xdr:col>21</xdr:col>
      <xdr:colOff>385445</xdr:colOff>
      <xdr:row>35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35</xdr:row>
      <xdr:rowOff>114300</xdr:rowOff>
    </xdr:from>
    <xdr:to>
      <xdr:col>22</xdr:col>
      <xdr:colOff>385445</xdr:colOff>
      <xdr:row>35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35</xdr:row>
      <xdr:rowOff>133350</xdr:rowOff>
    </xdr:from>
    <xdr:to>
      <xdr:col>23</xdr:col>
      <xdr:colOff>394970</xdr:colOff>
      <xdr:row>35</xdr:row>
      <xdr:rowOff>407670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36</xdr:row>
      <xdr:rowOff>114300</xdr:rowOff>
    </xdr:from>
    <xdr:to>
      <xdr:col>17</xdr:col>
      <xdr:colOff>385445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36</xdr:row>
      <xdr:rowOff>114300</xdr:rowOff>
    </xdr:from>
    <xdr:to>
      <xdr:col>18</xdr:col>
      <xdr:colOff>385445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36</xdr:row>
      <xdr:rowOff>114300</xdr:rowOff>
    </xdr:from>
    <xdr:to>
      <xdr:col>19</xdr:col>
      <xdr:colOff>385445</xdr:colOff>
      <xdr:row>36</xdr:row>
      <xdr:rowOff>379095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36</xdr:row>
      <xdr:rowOff>114300</xdr:rowOff>
    </xdr:from>
    <xdr:to>
      <xdr:col>20</xdr:col>
      <xdr:colOff>385445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36</xdr:row>
      <xdr:rowOff>114300</xdr:rowOff>
    </xdr:from>
    <xdr:to>
      <xdr:col>21</xdr:col>
      <xdr:colOff>385445</xdr:colOff>
      <xdr:row>36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36</xdr:row>
      <xdr:rowOff>114300</xdr:rowOff>
    </xdr:from>
    <xdr:to>
      <xdr:col>22</xdr:col>
      <xdr:colOff>385445</xdr:colOff>
      <xdr:row>36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36</xdr:row>
      <xdr:rowOff>133350</xdr:rowOff>
    </xdr:from>
    <xdr:to>
      <xdr:col>23</xdr:col>
      <xdr:colOff>394970</xdr:colOff>
      <xdr:row>36</xdr:row>
      <xdr:rowOff>407670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37</xdr:row>
      <xdr:rowOff>114300</xdr:rowOff>
    </xdr:from>
    <xdr:to>
      <xdr:col>17</xdr:col>
      <xdr:colOff>384893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37</xdr:row>
      <xdr:rowOff>114300</xdr:rowOff>
    </xdr:from>
    <xdr:to>
      <xdr:col>18</xdr:col>
      <xdr:colOff>384893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37</xdr:row>
      <xdr:rowOff>114300</xdr:rowOff>
    </xdr:from>
    <xdr:to>
      <xdr:col>19</xdr:col>
      <xdr:colOff>385445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37</xdr:row>
      <xdr:rowOff>114300</xdr:rowOff>
    </xdr:from>
    <xdr:to>
      <xdr:col>20</xdr:col>
      <xdr:colOff>385445</xdr:colOff>
      <xdr:row>37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37</xdr:row>
      <xdr:rowOff>114300</xdr:rowOff>
    </xdr:from>
    <xdr:to>
      <xdr:col>21</xdr:col>
      <xdr:colOff>385445</xdr:colOff>
      <xdr:row>37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37</xdr:row>
      <xdr:rowOff>114300</xdr:rowOff>
    </xdr:from>
    <xdr:to>
      <xdr:col>22</xdr:col>
      <xdr:colOff>385445</xdr:colOff>
      <xdr:row>37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37</xdr:row>
      <xdr:rowOff>133350</xdr:rowOff>
    </xdr:from>
    <xdr:to>
      <xdr:col>23</xdr:col>
      <xdr:colOff>394970</xdr:colOff>
      <xdr:row>37</xdr:row>
      <xdr:rowOff>407670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38</xdr:row>
      <xdr:rowOff>114300</xdr:rowOff>
    </xdr:from>
    <xdr:to>
      <xdr:col>17</xdr:col>
      <xdr:colOff>385445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38</xdr:row>
      <xdr:rowOff>114300</xdr:rowOff>
    </xdr:from>
    <xdr:to>
      <xdr:col>18</xdr:col>
      <xdr:colOff>384893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38</xdr:row>
      <xdr:rowOff>114300</xdr:rowOff>
    </xdr:from>
    <xdr:to>
      <xdr:col>19</xdr:col>
      <xdr:colOff>384893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38</xdr:row>
      <xdr:rowOff>114300</xdr:rowOff>
    </xdr:from>
    <xdr:to>
      <xdr:col>20</xdr:col>
      <xdr:colOff>385445</xdr:colOff>
      <xdr:row>38</xdr:row>
      <xdr:rowOff>388620</xdr:rowOff>
    </xdr:to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6935450"/>
          <a:ext cx="274320" cy="27432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114300</xdr:rowOff>
    </xdr:from>
    <xdr:to>
      <xdr:col>5</xdr:col>
      <xdr:colOff>375920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114300</xdr:rowOff>
    </xdr:from>
    <xdr:to>
      <xdr:col>6</xdr:col>
      <xdr:colOff>375920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114300</xdr:rowOff>
    </xdr:from>
    <xdr:to>
      <xdr:col>7</xdr:col>
      <xdr:colOff>394970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384893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384893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114300</xdr:rowOff>
    </xdr:from>
    <xdr:to>
      <xdr:col>7</xdr:col>
      <xdr:colOff>394970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385445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385445</xdr:colOff>
      <xdr:row>9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114300</xdr:rowOff>
    </xdr:from>
    <xdr:to>
      <xdr:col>7</xdr:col>
      <xdr:colOff>394970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404495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403943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403943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404495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404495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114300</xdr:rowOff>
    </xdr:from>
    <xdr:to>
      <xdr:col>7</xdr:col>
      <xdr:colOff>394970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403943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403943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11</xdr:row>
      <xdr:rowOff>114300</xdr:rowOff>
    </xdr:from>
    <xdr:to>
      <xdr:col>6</xdr:col>
      <xdr:colOff>404495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11</xdr:row>
      <xdr:rowOff>114300</xdr:rowOff>
    </xdr:from>
    <xdr:to>
      <xdr:col>7</xdr:col>
      <xdr:colOff>394970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7</xdr:row>
      <xdr:rowOff>114300</xdr:rowOff>
    </xdr:from>
    <xdr:to>
      <xdr:col>9</xdr:col>
      <xdr:colOff>385445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7</xdr:row>
      <xdr:rowOff>114300</xdr:rowOff>
    </xdr:from>
    <xdr:to>
      <xdr:col>10</xdr:col>
      <xdr:colOff>385445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7</xdr:row>
      <xdr:rowOff>114300</xdr:rowOff>
    </xdr:from>
    <xdr:to>
      <xdr:col>11</xdr:col>
      <xdr:colOff>385445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7</xdr:row>
      <xdr:rowOff>114300</xdr:rowOff>
    </xdr:from>
    <xdr:to>
      <xdr:col>12</xdr:col>
      <xdr:colOff>384893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114300</xdr:rowOff>
    </xdr:from>
    <xdr:to>
      <xdr:col>13</xdr:col>
      <xdr:colOff>384893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7</xdr:row>
      <xdr:rowOff>114300</xdr:rowOff>
    </xdr:from>
    <xdr:to>
      <xdr:col>14</xdr:col>
      <xdr:colOff>385445</xdr:colOff>
      <xdr:row>7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394970</xdr:colOff>
      <xdr:row>7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</xdr:row>
      <xdr:rowOff>114300</xdr:rowOff>
    </xdr:from>
    <xdr:to>
      <xdr:col>9</xdr:col>
      <xdr:colOff>385445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</xdr:row>
      <xdr:rowOff>114300</xdr:rowOff>
    </xdr:from>
    <xdr:to>
      <xdr:col>10</xdr:col>
      <xdr:colOff>385445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8</xdr:row>
      <xdr:rowOff>114300</xdr:rowOff>
    </xdr:from>
    <xdr:to>
      <xdr:col>11</xdr:col>
      <xdr:colOff>385445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8</xdr:row>
      <xdr:rowOff>114300</xdr:rowOff>
    </xdr:from>
    <xdr:to>
      <xdr:col>12</xdr:col>
      <xdr:colOff>385445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8</xdr:row>
      <xdr:rowOff>114300</xdr:rowOff>
    </xdr:from>
    <xdr:to>
      <xdr:col>13</xdr:col>
      <xdr:colOff>385445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8</xdr:row>
      <xdr:rowOff>114300</xdr:rowOff>
    </xdr:from>
    <xdr:to>
      <xdr:col>14</xdr:col>
      <xdr:colOff>385445</xdr:colOff>
      <xdr:row>8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9</xdr:row>
      <xdr:rowOff>114300</xdr:rowOff>
    </xdr:from>
    <xdr:to>
      <xdr:col>9</xdr:col>
      <xdr:colOff>385445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9</xdr:row>
      <xdr:rowOff>114300</xdr:rowOff>
    </xdr:from>
    <xdr:to>
      <xdr:col>10</xdr:col>
      <xdr:colOff>385445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9</xdr:row>
      <xdr:rowOff>114300</xdr:rowOff>
    </xdr:from>
    <xdr:to>
      <xdr:col>11</xdr:col>
      <xdr:colOff>385445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9</xdr:row>
      <xdr:rowOff>114300</xdr:rowOff>
    </xdr:from>
    <xdr:to>
      <xdr:col>12</xdr:col>
      <xdr:colOff>385445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9</xdr:row>
      <xdr:rowOff>114300</xdr:rowOff>
    </xdr:from>
    <xdr:to>
      <xdr:col>13</xdr:col>
      <xdr:colOff>384893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9</xdr:row>
      <xdr:rowOff>114300</xdr:rowOff>
    </xdr:from>
    <xdr:to>
      <xdr:col>14</xdr:col>
      <xdr:colOff>384893</xdr:colOff>
      <xdr:row>9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10</xdr:row>
      <xdr:rowOff>114300</xdr:rowOff>
    </xdr:from>
    <xdr:to>
      <xdr:col>9</xdr:col>
      <xdr:colOff>385445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10</xdr:row>
      <xdr:rowOff>114300</xdr:rowOff>
    </xdr:from>
    <xdr:to>
      <xdr:col>10</xdr:col>
      <xdr:colOff>385445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10</xdr:row>
      <xdr:rowOff>114300</xdr:rowOff>
    </xdr:from>
    <xdr:to>
      <xdr:col>11</xdr:col>
      <xdr:colOff>385445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10</xdr:row>
      <xdr:rowOff>114300</xdr:rowOff>
    </xdr:from>
    <xdr:to>
      <xdr:col>12</xdr:col>
      <xdr:colOff>385445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10</xdr:row>
      <xdr:rowOff>114300</xdr:rowOff>
    </xdr:from>
    <xdr:to>
      <xdr:col>13</xdr:col>
      <xdr:colOff>385445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10</xdr:row>
      <xdr:rowOff>114300</xdr:rowOff>
    </xdr:from>
    <xdr:to>
      <xdr:col>14</xdr:col>
      <xdr:colOff>384893</xdr:colOff>
      <xdr:row>10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394418</xdr:colOff>
      <xdr:row>10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7</xdr:row>
      <xdr:rowOff>114300</xdr:rowOff>
    </xdr:from>
    <xdr:to>
      <xdr:col>17</xdr:col>
      <xdr:colOff>394970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7</xdr:row>
      <xdr:rowOff>114300</xdr:rowOff>
    </xdr:from>
    <xdr:to>
      <xdr:col>18</xdr:col>
      <xdr:colOff>394970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7</xdr:row>
      <xdr:rowOff>114300</xdr:rowOff>
    </xdr:from>
    <xdr:to>
      <xdr:col>19</xdr:col>
      <xdr:colOff>394970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7</xdr:row>
      <xdr:rowOff>114300</xdr:rowOff>
    </xdr:from>
    <xdr:to>
      <xdr:col>20</xdr:col>
      <xdr:colOff>394970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7</xdr:row>
      <xdr:rowOff>114300</xdr:rowOff>
    </xdr:from>
    <xdr:to>
      <xdr:col>21</xdr:col>
      <xdr:colOff>394418</xdr:colOff>
      <xdr:row>7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7</xdr:row>
      <xdr:rowOff>114300</xdr:rowOff>
    </xdr:from>
    <xdr:to>
      <xdr:col>22</xdr:col>
      <xdr:colOff>394418</xdr:colOff>
      <xdr:row>7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123825</xdr:rowOff>
    </xdr:from>
    <xdr:to>
      <xdr:col>23</xdr:col>
      <xdr:colOff>404495</xdr:colOff>
      <xdr:row>7</xdr:row>
      <xdr:rowOff>398145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8</xdr:row>
      <xdr:rowOff>114300</xdr:rowOff>
    </xdr:from>
    <xdr:to>
      <xdr:col>17</xdr:col>
      <xdr:colOff>394970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8</xdr:row>
      <xdr:rowOff>114300</xdr:rowOff>
    </xdr:from>
    <xdr:to>
      <xdr:col>18</xdr:col>
      <xdr:colOff>394970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8</xdr:row>
      <xdr:rowOff>114300</xdr:rowOff>
    </xdr:from>
    <xdr:to>
      <xdr:col>19</xdr:col>
      <xdr:colOff>394970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8</xdr:row>
      <xdr:rowOff>114300</xdr:rowOff>
    </xdr:from>
    <xdr:to>
      <xdr:col>20</xdr:col>
      <xdr:colOff>394970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8</xdr:row>
      <xdr:rowOff>114300</xdr:rowOff>
    </xdr:from>
    <xdr:to>
      <xdr:col>21</xdr:col>
      <xdr:colOff>394970</xdr:colOff>
      <xdr:row>8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8</xdr:row>
      <xdr:rowOff>114300</xdr:rowOff>
    </xdr:from>
    <xdr:to>
      <xdr:col>22</xdr:col>
      <xdr:colOff>394970</xdr:colOff>
      <xdr:row>8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9</xdr:row>
      <xdr:rowOff>114300</xdr:rowOff>
    </xdr:from>
    <xdr:to>
      <xdr:col>17</xdr:col>
      <xdr:colOff>394970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9</xdr:row>
      <xdr:rowOff>114300</xdr:rowOff>
    </xdr:from>
    <xdr:to>
      <xdr:col>18</xdr:col>
      <xdr:colOff>394970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9</xdr:row>
      <xdr:rowOff>114300</xdr:rowOff>
    </xdr:from>
    <xdr:to>
      <xdr:col>19</xdr:col>
      <xdr:colOff>394970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9</xdr:row>
      <xdr:rowOff>114300</xdr:rowOff>
    </xdr:from>
    <xdr:to>
      <xdr:col>20</xdr:col>
      <xdr:colOff>394970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9</xdr:row>
      <xdr:rowOff>114300</xdr:rowOff>
    </xdr:from>
    <xdr:to>
      <xdr:col>21</xdr:col>
      <xdr:colOff>394970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9</xdr:row>
      <xdr:rowOff>114300</xdr:rowOff>
    </xdr:from>
    <xdr:to>
      <xdr:col>22</xdr:col>
      <xdr:colOff>394970</xdr:colOff>
      <xdr:row>9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123825</xdr:rowOff>
    </xdr:from>
    <xdr:to>
      <xdr:col>23</xdr:col>
      <xdr:colOff>403943</xdr:colOff>
      <xdr:row>9</xdr:row>
      <xdr:rowOff>398145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5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10</xdr:row>
      <xdr:rowOff>114300</xdr:rowOff>
    </xdr:from>
    <xdr:to>
      <xdr:col>17</xdr:col>
      <xdr:colOff>394418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10</xdr:row>
      <xdr:rowOff>114300</xdr:rowOff>
    </xdr:from>
    <xdr:to>
      <xdr:col>18</xdr:col>
      <xdr:colOff>394970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10</xdr:row>
      <xdr:rowOff>114300</xdr:rowOff>
    </xdr:from>
    <xdr:to>
      <xdr:col>19</xdr:col>
      <xdr:colOff>394970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10</xdr:row>
      <xdr:rowOff>114300</xdr:rowOff>
    </xdr:from>
    <xdr:to>
      <xdr:col>20</xdr:col>
      <xdr:colOff>394970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10</xdr:row>
      <xdr:rowOff>114300</xdr:rowOff>
    </xdr:from>
    <xdr:to>
      <xdr:col>21</xdr:col>
      <xdr:colOff>394970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10</xdr:row>
      <xdr:rowOff>114300</xdr:rowOff>
    </xdr:from>
    <xdr:to>
      <xdr:col>22</xdr:col>
      <xdr:colOff>394970</xdr:colOff>
      <xdr:row>10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123825</xdr:rowOff>
    </xdr:from>
    <xdr:to>
      <xdr:col>23</xdr:col>
      <xdr:colOff>403943</xdr:colOff>
      <xdr:row>10</xdr:row>
      <xdr:rowOff>398145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11</xdr:row>
      <xdr:rowOff>114300</xdr:rowOff>
    </xdr:from>
    <xdr:to>
      <xdr:col>17</xdr:col>
      <xdr:colOff>394418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11</xdr:row>
      <xdr:rowOff>114300</xdr:rowOff>
    </xdr:from>
    <xdr:to>
      <xdr:col>18</xdr:col>
      <xdr:colOff>394970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11</xdr:row>
      <xdr:rowOff>114300</xdr:rowOff>
    </xdr:from>
    <xdr:to>
      <xdr:col>19</xdr:col>
      <xdr:colOff>394970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16</xdr:row>
      <xdr:rowOff>114300</xdr:rowOff>
    </xdr:from>
    <xdr:to>
      <xdr:col>4</xdr:col>
      <xdr:colOff>385445</xdr:colOff>
      <xdr:row>16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16</xdr:row>
      <xdr:rowOff>114300</xdr:rowOff>
    </xdr:from>
    <xdr:to>
      <xdr:col>5</xdr:col>
      <xdr:colOff>385445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16</xdr:row>
      <xdr:rowOff>114300</xdr:rowOff>
    </xdr:from>
    <xdr:to>
      <xdr:col>6</xdr:col>
      <xdr:colOff>385445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16</xdr:row>
      <xdr:rowOff>114300</xdr:rowOff>
    </xdr:from>
    <xdr:to>
      <xdr:col>7</xdr:col>
      <xdr:colOff>403943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17</xdr:row>
      <xdr:rowOff>114300</xdr:rowOff>
    </xdr:from>
    <xdr:to>
      <xdr:col>1</xdr:col>
      <xdr:colOff>384893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17</xdr:row>
      <xdr:rowOff>114300</xdr:rowOff>
    </xdr:from>
    <xdr:to>
      <xdr:col>2</xdr:col>
      <xdr:colOff>385445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17</xdr:row>
      <xdr:rowOff>114300</xdr:rowOff>
    </xdr:from>
    <xdr:to>
      <xdr:col>3</xdr:col>
      <xdr:colOff>385445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17</xdr:row>
      <xdr:rowOff>114300</xdr:rowOff>
    </xdr:from>
    <xdr:to>
      <xdr:col>4</xdr:col>
      <xdr:colOff>385445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17</xdr:row>
      <xdr:rowOff>114300</xdr:rowOff>
    </xdr:from>
    <xdr:to>
      <xdr:col>5</xdr:col>
      <xdr:colOff>385445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17</xdr:row>
      <xdr:rowOff>114300</xdr:rowOff>
    </xdr:from>
    <xdr:to>
      <xdr:col>6</xdr:col>
      <xdr:colOff>385445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17</xdr:row>
      <xdr:rowOff>114300</xdr:rowOff>
    </xdr:from>
    <xdr:to>
      <xdr:col>7</xdr:col>
      <xdr:colOff>404495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18</xdr:row>
      <xdr:rowOff>114300</xdr:rowOff>
    </xdr:from>
    <xdr:to>
      <xdr:col>1</xdr:col>
      <xdr:colOff>385445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18</xdr:row>
      <xdr:rowOff>114300</xdr:rowOff>
    </xdr:from>
    <xdr:to>
      <xdr:col>2</xdr:col>
      <xdr:colOff>385445</xdr:colOff>
      <xdr:row>18</xdr:row>
      <xdr:rowOff>379095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18</xdr:row>
      <xdr:rowOff>114300</xdr:rowOff>
    </xdr:from>
    <xdr:to>
      <xdr:col>3</xdr:col>
      <xdr:colOff>385445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18</xdr:row>
      <xdr:rowOff>114300</xdr:rowOff>
    </xdr:from>
    <xdr:to>
      <xdr:col>4</xdr:col>
      <xdr:colOff>385445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18</xdr:row>
      <xdr:rowOff>114300</xdr:rowOff>
    </xdr:from>
    <xdr:to>
      <xdr:col>5</xdr:col>
      <xdr:colOff>385445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18</xdr:row>
      <xdr:rowOff>114300</xdr:rowOff>
    </xdr:from>
    <xdr:to>
      <xdr:col>6</xdr:col>
      <xdr:colOff>385445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18</xdr:row>
      <xdr:rowOff>114300</xdr:rowOff>
    </xdr:from>
    <xdr:to>
      <xdr:col>7</xdr:col>
      <xdr:colOff>404495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19</xdr:row>
      <xdr:rowOff>114300</xdr:rowOff>
    </xdr:from>
    <xdr:to>
      <xdr:col>1</xdr:col>
      <xdr:colOff>384893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19</xdr:row>
      <xdr:rowOff>114300</xdr:rowOff>
    </xdr:from>
    <xdr:to>
      <xdr:col>2</xdr:col>
      <xdr:colOff>384893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19</xdr:row>
      <xdr:rowOff>114300</xdr:rowOff>
    </xdr:from>
    <xdr:to>
      <xdr:col>3</xdr:col>
      <xdr:colOff>385445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19</xdr:row>
      <xdr:rowOff>114300</xdr:rowOff>
    </xdr:from>
    <xdr:to>
      <xdr:col>4</xdr:col>
      <xdr:colOff>385445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19</xdr:row>
      <xdr:rowOff>114300</xdr:rowOff>
    </xdr:from>
    <xdr:to>
      <xdr:col>5</xdr:col>
      <xdr:colOff>385445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19</xdr:row>
      <xdr:rowOff>114300</xdr:rowOff>
    </xdr:from>
    <xdr:to>
      <xdr:col>6</xdr:col>
      <xdr:colOff>385445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19</xdr:row>
      <xdr:rowOff>114300</xdr:rowOff>
    </xdr:from>
    <xdr:to>
      <xdr:col>7</xdr:col>
      <xdr:colOff>404495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20</xdr:row>
      <xdr:rowOff>114300</xdr:rowOff>
    </xdr:from>
    <xdr:to>
      <xdr:col>1</xdr:col>
      <xdr:colOff>384893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20</xdr:row>
      <xdr:rowOff>114300</xdr:rowOff>
    </xdr:from>
    <xdr:to>
      <xdr:col>2</xdr:col>
      <xdr:colOff>384893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20</xdr:row>
      <xdr:rowOff>114300</xdr:rowOff>
    </xdr:from>
    <xdr:to>
      <xdr:col>3</xdr:col>
      <xdr:colOff>385445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20</xdr:row>
      <xdr:rowOff>114300</xdr:rowOff>
    </xdr:from>
    <xdr:to>
      <xdr:col>4</xdr:col>
      <xdr:colOff>385445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20</xdr:row>
      <xdr:rowOff>114300</xdr:rowOff>
    </xdr:from>
    <xdr:to>
      <xdr:col>5</xdr:col>
      <xdr:colOff>385445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16</xdr:row>
      <xdr:rowOff>114300</xdr:rowOff>
    </xdr:from>
    <xdr:to>
      <xdr:col>14</xdr:col>
      <xdr:colOff>394970</xdr:colOff>
      <xdr:row>16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104775</xdr:rowOff>
    </xdr:from>
    <xdr:to>
      <xdr:col>15</xdr:col>
      <xdr:colOff>394970</xdr:colOff>
      <xdr:row>16</xdr:row>
      <xdr:rowOff>379095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81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114300</xdr:rowOff>
    </xdr:from>
    <xdr:to>
      <xdr:col>9</xdr:col>
      <xdr:colOff>394418</xdr:colOff>
      <xdr:row>17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114300</xdr:rowOff>
    </xdr:from>
    <xdr:to>
      <xdr:col>10</xdr:col>
      <xdr:colOff>394418</xdr:colOff>
      <xdr:row>17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114300</xdr:rowOff>
    </xdr:from>
    <xdr:to>
      <xdr:col>11</xdr:col>
      <xdr:colOff>394970</xdr:colOff>
      <xdr:row>17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114300</xdr:rowOff>
    </xdr:from>
    <xdr:to>
      <xdr:col>12</xdr:col>
      <xdr:colOff>394970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114300</xdr:rowOff>
    </xdr:from>
    <xdr:to>
      <xdr:col>13</xdr:col>
      <xdr:colOff>394970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114300</xdr:rowOff>
    </xdr:from>
    <xdr:to>
      <xdr:col>14</xdr:col>
      <xdr:colOff>394970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104775</xdr:rowOff>
    </xdr:from>
    <xdr:to>
      <xdr:col>15</xdr:col>
      <xdr:colOff>394970</xdr:colOff>
      <xdr:row>17</xdr:row>
      <xdr:rowOff>379095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114300</xdr:rowOff>
    </xdr:from>
    <xdr:to>
      <xdr:col>9</xdr:col>
      <xdr:colOff>394970</xdr:colOff>
      <xdr:row>18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114300</xdr:rowOff>
    </xdr:from>
    <xdr:to>
      <xdr:col>10</xdr:col>
      <xdr:colOff>394970</xdr:colOff>
      <xdr:row>18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114300</xdr:rowOff>
    </xdr:from>
    <xdr:to>
      <xdr:col>11</xdr:col>
      <xdr:colOff>394970</xdr:colOff>
      <xdr:row>18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114300</xdr:rowOff>
    </xdr:from>
    <xdr:to>
      <xdr:col>12</xdr:col>
      <xdr:colOff>394970</xdr:colOff>
      <xdr:row>18</xdr:row>
      <xdr:rowOff>379095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3058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114300</xdr:rowOff>
    </xdr:from>
    <xdr:to>
      <xdr:col>13</xdr:col>
      <xdr:colOff>394970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114300</xdr:rowOff>
    </xdr:from>
    <xdr:to>
      <xdr:col>14</xdr:col>
      <xdr:colOff>394970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104775</xdr:rowOff>
    </xdr:from>
    <xdr:to>
      <xdr:col>15</xdr:col>
      <xdr:colOff>394970</xdr:colOff>
      <xdr:row>18</xdr:row>
      <xdr:rowOff>379095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114300</xdr:rowOff>
    </xdr:from>
    <xdr:to>
      <xdr:col>9</xdr:col>
      <xdr:colOff>394970</xdr:colOff>
      <xdr:row>19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114300</xdr:rowOff>
    </xdr:from>
    <xdr:to>
      <xdr:col>10</xdr:col>
      <xdr:colOff>394970</xdr:colOff>
      <xdr:row>19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114300</xdr:rowOff>
    </xdr:from>
    <xdr:to>
      <xdr:col>11</xdr:col>
      <xdr:colOff>394418</xdr:colOff>
      <xdr:row>19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114300</xdr:rowOff>
    </xdr:from>
    <xdr:to>
      <xdr:col>12</xdr:col>
      <xdr:colOff>394418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114300</xdr:rowOff>
    </xdr:from>
    <xdr:to>
      <xdr:col>13</xdr:col>
      <xdr:colOff>394970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114300</xdr:rowOff>
    </xdr:from>
    <xdr:to>
      <xdr:col>14</xdr:col>
      <xdr:colOff>394970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104775</xdr:rowOff>
    </xdr:from>
    <xdr:to>
      <xdr:col>15</xdr:col>
      <xdr:colOff>394970</xdr:colOff>
      <xdr:row>19</xdr:row>
      <xdr:rowOff>379095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114300</xdr:rowOff>
    </xdr:from>
    <xdr:to>
      <xdr:col>9</xdr:col>
      <xdr:colOff>394970</xdr:colOff>
      <xdr:row>20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114300</xdr:rowOff>
    </xdr:from>
    <xdr:to>
      <xdr:col>10</xdr:col>
      <xdr:colOff>394970</xdr:colOff>
      <xdr:row>20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114300</xdr:rowOff>
    </xdr:from>
    <xdr:to>
      <xdr:col>11</xdr:col>
      <xdr:colOff>394418</xdr:colOff>
      <xdr:row>20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20</xdr:row>
      <xdr:rowOff>114300</xdr:rowOff>
    </xdr:from>
    <xdr:to>
      <xdr:col>12</xdr:col>
      <xdr:colOff>394418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20</xdr:row>
      <xdr:rowOff>114300</xdr:rowOff>
    </xdr:from>
    <xdr:to>
      <xdr:col>13</xdr:col>
      <xdr:colOff>394970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20</xdr:row>
      <xdr:rowOff>114300</xdr:rowOff>
    </xdr:from>
    <xdr:to>
      <xdr:col>14</xdr:col>
      <xdr:colOff>394970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20</xdr:row>
      <xdr:rowOff>104775</xdr:rowOff>
    </xdr:from>
    <xdr:to>
      <xdr:col>15</xdr:col>
      <xdr:colOff>394970</xdr:colOff>
      <xdr:row>20</xdr:row>
      <xdr:rowOff>379095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21</xdr:row>
      <xdr:rowOff>114300</xdr:rowOff>
    </xdr:from>
    <xdr:to>
      <xdr:col>9</xdr:col>
      <xdr:colOff>394970</xdr:colOff>
      <xdr:row>21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677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16</xdr:row>
      <xdr:rowOff>114300</xdr:rowOff>
    </xdr:from>
    <xdr:to>
      <xdr:col>18</xdr:col>
      <xdr:colOff>375920</xdr:colOff>
      <xdr:row>16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16</xdr:row>
      <xdr:rowOff>114300</xdr:rowOff>
    </xdr:from>
    <xdr:to>
      <xdr:col>19</xdr:col>
      <xdr:colOff>375368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16</xdr:row>
      <xdr:rowOff>114300</xdr:rowOff>
    </xdr:from>
    <xdr:to>
      <xdr:col>20</xdr:col>
      <xdr:colOff>375368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16</xdr:row>
      <xdr:rowOff>114300</xdr:rowOff>
    </xdr:from>
    <xdr:to>
      <xdr:col>21</xdr:col>
      <xdr:colOff>375920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16</xdr:row>
      <xdr:rowOff>114300</xdr:rowOff>
    </xdr:from>
    <xdr:to>
      <xdr:col>22</xdr:col>
      <xdr:colOff>375920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16</xdr:row>
      <xdr:rowOff>114300</xdr:rowOff>
    </xdr:from>
    <xdr:to>
      <xdr:col>23</xdr:col>
      <xdr:colOff>404495</xdr:colOff>
      <xdr:row>16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17</xdr:row>
      <xdr:rowOff>114300</xdr:rowOff>
    </xdr:from>
    <xdr:to>
      <xdr:col>17</xdr:col>
      <xdr:colOff>375920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17</xdr:row>
      <xdr:rowOff>114300</xdr:rowOff>
    </xdr:from>
    <xdr:to>
      <xdr:col>18</xdr:col>
      <xdr:colOff>375920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17</xdr:row>
      <xdr:rowOff>114300</xdr:rowOff>
    </xdr:from>
    <xdr:to>
      <xdr:col>19</xdr:col>
      <xdr:colOff>375920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17</xdr:row>
      <xdr:rowOff>114300</xdr:rowOff>
    </xdr:from>
    <xdr:to>
      <xdr:col>20</xdr:col>
      <xdr:colOff>375920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17</xdr:row>
      <xdr:rowOff>114300</xdr:rowOff>
    </xdr:from>
    <xdr:to>
      <xdr:col>21</xdr:col>
      <xdr:colOff>375920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17</xdr:row>
      <xdr:rowOff>114300</xdr:rowOff>
    </xdr:from>
    <xdr:to>
      <xdr:col>22</xdr:col>
      <xdr:colOff>375920</xdr:colOff>
      <xdr:row>17</xdr:row>
      <xdr:rowOff>379095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17</xdr:row>
      <xdr:rowOff>114300</xdr:rowOff>
    </xdr:from>
    <xdr:to>
      <xdr:col>23</xdr:col>
      <xdr:colOff>404495</xdr:colOff>
      <xdr:row>17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18</xdr:row>
      <xdr:rowOff>114300</xdr:rowOff>
    </xdr:from>
    <xdr:to>
      <xdr:col>17</xdr:col>
      <xdr:colOff>375920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18</xdr:row>
      <xdr:rowOff>114300</xdr:rowOff>
    </xdr:from>
    <xdr:to>
      <xdr:col>18</xdr:col>
      <xdr:colOff>375920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18</xdr:row>
      <xdr:rowOff>114300</xdr:rowOff>
    </xdr:from>
    <xdr:to>
      <xdr:col>19</xdr:col>
      <xdr:colOff>375920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18</xdr:row>
      <xdr:rowOff>114300</xdr:rowOff>
    </xdr:from>
    <xdr:to>
      <xdr:col>20</xdr:col>
      <xdr:colOff>375368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18</xdr:row>
      <xdr:rowOff>114300</xdr:rowOff>
    </xdr:from>
    <xdr:to>
      <xdr:col>21</xdr:col>
      <xdr:colOff>375368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18</xdr:row>
      <xdr:rowOff>114300</xdr:rowOff>
    </xdr:from>
    <xdr:to>
      <xdr:col>22</xdr:col>
      <xdr:colOff>375920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18</xdr:row>
      <xdr:rowOff>114300</xdr:rowOff>
    </xdr:from>
    <xdr:to>
      <xdr:col>23</xdr:col>
      <xdr:colOff>404495</xdr:colOff>
      <xdr:row>18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19</xdr:row>
      <xdr:rowOff>114300</xdr:rowOff>
    </xdr:from>
    <xdr:to>
      <xdr:col>17</xdr:col>
      <xdr:colOff>375920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19</xdr:row>
      <xdr:rowOff>114300</xdr:rowOff>
    </xdr:from>
    <xdr:to>
      <xdr:col>18</xdr:col>
      <xdr:colOff>375920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19</xdr:row>
      <xdr:rowOff>114300</xdr:rowOff>
    </xdr:from>
    <xdr:to>
      <xdr:col>19</xdr:col>
      <xdr:colOff>375920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19</xdr:row>
      <xdr:rowOff>114300</xdr:rowOff>
    </xdr:from>
    <xdr:to>
      <xdr:col>20</xdr:col>
      <xdr:colOff>375368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19</xdr:row>
      <xdr:rowOff>114300</xdr:rowOff>
    </xdr:from>
    <xdr:to>
      <xdr:col>21</xdr:col>
      <xdr:colOff>375368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19</xdr:row>
      <xdr:rowOff>114300</xdr:rowOff>
    </xdr:from>
    <xdr:to>
      <xdr:col>22</xdr:col>
      <xdr:colOff>375920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19</xdr:row>
      <xdr:rowOff>114300</xdr:rowOff>
    </xdr:from>
    <xdr:to>
      <xdr:col>23</xdr:col>
      <xdr:colOff>404495</xdr:colOff>
      <xdr:row>19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20</xdr:row>
      <xdr:rowOff>114300</xdr:rowOff>
    </xdr:from>
    <xdr:to>
      <xdr:col>17</xdr:col>
      <xdr:colOff>375920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20</xdr:row>
      <xdr:rowOff>114300</xdr:rowOff>
    </xdr:from>
    <xdr:to>
      <xdr:col>18</xdr:col>
      <xdr:colOff>375920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20</xdr:row>
      <xdr:rowOff>114300</xdr:rowOff>
    </xdr:from>
    <xdr:to>
      <xdr:col>19</xdr:col>
      <xdr:colOff>375920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25</xdr:row>
      <xdr:rowOff>114300</xdr:rowOff>
    </xdr:from>
    <xdr:to>
      <xdr:col>4</xdr:col>
      <xdr:colOff>384893</xdr:colOff>
      <xdr:row>25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25</xdr:row>
      <xdr:rowOff>114300</xdr:rowOff>
    </xdr:from>
    <xdr:to>
      <xdr:col>5</xdr:col>
      <xdr:colOff>384893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114300</xdr:rowOff>
    </xdr:from>
    <xdr:to>
      <xdr:col>7</xdr:col>
      <xdr:colOff>394970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385445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385445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114300</xdr:rowOff>
    </xdr:from>
    <xdr:to>
      <xdr:col>7</xdr:col>
      <xdr:colOff>394970</xdr:colOff>
      <xdr:row>26</xdr:row>
      <xdr:rowOff>379095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385445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385445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384893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114300</xdr:rowOff>
    </xdr:from>
    <xdr:to>
      <xdr:col>7</xdr:col>
      <xdr:colOff>394418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385445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385445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384893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384893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114300</xdr:rowOff>
    </xdr:from>
    <xdr:to>
      <xdr:col>7</xdr:col>
      <xdr:colOff>394970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384893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114300</xdr:rowOff>
    </xdr:from>
    <xdr:to>
      <xdr:col>15</xdr:col>
      <xdr:colOff>394418</xdr:colOff>
      <xdr:row>25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123825</xdr:rowOff>
    </xdr:from>
    <xdr:to>
      <xdr:col>9</xdr:col>
      <xdr:colOff>385445</xdr:colOff>
      <xdr:row>26</xdr:row>
      <xdr:rowOff>398145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123825</xdr:rowOff>
    </xdr:from>
    <xdr:to>
      <xdr:col>10</xdr:col>
      <xdr:colOff>385445</xdr:colOff>
      <xdr:row>26</xdr:row>
      <xdr:rowOff>398145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123825</xdr:rowOff>
    </xdr:from>
    <xdr:to>
      <xdr:col>11</xdr:col>
      <xdr:colOff>385445</xdr:colOff>
      <xdr:row>26</xdr:row>
      <xdr:rowOff>398145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123825</xdr:rowOff>
    </xdr:from>
    <xdr:to>
      <xdr:col>12</xdr:col>
      <xdr:colOff>385445</xdr:colOff>
      <xdr:row>26</xdr:row>
      <xdr:rowOff>398145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123825</xdr:rowOff>
    </xdr:from>
    <xdr:to>
      <xdr:col>13</xdr:col>
      <xdr:colOff>385445</xdr:colOff>
      <xdr:row>26</xdr:row>
      <xdr:rowOff>398145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123825</xdr:rowOff>
    </xdr:from>
    <xdr:to>
      <xdr:col>14</xdr:col>
      <xdr:colOff>385445</xdr:colOff>
      <xdr:row>26</xdr:row>
      <xdr:rowOff>398145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114300</xdr:rowOff>
    </xdr:from>
    <xdr:to>
      <xdr:col>15</xdr:col>
      <xdr:colOff>394970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123825</xdr:rowOff>
    </xdr:from>
    <xdr:to>
      <xdr:col>9</xdr:col>
      <xdr:colOff>385445</xdr:colOff>
      <xdr:row>27</xdr:row>
      <xdr:rowOff>398145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123825</xdr:rowOff>
    </xdr:from>
    <xdr:to>
      <xdr:col>10</xdr:col>
      <xdr:colOff>385445</xdr:colOff>
      <xdr:row>27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729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123825</xdr:rowOff>
    </xdr:from>
    <xdr:to>
      <xdr:col>11</xdr:col>
      <xdr:colOff>385445</xdr:colOff>
      <xdr:row>27</xdr:row>
      <xdr:rowOff>398145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123825</xdr:rowOff>
    </xdr:from>
    <xdr:to>
      <xdr:col>12</xdr:col>
      <xdr:colOff>385445</xdr:colOff>
      <xdr:row>27</xdr:row>
      <xdr:rowOff>398145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123825</xdr:rowOff>
    </xdr:from>
    <xdr:to>
      <xdr:col>13</xdr:col>
      <xdr:colOff>385445</xdr:colOff>
      <xdr:row>27</xdr:row>
      <xdr:rowOff>398145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123825</xdr:rowOff>
    </xdr:from>
    <xdr:to>
      <xdr:col>14</xdr:col>
      <xdr:colOff>385445</xdr:colOff>
      <xdr:row>27</xdr:row>
      <xdr:rowOff>398145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114300</xdr:rowOff>
    </xdr:from>
    <xdr:to>
      <xdr:col>15</xdr:col>
      <xdr:colOff>394418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123825</xdr:rowOff>
    </xdr:from>
    <xdr:to>
      <xdr:col>9</xdr:col>
      <xdr:colOff>384893</xdr:colOff>
      <xdr:row>28</xdr:row>
      <xdr:rowOff>398145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301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123825</xdr:rowOff>
    </xdr:from>
    <xdr:to>
      <xdr:col>10</xdr:col>
      <xdr:colOff>385445</xdr:colOff>
      <xdr:row>28</xdr:row>
      <xdr:rowOff>398145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123825</xdr:rowOff>
    </xdr:from>
    <xdr:to>
      <xdr:col>11</xdr:col>
      <xdr:colOff>385445</xdr:colOff>
      <xdr:row>28</xdr:row>
      <xdr:rowOff>398145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123825</xdr:rowOff>
    </xdr:from>
    <xdr:to>
      <xdr:col>12</xdr:col>
      <xdr:colOff>385445</xdr:colOff>
      <xdr:row>28</xdr:row>
      <xdr:rowOff>398145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123825</xdr:rowOff>
    </xdr:from>
    <xdr:to>
      <xdr:col>13</xdr:col>
      <xdr:colOff>385445</xdr:colOff>
      <xdr:row>28</xdr:row>
      <xdr:rowOff>398145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123825</xdr:rowOff>
    </xdr:from>
    <xdr:to>
      <xdr:col>14</xdr:col>
      <xdr:colOff>385445</xdr:colOff>
      <xdr:row>28</xdr:row>
      <xdr:rowOff>398145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114300</xdr:rowOff>
    </xdr:from>
    <xdr:to>
      <xdr:col>15</xdr:col>
      <xdr:colOff>394418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123825</xdr:rowOff>
    </xdr:from>
    <xdr:to>
      <xdr:col>9</xdr:col>
      <xdr:colOff>384893</xdr:colOff>
      <xdr:row>29</xdr:row>
      <xdr:rowOff>398145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873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123825</xdr:rowOff>
    </xdr:from>
    <xdr:to>
      <xdr:col>10</xdr:col>
      <xdr:colOff>385445</xdr:colOff>
      <xdr:row>29</xdr:row>
      <xdr:rowOff>398145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123825</xdr:rowOff>
    </xdr:from>
    <xdr:to>
      <xdr:col>11</xdr:col>
      <xdr:colOff>385445</xdr:colOff>
      <xdr:row>29</xdr:row>
      <xdr:rowOff>398145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29</xdr:row>
      <xdr:rowOff>123825</xdr:rowOff>
    </xdr:from>
    <xdr:to>
      <xdr:col>12</xdr:col>
      <xdr:colOff>385445</xdr:colOff>
      <xdr:row>29</xdr:row>
      <xdr:rowOff>398145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29</xdr:row>
      <xdr:rowOff>123825</xdr:rowOff>
    </xdr:from>
    <xdr:to>
      <xdr:col>13</xdr:col>
      <xdr:colOff>385445</xdr:colOff>
      <xdr:row>29</xdr:row>
      <xdr:rowOff>398145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29</xdr:row>
      <xdr:rowOff>123825</xdr:rowOff>
    </xdr:from>
    <xdr:to>
      <xdr:col>14</xdr:col>
      <xdr:colOff>385445</xdr:colOff>
      <xdr:row>29</xdr:row>
      <xdr:rowOff>398145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29</xdr:row>
      <xdr:rowOff>114300</xdr:rowOff>
    </xdr:from>
    <xdr:to>
      <xdr:col>15</xdr:col>
      <xdr:colOff>394970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30</xdr:row>
      <xdr:rowOff>123825</xdr:rowOff>
    </xdr:from>
    <xdr:to>
      <xdr:col>9</xdr:col>
      <xdr:colOff>384893</xdr:colOff>
      <xdr:row>30</xdr:row>
      <xdr:rowOff>398145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544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30</xdr:row>
      <xdr:rowOff>123825</xdr:rowOff>
    </xdr:from>
    <xdr:to>
      <xdr:col>10</xdr:col>
      <xdr:colOff>384893</xdr:colOff>
      <xdr:row>30</xdr:row>
      <xdr:rowOff>398145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544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25</xdr:row>
      <xdr:rowOff>114300</xdr:rowOff>
    </xdr:from>
    <xdr:to>
      <xdr:col>19</xdr:col>
      <xdr:colOff>385445</xdr:colOff>
      <xdr:row>25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25</xdr:row>
      <xdr:rowOff>114300</xdr:rowOff>
    </xdr:from>
    <xdr:to>
      <xdr:col>20</xdr:col>
      <xdr:colOff>385445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385445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123825</xdr:rowOff>
    </xdr:from>
    <xdr:to>
      <xdr:col>23</xdr:col>
      <xdr:colOff>404495</xdr:colOff>
      <xdr:row>25</xdr:row>
      <xdr:rowOff>398145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385445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385445</xdr:colOff>
      <xdr:row>26</xdr:row>
      <xdr:rowOff>379095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385445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123825</xdr:rowOff>
    </xdr:from>
    <xdr:to>
      <xdr:col>23</xdr:col>
      <xdr:colOff>404495</xdr:colOff>
      <xdr:row>26</xdr:row>
      <xdr:rowOff>398145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384893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384893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385445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385445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385445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123825</xdr:rowOff>
    </xdr:from>
    <xdr:to>
      <xdr:col>23</xdr:col>
      <xdr:colOff>404495</xdr:colOff>
      <xdr:row>27</xdr:row>
      <xdr:rowOff>398145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384893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384893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385445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385445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123825</xdr:rowOff>
    </xdr:from>
    <xdr:to>
      <xdr:col>23</xdr:col>
      <xdr:colOff>404495</xdr:colOff>
      <xdr:row>28</xdr:row>
      <xdr:rowOff>398145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384893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384893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34</xdr:row>
      <xdr:rowOff>114300</xdr:rowOff>
    </xdr:from>
    <xdr:to>
      <xdr:col>5</xdr:col>
      <xdr:colOff>385445</xdr:colOff>
      <xdr:row>34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34</xdr:row>
      <xdr:rowOff>114300</xdr:rowOff>
    </xdr:from>
    <xdr:to>
      <xdr:col>6</xdr:col>
      <xdr:colOff>385445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104775</xdr:rowOff>
    </xdr:from>
    <xdr:to>
      <xdr:col>7</xdr:col>
      <xdr:colOff>394970</xdr:colOff>
      <xdr:row>34</xdr:row>
      <xdr:rowOff>379095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35</xdr:row>
      <xdr:rowOff>114300</xdr:rowOff>
    </xdr:from>
    <xdr:to>
      <xdr:col>1</xdr:col>
      <xdr:colOff>385445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35</xdr:row>
      <xdr:rowOff>114300</xdr:rowOff>
    </xdr:from>
    <xdr:to>
      <xdr:col>2</xdr:col>
      <xdr:colOff>385445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35</xdr:row>
      <xdr:rowOff>114300</xdr:rowOff>
    </xdr:from>
    <xdr:to>
      <xdr:col>3</xdr:col>
      <xdr:colOff>385445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35</xdr:row>
      <xdr:rowOff>114300</xdr:rowOff>
    </xdr:from>
    <xdr:to>
      <xdr:col>4</xdr:col>
      <xdr:colOff>385445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35</xdr:row>
      <xdr:rowOff>114300</xdr:rowOff>
    </xdr:from>
    <xdr:to>
      <xdr:col>5</xdr:col>
      <xdr:colOff>385445</xdr:colOff>
      <xdr:row>35</xdr:row>
      <xdr:rowOff>379095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35</xdr:row>
      <xdr:rowOff>114300</xdr:rowOff>
    </xdr:from>
    <xdr:to>
      <xdr:col>6</xdr:col>
      <xdr:colOff>385445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104775</xdr:rowOff>
    </xdr:from>
    <xdr:to>
      <xdr:col>7</xdr:col>
      <xdr:colOff>394970</xdr:colOff>
      <xdr:row>35</xdr:row>
      <xdr:rowOff>379095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</xdr:row>
      <xdr:rowOff>114300</xdr:rowOff>
    </xdr:from>
    <xdr:to>
      <xdr:col>1</xdr:col>
      <xdr:colOff>385445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36</xdr:row>
      <xdr:rowOff>114300</xdr:rowOff>
    </xdr:from>
    <xdr:to>
      <xdr:col>2</xdr:col>
      <xdr:colOff>384893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36</xdr:row>
      <xdr:rowOff>114300</xdr:rowOff>
    </xdr:from>
    <xdr:to>
      <xdr:col>3</xdr:col>
      <xdr:colOff>384893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36</xdr:row>
      <xdr:rowOff>114300</xdr:rowOff>
    </xdr:from>
    <xdr:to>
      <xdr:col>4</xdr:col>
      <xdr:colOff>385445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36</xdr:row>
      <xdr:rowOff>114300</xdr:rowOff>
    </xdr:from>
    <xdr:to>
      <xdr:col>5</xdr:col>
      <xdr:colOff>385445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36</xdr:row>
      <xdr:rowOff>114300</xdr:rowOff>
    </xdr:from>
    <xdr:to>
      <xdr:col>6</xdr:col>
      <xdr:colOff>385445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104775</xdr:rowOff>
    </xdr:from>
    <xdr:to>
      <xdr:col>7</xdr:col>
      <xdr:colOff>394970</xdr:colOff>
      <xdr:row>36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37</xdr:row>
      <xdr:rowOff>114300</xdr:rowOff>
    </xdr:from>
    <xdr:to>
      <xdr:col>1</xdr:col>
      <xdr:colOff>385445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37</xdr:row>
      <xdr:rowOff>114300</xdr:rowOff>
    </xdr:from>
    <xdr:to>
      <xdr:col>2</xdr:col>
      <xdr:colOff>385445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37</xdr:row>
      <xdr:rowOff>114300</xdr:rowOff>
    </xdr:from>
    <xdr:to>
      <xdr:col>3</xdr:col>
      <xdr:colOff>384893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37</xdr:row>
      <xdr:rowOff>114300</xdr:rowOff>
    </xdr:from>
    <xdr:to>
      <xdr:col>4</xdr:col>
      <xdr:colOff>384893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37</xdr:row>
      <xdr:rowOff>114300</xdr:rowOff>
    </xdr:from>
    <xdr:to>
      <xdr:col>5</xdr:col>
      <xdr:colOff>385445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37</xdr:row>
      <xdr:rowOff>114300</xdr:rowOff>
    </xdr:from>
    <xdr:to>
      <xdr:col>6</xdr:col>
      <xdr:colOff>385445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104775</xdr:rowOff>
    </xdr:from>
    <xdr:to>
      <xdr:col>7</xdr:col>
      <xdr:colOff>394970</xdr:colOff>
      <xdr:row>37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38</xdr:row>
      <xdr:rowOff>114300</xdr:rowOff>
    </xdr:from>
    <xdr:to>
      <xdr:col>1</xdr:col>
      <xdr:colOff>385445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38</xdr:row>
      <xdr:rowOff>114300</xdr:rowOff>
    </xdr:from>
    <xdr:to>
      <xdr:col>2</xdr:col>
      <xdr:colOff>385445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38</xdr:row>
      <xdr:rowOff>114300</xdr:rowOff>
    </xdr:from>
    <xdr:to>
      <xdr:col>3</xdr:col>
      <xdr:colOff>385445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38</xdr:row>
      <xdr:rowOff>114300</xdr:rowOff>
    </xdr:from>
    <xdr:to>
      <xdr:col>4</xdr:col>
      <xdr:colOff>384893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38</xdr:row>
      <xdr:rowOff>114300</xdr:rowOff>
    </xdr:from>
    <xdr:to>
      <xdr:col>5</xdr:col>
      <xdr:colOff>384893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38</xdr:row>
      <xdr:rowOff>114300</xdr:rowOff>
    </xdr:from>
    <xdr:to>
      <xdr:col>6</xdr:col>
      <xdr:colOff>385445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104775</xdr:rowOff>
    </xdr:from>
    <xdr:to>
      <xdr:col>7</xdr:col>
      <xdr:colOff>394970</xdr:colOff>
      <xdr:row>38</xdr:row>
      <xdr:rowOff>379095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25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34</xdr:row>
      <xdr:rowOff>114300</xdr:rowOff>
    </xdr:from>
    <xdr:to>
      <xdr:col>9</xdr:col>
      <xdr:colOff>404495</xdr:colOff>
      <xdr:row>34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34</xdr:row>
      <xdr:rowOff>114300</xdr:rowOff>
    </xdr:from>
    <xdr:to>
      <xdr:col>10</xdr:col>
      <xdr:colOff>404495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34</xdr:row>
      <xdr:rowOff>114300</xdr:rowOff>
    </xdr:from>
    <xdr:to>
      <xdr:col>11</xdr:col>
      <xdr:colOff>404495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34</xdr:row>
      <xdr:rowOff>114300</xdr:rowOff>
    </xdr:from>
    <xdr:to>
      <xdr:col>12</xdr:col>
      <xdr:colOff>404495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34</xdr:row>
      <xdr:rowOff>114300</xdr:rowOff>
    </xdr:from>
    <xdr:to>
      <xdr:col>13</xdr:col>
      <xdr:colOff>404495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34</xdr:row>
      <xdr:rowOff>114300</xdr:rowOff>
    </xdr:from>
    <xdr:to>
      <xdr:col>14</xdr:col>
      <xdr:colOff>404495</xdr:colOff>
      <xdr:row>34</xdr:row>
      <xdr:rowOff>379095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106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133350</xdr:rowOff>
    </xdr:from>
    <xdr:to>
      <xdr:col>15</xdr:col>
      <xdr:colOff>394970</xdr:colOff>
      <xdr:row>34</xdr:row>
      <xdr:rowOff>407670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25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35</xdr:row>
      <xdr:rowOff>114300</xdr:rowOff>
    </xdr:from>
    <xdr:to>
      <xdr:col>9</xdr:col>
      <xdr:colOff>404495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35</xdr:row>
      <xdr:rowOff>114300</xdr:rowOff>
    </xdr:from>
    <xdr:to>
      <xdr:col>10</xdr:col>
      <xdr:colOff>404495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35</xdr:row>
      <xdr:rowOff>114300</xdr:rowOff>
    </xdr:from>
    <xdr:to>
      <xdr:col>11</xdr:col>
      <xdr:colOff>404495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35</xdr:row>
      <xdr:rowOff>114300</xdr:rowOff>
    </xdr:from>
    <xdr:to>
      <xdr:col>12</xdr:col>
      <xdr:colOff>403943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35</xdr:row>
      <xdr:rowOff>114300</xdr:rowOff>
    </xdr:from>
    <xdr:to>
      <xdr:col>13</xdr:col>
      <xdr:colOff>403943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35</xdr:row>
      <xdr:rowOff>114300</xdr:rowOff>
    </xdr:from>
    <xdr:to>
      <xdr:col>14</xdr:col>
      <xdr:colOff>404495</xdr:colOff>
      <xdr:row>35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133350</xdr:rowOff>
    </xdr:from>
    <xdr:to>
      <xdr:col>15</xdr:col>
      <xdr:colOff>394970</xdr:colOff>
      <xdr:row>35</xdr:row>
      <xdr:rowOff>407670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92075</xdr:colOff>
      <xdr:row>36</xdr:row>
      <xdr:rowOff>114300</xdr:rowOff>
    </xdr:from>
    <xdr:to>
      <xdr:col>9</xdr:col>
      <xdr:colOff>366395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92075</xdr:colOff>
      <xdr:row>36</xdr:row>
      <xdr:rowOff>114300</xdr:rowOff>
    </xdr:from>
    <xdr:to>
      <xdr:col>10</xdr:col>
      <xdr:colOff>366395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36</xdr:row>
      <xdr:rowOff>114300</xdr:rowOff>
    </xdr:from>
    <xdr:to>
      <xdr:col>11</xdr:col>
      <xdr:colOff>366395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36</xdr:row>
      <xdr:rowOff>114300</xdr:rowOff>
    </xdr:from>
    <xdr:to>
      <xdr:col>12</xdr:col>
      <xdr:colOff>366395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36</xdr:row>
      <xdr:rowOff>114300</xdr:rowOff>
    </xdr:from>
    <xdr:to>
      <xdr:col>13</xdr:col>
      <xdr:colOff>365843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36</xdr:row>
      <xdr:rowOff>114300</xdr:rowOff>
    </xdr:from>
    <xdr:to>
      <xdr:col>14</xdr:col>
      <xdr:colOff>365843</xdr:colOff>
      <xdr:row>36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133350</xdr:rowOff>
    </xdr:from>
    <xdr:to>
      <xdr:col>15</xdr:col>
      <xdr:colOff>394970</xdr:colOff>
      <xdr:row>36</xdr:row>
      <xdr:rowOff>407670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37</xdr:row>
      <xdr:rowOff>114300</xdr:rowOff>
    </xdr:from>
    <xdr:to>
      <xdr:col>9</xdr:col>
      <xdr:colOff>394970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37</xdr:row>
      <xdr:rowOff>114300</xdr:rowOff>
    </xdr:from>
    <xdr:to>
      <xdr:col>10</xdr:col>
      <xdr:colOff>394970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37</xdr:row>
      <xdr:rowOff>114300</xdr:rowOff>
    </xdr:from>
    <xdr:to>
      <xdr:col>11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92075</xdr:colOff>
      <xdr:row>37</xdr:row>
      <xdr:rowOff>114300</xdr:rowOff>
    </xdr:from>
    <xdr:to>
      <xdr:col>12</xdr:col>
      <xdr:colOff>366395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92075</xdr:colOff>
      <xdr:row>37</xdr:row>
      <xdr:rowOff>114300</xdr:rowOff>
    </xdr:from>
    <xdr:to>
      <xdr:col>13</xdr:col>
      <xdr:colOff>366395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2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92075</xdr:colOff>
      <xdr:row>37</xdr:row>
      <xdr:rowOff>114300</xdr:rowOff>
    </xdr:from>
    <xdr:to>
      <xdr:col>14</xdr:col>
      <xdr:colOff>365843</xdr:colOff>
      <xdr:row>37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133350</xdr:rowOff>
    </xdr:from>
    <xdr:to>
      <xdr:col>15</xdr:col>
      <xdr:colOff>394418</xdr:colOff>
      <xdr:row>37</xdr:row>
      <xdr:rowOff>407670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97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38</xdr:row>
      <xdr:rowOff>114300</xdr:rowOff>
    </xdr:from>
    <xdr:to>
      <xdr:col>9</xdr:col>
      <xdr:colOff>394970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38</xdr:row>
      <xdr:rowOff>114300</xdr:rowOff>
    </xdr:from>
    <xdr:to>
      <xdr:col>10</xdr:col>
      <xdr:colOff>394970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34</xdr:row>
      <xdr:rowOff>114300</xdr:rowOff>
    </xdr:from>
    <xdr:to>
      <xdr:col>19</xdr:col>
      <xdr:colOff>404495</xdr:colOff>
      <xdr:row>34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34</xdr:row>
      <xdr:rowOff>114300</xdr:rowOff>
    </xdr:from>
    <xdr:to>
      <xdr:col>20</xdr:col>
      <xdr:colOff>404495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34</xdr:row>
      <xdr:rowOff>114300</xdr:rowOff>
    </xdr:from>
    <xdr:to>
      <xdr:col>21</xdr:col>
      <xdr:colOff>404495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34</xdr:row>
      <xdr:rowOff>114300</xdr:rowOff>
    </xdr:from>
    <xdr:to>
      <xdr:col>22</xdr:col>
      <xdr:colOff>404495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123825</xdr:rowOff>
    </xdr:from>
    <xdr:to>
      <xdr:col>23</xdr:col>
      <xdr:colOff>404495</xdr:colOff>
      <xdr:row>34</xdr:row>
      <xdr:rowOff>398145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35</xdr:row>
      <xdr:rowOff>114300</xdr:rowOff>
    </xdr:from>
    <xdr:to>
      <xdr:col>17</xdr:col>
      <xdr:colOff>404495</xdr:colOff>
      <xdr:row>35</xdr:row>
      <xdr:rowOff>379095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563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35</xdr:row>
      <xdr:rowOff>114300</xdr:rowOff>
    </xdr:from>
    <xdr:to>
      <xdr:col>18</xdr:col>
      <xdr:colOff>404495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35</xdr:row>
      <xdr:rowOff>114300</xdr:rowOff>
    </xdr:from>
    <xdr:to>
      <xdr:col>19</xdr:col>
      <xdr:colOff>404495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35</xdr:row>
      <xdr:rowOff>114300</xdr:rowOff>
    </xdr:from>
    <xdr:to>
      <xdr:col>20</xdr:col>
      <xdr:colOff>404495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35</xdr:row>
      <xdr:rowOff>114300</xdr:rowOff>
    </xdr:from>
    <xdr:to>
      <xdr:col>21</xdr:col>
      <xdr:colOff>403943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35</xdr:row>
      <xdr:rowOff>114300</xdr:rowOff>
    </xdr:from>
    <xdr:to>
      <xdr:col>22</xdr:col>
      <xdr:colOff>403943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123825</xdr:rowOff>
    </xdr:from>
    <xdr:to>
      <xdr:col>23</xdr:col>
      <xdr:colOff>404495</xdr:colOff>
      <xdr:row>35</xdr:row>
      <xdr:rowOff>398145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36</xdr:row>
      <xdr:rowOff>114300</xdr:rowOff>
    </xdr:from>
    <xdr:to>
      <xdr:col>17</xdr:col>
      <xdr:colOff>404495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36</xdr:row>
      <xdr:rowOff>114300</xdr:rowOff>
    </xdr:from>
    <xdr:to>
      <xdr:col>18</xdr:col>
      <xdr:colOff>404495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36</xdr:row>
      <xdr:rowOff>114300</xdr:rowOff>
    </xdr:from>
    <xdr:to>
      <xdr:col>19</xdr:col>
      <xdr:colOff>404495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36</xdr:row>
      <xdr:rowOff>114300</xdr:rowOff>
    </xdr:from>
    <xdr:to>
      <xdr:col>20</xdr:col>
      <xdr:colOff>404495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36</xdr:row>
      <xdr:rowOff>114300</xdr:rowOff>
    </xdr:from>
    <xdr:to>
      <xdr:col>21</xdr:col>
      <xdr:colOff>404495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36</xdr:row>
      <xdr:rowOff>114300</xdr:rowOff>
    </xdr:from>
    <xdr:to>
      <xdr:col>22</xdr:col>
      <xdr:colOff>403943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123825</xdr:rowOff>
    </xdr:from>
    <xdr:to>
      <xdr:col>23</xdr:col>
      <xdr:colOff>403943</xdr:colOff>
      <xdr:row>36</xdr:row>
      <xdr:rowOff>398145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30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82550</xdr:colOff>
      <xdr:row>37</xdr:row>
      <xdr:rowOff>114300</xdr:rowOff>
    </xdr:from>
    <xdr:to>
      <xdr:col>17</xdr:col>
      <xdr:colOff>356870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82550</xdr:colOff>
      <xdr:row>37</xdr:row>
      <xdr:rowOff>114300</xdr:rowOff>
    </xdr:from>
    <xdr:to>
      <xdr:col>18</xdr:col>
      <xdr:colOff>356870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82550</xdr:colOff>
      <xdr:row>37</xdr:row>
      <xdr:rowOff>114300</xdr:rowOff>
    </xdr:from>
    <xdr:to>
      <xdr:col>19</xdr:col>
      <xdr:colOff>356870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82550</xdr:colOff>
      <xdr:row>37</xdr:row>
      <xdr:rowOff>114300</xdr:rowOff>
    </xdr:from>
    <xdr:to>
      <xdr:col>20</xdr:col>
      <xdr:colOff>356870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82550</xdr:colOff>
      <xdr:row>37</xdr:row>
      <xdr:rowOff>114300</xdr:rowOff>
    </xdr:from>
    <xdr:to>
      <xdr:col>21</xdr:col>
      <xdr:colOff>356870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82550</xdr:colOff>
      <xdr:row>37</xdr:row>
      <xdr:rowOff>114300</xdr:rowOff>
    </xdr:from>
    <xdr:to>
      <xdr:col>22</xdr:col>
      <xdr:colOff>356870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5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123825</xdr:rowOff>
    </xdr:from>
    <xdr:to>
      <xdr:col>23</xdr:col>
      <xdr:colOff>403943</xdr:colOff>
      <xdr:row>37</xdr:row>
      <xdr:rowOff>398145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87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82550</xdr:colOff>
      <xdr:row>38</xdr:row>
      <xdr:rowOff>114300</xdr:rowOff>
    </xdr:from>
    <xdr:to>
      <xdr:col>17</xdr:col>
      <xdr:colOff>356318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4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82550</xdr:colOff>
      <xdr:row>38</xdr:row>
      <xdr:rowOff>114300</xdr:rowOff>
    </xdr:from>
    <xdr:to>
      <xdr:col>18</xdr:col>
      <xdr:colOff>356870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82550</xdr:colOff>
      <xdr:row>38</xdr:row>
      <xdr:rowOff>114300</xdr:rowOff>
    </xdr:from>
    <xdr:to>
      <xdr:col>19</xdr:col>
      <xdr:colOff>356870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82550</xdr:colOff>
      <xdr:row>38</xdr:row>
      <xdr:rowOff>114300</xdr:rowOff>
    </xdr:from>
    <xdr:to>
      <xdr:col>20</xdr:col>
      <xdr:colOff>356870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82550</xdr:colOff>
      <xdr:row>38</xdr:row>
      <xdr:rowOff>114300</xdr:rowOff>
    </xdr:from>
    <xdr:to>
      <xdr:col>21</xdr:col>
      <xdr:colOff>356870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123825</xdr:rowOff>
    </xdr:from>
    <xdr:to>
      <xdr:col>23</xdr:col>
      <xdr:colOff>404495</xdr:colOff>
      <xdr:row>8</xdr:row>
      <xdr:rowOff>398145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00500"/>
          <a:ext cx="274320" cy="27432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7</xdr:row>
      <xdr:rowOff>114300</xdr:rowOff>
    </xdr:from>
    <xdr:to>
      <xdr:col>6</xdr:col>
      <xdr:colOff>394970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104775</xdr:rowOff>
    </xdr:from>
    <xdr:to>
      <xdr:col>7</xdr:col>
      <xdr:colOff>385445</xdr:colOff>
      <xdr:row>7</xdr:row>
      <xdr:rowOff>379095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8</xdr:row>
      <xdr:rowOff>114300</xdr:rowOff>
    </xdr:from>
    <xdr:to>
      <xdr:col>1</xdr:col>
      <xdr:colOff>394970</xdr:colOff>
      <xdr:row>8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114300</xdr:rowOff>
    </xdr:from>
    <xdr:to>
      <xdr:col>2</xdr:col>
      <xdr:colOff>394970</xdr:colOff>
      <xdr:row>8</xdr:row>
      <xdr:rowOff>379095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8</xdr:row>
      <xdr:rowOff>114300</xdr:rowOff>
    </xdr:from>
    <xdr:to>
      <xdr:col>3</xdr:col>
      <xdr:colOff>394970</xdr:colOff>
      <xdr:row>8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8</xdr:row>
      <xdr:rowOff>114300</xdr:rowOff>
    </xdr:from>
    <xdr:to>
      <xdr:col>4</xdr:col>
      <xdr:colOff>394970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114300</xdr:rowOff>
    </xdr:from>
    <xdr:to>
      <xdr:col>5</xdr:col>
      <xdr:colOff>394970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8</xdr:row>
      <xdr:rowOff>114300</xdr:rowOff>
    </xdr:from>
    <xdr:to>
      <xdr:col>6</xdr:col>
      <xdr:colOff>394970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104775</xdr:rowOff>
    </xdr:from>
    <xdr:to>
      <xdr:col>7</xdr:col>
      <xdr:colOff>384893</xdr:colOff>
      <xdr:row>8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9</xdr:row>
      <xdr:rowOff>114300</xdr:rowOff>
    </xdr:from>
    <xdr:to>
      <xdr:col>1</xdr:col>
      <xdr:colOff>394418</xdr:colOff>
      <xdr:row>9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9</xdr:row>
      <xdr:rowOff>114300</xdr:rowOff>
    </xdr:from>
    <xdr:to>
      <xdr:col>2</xdr:col>
      <xdr:colOff>394970</xdr:colOff>
      <xdr:row>9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9</xdr:row>
      <xdr:rowOff>114300</xdr:rowOff>
    </xdr:from>
    <xdr:to>
      <xdr:col>3</xdr:col>
      <xdr:colOff>394970</xdr:colOff>
      <xdr:row>9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</xdr:row>
      <xdr:rowOff>114300</xdr:rowOff>
    </xdr:from>
    <xdr:to>
      <xdr:col>4</xdr:col>
      <xdr:colOff>394970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9</xdr:row>
      <xdr:rowOff>114300</xdr:rowOff>
    </xdr:from>
    <xdr:to>
      <xdr:col>5</xdr:col>
      <xdr:colOff>394970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9</xdr:row>
      <xdr:rowOff>114300</xdr:rowOff>
    </xdr:from>
    <xdr:to>
      <xdr:col>6</xdr:col>
      <xdr:colOff>394970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104775</xdr:rowOff>
    </xdr:from>
    <xdr:to>
      <xdr:col>7</xdr:col>
      <xdr:colOff>385445</xdr:colOff>
      <xdr:row>9</xdr:row>
      <xdr:rowOff>379095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10</xdr:row>
      <xdr:rowOff>114300</xdr:rowOff>
    </xdr:from>
    <xdr:to>
      <xdr:col>1</xdr:col>
      <xdr:colOff>394418</xdr:colOff>
      <xdr:row>10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10</xdr:row>
      <xdr:rowOff>114300</xdr:rowOff>
    </xdr:from>
    <xdr:to>
      <xdr:col>2</xdr:col>
      <xdr:colOff>394418</xdr:colOff>
      <xdr:row>10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10</xdr:row>
      <xdr:rowOff>114300</xdr:rowOff>
    </xdr:from>
    <xdr:to>
      <xdr:col>3</xdr:col>
      <xdr:colOff>394970</xdr:colOff>
      <xdr:row>10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10</xdr:row>
      <xdr:rowOff>114300</xdr:rowOff>
    </xdr:from>
    <xdr:to>
      <xdr:col>4</xdr:col>
      <xdr:colOff>394970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10</xdr:row>
      <xdr:rowOff>114300</xdr:rowOff>
    </xdr:from>
    <xdr:to>
      <xdr:col>5</xdr:col>
      <xdr:colOff>394970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10</xdr:row>
      <xdr:rowOff>114300</xdr:rowOff>
    </xdr:from>
    <xdr:to>
      <xdr:col>6</xdr:col>
      <xdr:colOff>394970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104775</xdr:rowOff>
    </xdr:from>
    <xdr:to>
      <xdr:col>7</xdr:col>
      <xdr:colOff>385445</xdr:colOff>
      <xdr:row>10</xdr:row>
      <xdr:rowOff>379095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11</xdr:row>
      <xdr:rowOff>114300</xdr:rowOff>
    </xdr:from>
    <xdr:to>
      <xdr:col>1</xdr:col>
      <xdr:colOff>394970</xdr:colOff>
      <xdr:row>11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11</xdr:row>
      <xdr:rowOff>114300</xdr:rowOff>
    </xdr:from>
    <xdr:to>
      <xdr:col>2</xdr:col>
      <xdr:colOff>394418</xdr:colOff>
      <xdr:row>11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11</xdr:row>
      <xdr:rowOff>114300</xdr:rowOff>
    </xdr:from>
    <xdr:to>
      <xdr:col>3</xdr:col>
      <xdr:colOff>394418</xdr:colOff>
      <xdr:row>11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11</xdr:row>
      <xdr:rowOff>114300</xdr:rowOff>
    </xdr:from>
    <xdr:to>
      <xdr:col>4</xdr:col>
      <xdr:colOff>394970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11</xdr:row>
      <xdr:rowOff>114300</xdr:rowOff>
    </xdr:from>
    <xdr:to>
      <xdr:col>5</xdr:col>
      <xdr:colOff>394970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11</xdr:row>
      <xdr:rowOff>114300</xdr:rowOff>
    </xdr:from>
    <xdr:to>
      <xdr:col>6</xdr:col>
      <xdr:colOff>394970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11</xdr:row>
      <xdr:rowOff>104775</xdr:rowOff>
    </xdr:from>
    <xdr:to>
      <xdr:col>7</xdr:col>
      <xdr:colOff>385445</xdr:colOff>
      <xdr:row>11</xdr:row>
      <xdr:rowOff>379095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12</xdr:row>
      <xdr:rowOff>114300</xdr:rowOff>
    </xdr:from>
    <xdr:to>
      <xdr:col>1</xdr:col>
      <xdr:colOff>394970</xdr:colOff>
      <xdr:row>12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5819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7</xdr:row>
      <xdr:rowOff>114300</xdr:rowOff>
    </xdr:from>
    <xdr:to>
      <xdr:col>10</xdr:col>
      <xdr:colOff>375920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7</xdr:row>
      <xdr:rowOff>114300</xdr:rowOff>
    </xdr:from>
    <xdr:to>
      <xdr:col>11</xdr:col>
      <xdr:colOff>375920</xdr:colOff>
      <xdr:row>7</xdr:row>
      <xdr:rowOff>379095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7</xdr:row>
      <xdr:rowOff>114300</xdr:rowOff>
    </xdr:from>
    <xdr:to>
      <xdr:col>12</xdr:col>
      <xdr:colOff>375920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7</xdr:row>
      <xdr:rowOff>114300</xdr:rowOff>
    </xdr:from>
    <xdr:to>
      <xdr:col>13</xdr:col>
      <xdr:colOff>375920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</xdr:row>
      <xdr:rowOff>114300</xdr:rowOff>
    </xdr:from>
    <xdr:to>
      <xdr:col>14</xdr:col>
      <xdr:colOff>375920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133350</xdr:rowOff>
    </xdr:from>
    <xdr:to>
      <xdr:col>15</xdr:col>
      <xdr:colOff>394970</xdr:colOff>
      <xdr:row>7</xdr:row>
      <xdr:rowOff>407670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8</xdr:row>
      <xdr:rowOff>114300</xdr:rowOff>
    </xdr:from>
    <xdr:to>
      <xdr:col>9</xdr:col>
      <xdr:colOff>375920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8</xdr:row>
      <xdr:rowOff>114300</xdr:rowOff>
    </xdr:from>
    <xdr:to>
      <xdr:col>10</xdr:col>
      <xdr:colOff>375368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8</xdr:row>
      <xdr:rowOff>114300</xdr:rowOff>
    </xdr:from>
    <xdr:to>
      <xdr:col>11</xdr:col>
      <xdr:colOff>375368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8</xdr:row>
      <xdr:rowOff>114300</xdr:rowOff>
    </xdr:from>
    <xdr:to>
      <xdr:col>12</xdr:col>
      <xdr:colOff>375920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8</xdr:row>
      <xdr:rowOff>114300</xdr:rowOff>
    </xdr:from>
    <xdr:to>
      <xdr:col>13</xdr:col>
      <xdr:colOff>375920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</xdr:row>
      <xdr:rowOff>114300</xdr:rowOff>
    </xdr:from>
    <xdr:to>
      <xdr:col>14</xdr:col>
      <xdr:colOff>375920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133350</xdr:rowOff>
    </xdr:from>
    <xdr:to>
      <xdr:col>15</xdr:col>
      <xdr:colOff>394970</xdr:colOff>
      <xdr:row>8</xdr:row>
      <xdr:rowOff>407670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9</xdr:row>
      <xdr:rowOff>114300</xdr:rowOff>
    </xdr:from>
    <xdr:to>
      <xdr:col>9</xdr:col>
      <xdr:colOff>375920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9</xdr:row>
      <xdr:rowOff>114300</xdr:rowOff>
    </xdr:from>
    <xdr:to>
      <xdr:col>10</xdr:col>
      <xdr:colOff>375920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9</xdr:row>
      <xdr:rowOff>114300</xdr:rowOff>
    </xdr:from>
    <xdr:to>
      <xdr:col>11</xdr:col>
      <xdr:colOff>375368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9</xdr:row>
      <xdr:rowOff>114300</xdr:rowOff>
    </xdr:from>
    <xdr:to>
      <xdr:col>12</xdr:col>
      <xdr:colOff>375368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9</xdr:row>
      <xdr:rowOff>114300</xdr:rowOff>
    </xdr:from>
    <xdr:to>
      <xdr:col>13</xdr:col>
      <xdr:colOff>375920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9</xdr:row>
      <xdr:rowOff>114300</xdr:rowOff>
    </xdr:from>
    <xdr:to>
      <xdr:col>14</xdr:col>
      <xdr:colOff>375920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133350</xdr:rowOff>
    </xdr:from>
    <xdr:to>
      <xdr:col>15</xdr:col>
      <xdr:colOff>394970</xdr:colOff>
      <xdr:row>9</xdr:row>
      <xdr:rowOff>407670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10</xdr:row>
      <xdr:rowOff>114300</xdr:rowOff>
    </xdr:from>
    <xdr:to>
      <xdr:col>9</xdr:col>
      <xdr:colOff>375920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10</xdr:row>
      <xdr:rowOff>114300</xdr:rowOff>
    </xdr:from>
    <xdr:to>
      <xdr:col>10</xdr:col>
      <xdr:colOff>375920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10</xdr:row>
      <xdr:rowOff>114300</xdr:rowOff>
    </xdr:from>
    <xdr:to>
      <xdr:col>11</xdr:col>
      <xdr:colOff>375368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10</xdr:row>
      <xdr:rowOff>114300</xdr:rowOff>
    </xdr:from>
    <xdr:to>
      <xdr:col>12</xdr:col>
      <xdr:colOff>375368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10</xdr:row>
      <xdr:rowOff>114300</xdr:rowOff>
    </xdr:from>
    <xdr:to>
      <xdr:col>13</xdr:col>
      <xdr:colOff>375920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10</xdr:row>
      <xdr:rowOff>114300</xdr:rowOff>
    </xdr:from>
    <xdr:to>
      <xdr:col>14</xdr:col>
      <xdr:colOff>375920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133350</xdr:rowOff>
    </xdr:from>
    <xdr:to>
      <xdr:col>15</xdr:col>
      <xdr:colOff>394970</xdr:colOff>
      <xdr:row>10</xdr:row>
      <xdr:rowOff>407670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11</xdr:row>
      <xdr:rowOff>114300</xdr:rowOff>
    </xdr:from>
    <xdr:to>
      <xdr:col>9</xdr:col>
      <xdr:colOff>375920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7</xdr:row>
      <xdr:rowOff>114300</xdr:rowOff>
    </xdr:from>
    <xdr:to>
      <xdr:col>18</xdr:col>
      <xdr:colOff>375920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7</xdr:row>
      <xdr:rowOff>114300</xdr:rowOff>
    </xdr:from>
    <xdr:to>
      <xdr:col>19</xdr:col>
      <xdr:colOff>375920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7</xdr:row>
      <xdr:rowOff>114300</xdr:rowOff>
    </xdr:from>
    <xdr:to>
      <xdr:col>20</xdr:col>
      <xdr:colOff>375920</xdr:colOff>
      <xdr:row>7</xdr:row>
      <xdr:rowOff>388620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7</xdr:row>
      <xdr:rowOff>114300</xdr:rowOff>
    </xdr:from>
    <xdr:to>
      <xdr:col>21</xdr:col>
      <xdr:colOff>375920</xdr:colOff>
      <xdr:row>7</xdr:row>
      <xdr:rowOff>379095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7</xdr:row>
      <xdr:rowOff>114300</xdr:rowOff>
    </xdr:from>
    <xdr:to>
      <xdr:col>22</xdr:col>
      <xdr:colOff>375920</xdr:colOff>
      <xdr:row>7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133350</xdr:rowOff>
    </xdr:from>
    <xdr:to>
      <xdr:col>23</xdr:col>
      <xdr:colOff>404495</xdr:colOff>
      <xdr:row>7</xdr:row>
      <xdr:rowOff>407670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375920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375920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375920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375368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375368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133350</xdr:rowOff>
    </xdr:from>
    <xdr:to>
      <xdr:col>23</xdr:col>
      <xdr:colOff>404495</xdr:colOff>
      <xdr:row>8</xdr:row>
      <xdr:rowOff>407670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9</xdr:row>
      <xdr:rowOff>114300</xdr:rowOff>
    </xdr:from>
    <xdr:to>
      <xdr:col>17</xdr:col>
      <xdr:colOff>375920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9</xdr:row>
      <xdr:rowOff>114300</xdr:rowOff>
    </xdr:from>
    <xdr:to>
      <xdr:col>18</xdr:col>
      <xdr:colOff>375920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9</xdr:row>
      <xdr:rowOff>114300</xdr:rowOff>
    </xdr:from>
    <xdr:to>
      <xdr:col>19</xdr:col>
      <xdr:colOff>375920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9</xdr:row>
      <xdr:rowOff>114300</xdr:rowOff>
    </xdr:from>
    <xdr:to>
      <xdr:col>20</xdr:col>
      <xdr:colOff>375920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9</xdr:row>
      <xdr:rowOff>114300</xdr:rowOff>
    </xdr:from>
    <xdr:to>
      <xdr:col>21</xdr:col>
      <xdr:colOff>375368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9</xdr:row>
      <xdr:rowOff>114300</xdr:rowOff>
    </xdr:from>
    <xdr:to>
      <xdr:col>22</xdr:col>
      <xdr:colOff>375368</xdr:colOff>
      <xdr:row>9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133350</xdr:rowOff>
    </xdr:from>
    <xdr:to>
      <xdr:col>23</xdr:col>
      <xdr:colOff>404495</xdr:colOff>
      <xdr:row>9</xdr:row>
      <xdr:rowOff>407670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114300</xdr:rowOff>
    </xdr:from>
    <xdr:to>
      <xdr:col>17</xdr:col>
      <xdr:colOff>375920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10</xdr:row>
      <xdr:rowOff>114300</xdr:rowOff>
    </xdr:from>
    <xdr:to>
      <xdr:col>18</xdr:col>
      <xdr:colOff>375920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10</xdr:row>
      <xdr:rowOff>114300</xdr:rowOff>
    </xdr:from>
    <xdr:to>
      <xdr:col>19</xdr:col>
      <xdr:colOff>375920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10</xdr:row>
      <xdr:rowOff>114300</xdr:rowOff>
    </xdr:from>
    <xdr:to>
      <xdr:col>20</xdr:col>
      <xdr:colOff>375368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10</xdr:row>
      <xdr:rowOff>114300</xdr:rowOff>
    </xdr:from>
    <xdr:to>
      <xdr:col>21</xdr:col>
      <xdr:colOff>375368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10</xdr:row>
      <xdr:rowOff>114300</xdr:rowOff>
    </xdr:from>
    <xdr:to>
      <xdr:col>22</xdr:col>
      <xdr:colOff>375920</xdr:colOff>
      <xdr:row>10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133350</xdr:rowOff>
    </xdr:from>
    <xdr:to>
      <xdr:col>23</xdr:col>
      <xdr:colOff>404495</xdr:colOff>
      <xdr:row>10</xdr:row>
      <xdr:rowOff>407670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11</xdr:row>
      <xdr:rowOff>114300</xdr:rowOff>
    </xdr:from>
    <xdr:to>
      <xdr:col>17</xdr:col>
      <xdr:colOff>375920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11</xdr:row>
      <xdr:rowOff>114300</xdr:rowOff>
    </xdr:from>
    <xdr:to>
      <xdr:col>18</xdr:col>
      <xdr:colOff>375920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11</xdr:row>
      <xdr:rowOff>114300</xdr:rowOff>
    </xdr:from>
    <xdr:to>
      <xdr:col>19</xdr:col>
      <xdr:colOff>375920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11</xdr:row>
      <xdr:rowOff>114300</xdr:rowOff>
    </xdr:from>
    <xdr:to>
      <xdr:col>20</xdr:col>
      <xdr:colOff>375920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16</xdr:row>
      <xdr:rowOff>114300</xdr:rowOff>
    </xdr:from>
    <xdr:to>
      <xdr:col>5</xdr:col>
      <xdr:colOff>394970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16</xdr:row>
      <xdr:rowOff>114300</xdr:rowOff>
    </xdr:from>
    <xdr:to>
      <xdr:col>6</xdr:col>
      <xdr:colOff>394970</xdr:colOff>
      <xdr:row>16</xdr:row>
      <xdr:rowOff>379095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16</xdr:row>
      <xdr:rowOff>85725</xdr:rowOff>
    </xdr:from>
    <xdr:to>
      <xdr:col>7</xdr:col>
      <xdr:colOff>385445</xdr:colOff>
      <xdr:row>16</xdr:row>
      <xdr:rowOff>360045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36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17</xdr:row>
      <xdr:rowOff>114300</xdr:rowOff>
    </xdr:from>
    <xdr:to>
      <xdr:col>1</xdr:col>
      <xdr:colOff>394970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114300</xdr:rowOff>
    </xdr:from>
    <xdr:to>
      <xdr:col>2</xdr:col>
      <xdr:colOff>394970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17</xdr:row>
      <xdr:rowOff>114300</xdr:rowOff>
    </xdr:from>
    <xdr:to>
      <xdr:col>3</xdr:col>
      <xdr:colOff>394970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17</xdr:row>
      <xdr:rowOff>114300</xdr:rowOff>
    </xdr:from>
    <xdr:to>
      <xdr:col>4</xdr:col>
      <xdr:colOff>394970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17</xdr:row>
      <xdr:rowOff>114300</xdr:rowOff>
    </xdr:from>
    <xdr:to>
      <xdr:col>5</xdr:col>
      <xdr:colOff>394418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17</xdr:row>
      <xdr:rowOff>114300</xdr:rowOff>
    </xdr:from>
    <xdr:to>
      <xdr:col>6</xdr:col>
      <xdr:colOff>394418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17</xdr:row>
      <xdr:rowOff>85725</xdr:rowOff>
    </xdr:from>
    <xdr:to>
      <xdr:col>7</xdr:col>
      <xdr:colOff>385445</xdr:colOff>
      <xdr:row>17</xdr:row>
      <xdr:rowOff>360045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782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18</xdr:row>
      <xdr:rowOff>114300</xdr:rowOff>
    </xdr:from>
    <xdr:to>
      <xdr:col>1</xdr:col>
      <xdr:colOff>394970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18</xdr:row>
      <xdr:rowOff>114300</xdr:rowOff>
    </xdr:from>
    <xdr:to>
      <xdr:col>2</xdr:col>
      <xdr:colOff>394970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18</xdr:row>
      <xdr:rowOff>114300</xdr:rowOff>
    </xdr:from>
    <xdr:to>
      <xdr:col>3</xdr:col>
      <xdr:colOff>394970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18</xdr:row>
      <xdr:rowOff>114300</xdr:rowOff>
    </xdr:from>
    <xdr:to>
      <xdr:col>4</xdr:col>
      <xdr:colOff>394970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18</xdr:row>
      <xdr:rowOff>114300</xdr:rowOff>
    </xdr:from>
    <xdr:to>
      <xdr:col>5</xdr:col>
      <xdr:colOff>394970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18</xdr:row>
      <xdr:rowOff>114300</xdr:rowOff>
    </xdr:from>
    <xdr:to>
      <xdr:col>6</xdr:col>
      <xdr:colOff>394418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18</xdr:row>
      <xdr:rowOff>85725</xdr:rowOff>
    </xdr:from>
    <xdr:to>
      <xdr:col>7</xdr:col>
      <xdr:colOff>384893</xdr:colOff>
      <xdr:row>18</xdr:row>
      <xdr:rowOff>360045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277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394970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394970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394970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394418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19</xdr:row>
      <xdr:rowOff>85725</xdr:rowOff>
    </xdr:from>
    <xdr:to>
      <xdr:col>7</xdr:col>
      <xdr:colOff>384893</xdr:colOff>
      <xdr:row>19</xdr:row>
      <xdr:rowOff>360045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8734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394970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20</xdr:row>
      <xdr:rowOff>114300</xdr:rowOff>
    </xdr:from>
    <xdr:to>
      <xdr:col>5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20</xdr:row>
      <xdr:rowOff>114300</xdr:rowOff>
    </xdr:from>
    <xdr:to>
      <xdr:col>6</xdr:col>
      <xdr:colOff>394970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16</xdr:row>
      <xdr:rowOff>114300</xdr:rowOff>
    </xdr:from>
    <xdr:to>
      <xdr:col>15</xdr:col>
      <xdr:colOff>404495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104775</xdr:rowOff>
    </xdr:from>
    <xdr:to>
      <xdr:col>9</xdr:col>
      <xdr:colOff>394970</xdr:colOff>
      <xdr:row>17</xdr:row>
      <xdr:rowOff>379095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104775</xdr:rowOff>
    </xdr:from>
    <xdr:to>
      <xdr:col>10</xdr:col>
      <xdr:colOff>394970</xdr:colOff>
      <xdr:row>17</xdr:row>
      <xdr:rowOff>379095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104775</xdr:rowOff>
    </xdr:from>
    <xdr:to>
      <xdr:col>11</xdr:col>
      <xdr:colOff>394970</xdr:colOff>
      <xdr:row>17</xdr:row>
      <xdr:rowOff>379095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104775</xdr:rowOff>
    </xdr:from>
    <xdr:to>
      <xdr:col>12</xdr:col>
      <xdr:colOff>394970</xdr:colOff>
      <xdr:row>17</xdr:row>
      <xdr:rowOff>379095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104775</xdr:rowOff>
    </xdr:from>
    <xdr:to>
      <xdr:col>13</xdr:col>
      <xdr:colOff>394970</xdr:colOff>
      <xdr:row>17</xdr:row>
      <xdr:rowOff>379095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104775</xdr:rowOff>
    </xdr:from>
    <xdr:to>
      <xdr:col>14</xdr:col>
      <xdr:colOff>394970</xdr:colOff>
      <xdr:row>17</xdr:row>
      <xdr:rowOff>379095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17</xdr:row>
      <xdr:rowOff>114300</xdr:rowOff>
    </xdr:from>
    <xdr:to>
      <xdr:col>15</xdr:col>
      <xdr:colOff>403943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104775</xdr:rowOff>
    </xdr:from>
    <xdr:to>
      <xdr:col>9</xdr:col>
      <xdr:colOff>394418</xdr:colOff>
      <xdr:row>18</xdr:row>
      <xdr:rowOff>379095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296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104775</xdr:rowOff>
    </xdr:from>
    <xdr:to>
      <xdr:col>10</xdr:col>
      <xdr:colOff>394970</xdr:colOff>
      <xdr:row>18</xdr:row>
      <xdr:rowOff>379095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104775</xdr:rowOff>
    </xdr:from>
    <xdr:to>
      <xdr:col>11</xdr:col>
      <xdr:colOff>394970</xdr:colOff>
      <xdr:row>18</xdr:row>
      <xdr:rowOff>379095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104775</xdr:rowOff>
    </xdr:from>
    <xdr:to>
      <xdr:col>12</xdr:col>
      <xdr:colOff>394970</xdr:colOff>
      <xdr:row>18</xdr:row>
      <xdr:rowOff>379095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104775</xdr:rowOff>
    </xdr:from>
    <xdr:to>
      <xdr:col>13</xdr:col>
      <xdr:colOff>394970</xdr:colOff>
      <xdr:row>18</xdr:row>
      <xdr:rowOff>379095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104775</xdr:rowOff>
    </xdr:from>
    <xdr:to>
      <xdr:col>14</xdr:col>
      <xdr:colOff>394970</xdr:colOff>
      <xdr:row>18</xdr:row>
      <xdr:rowOff>379095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18</xdr:row>
      <xdr:rowOff>114300</xdr:rowOff>
    </xdr:from>
    <xdr:to>
      <xdr:col>15</xdr:col>
      <xdr:colOff>403943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104775</xdr:rowOff>
    </xdr:from>
    <xdr:to>
      <xdr:col>9</xdr:col>
      <xdr:colOff>394418</xdr:colOff>
      <xdr:row>19</xdr:row>
      <xdr:rowOff>379095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53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104775</xdr:rowOff>
    </xdr:from>
    <xdr:to>
      <xdr:col>10</xdr:col>
      <xdr:colOff>394970</xdr:colOff>
      <xdr:row>19</xdr:row>
      <xdr:rowOff>379095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104775</xdr:rowOff>
    </xdr:from>
    <xdr:to>
      <xdr:col>11</xdr:col>
      <xdr:colOff>394970</xdr:colOff>
      <xdr:row>19</xdr:row>
      <xdr:rowOff>379095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104775</xdr:rowOff>
    </xdr:from>
    <xdr:to>
      <xdr:col>12</xdr:col>
      <xdr:colOff>394970</xdr:colOff>
      <xdr:row>19</xdr:row>
      <xdr:rowOff>379095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104775</xdr:rowOff>
    </xdr:from>
    <xdr:to>
      <xdr:col>13</xdr:col>
      <xdr:colOff>394970</xdr:colOff>
      <xdr:row>19</xdr:row>
      <xdr:rowOff>379095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104775</xdr:rowOff>
    </xdr:from>
    <xdr:to>
      <xdr:col>14</xdr:col>
      <xdr:colOff>394970</xdr:colOff>
      <xdr:row>19</xdr:row>
      <xdr:rowOff>379095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19</xdr:row>
      <xdr:rowOff>114300</xdr:rowOff>
    </xdr:from>
    <xdr:to>
      <xdr:col>15</xdr:col>
      <xdr:colOff>403943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104775</xdr:rowOff>
    </xdr:from>
    <xdr:to>
      <xdr:col>9</xdr:col>
      <xdr:colOff>394418</xdr:colOff>
      <xdr:row>20</xdr:row>
      <xdr:rowOff>379095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10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104775</xdr:rowOff>
    </xdr:from>
    <xdr:to>
      <xdr:col>10</xdr:col>
      <xdr:colOff>394970</xdr:colOff>
      <xdr:row>20</xdr:row>
      <xdr:rowOff>379095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104775</xdr:rowOff>
    </xdr:from>
    <xdr:to>
      <xdr:col>11</xdr:col>
      <xdr:colOff>394970</xdr:colOff>
      <xdr:row>20</xdr:row>
      <xdr:rowOff>379095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20</xdr:row>
      <xdr:rowOff>104775</xdr:rowOff>
    </xdr:from>
    <xdr:to>
      <xdr:col>12</xdr:col>
      <xdr:colOff>394970</xdr:colOff>
      <xdr:row>20</xdr:row>
      <xdr:rowOff>379095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20</xdr:row>
      <xdr:rowOff>104775</xdr:rowOff>
    </xdr:from>
    <xdr:to>
      <xdr:col>13</xdr:col>
      <xdr:colOff>394970</xdr:colOff>
      <xdr:row>20</xdr:row>
      <xdr:rowOff>379095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20</xdr:row>
      <xdr:rowOff>104775</xdr:rowOff>
    </xdr:from>
    <xdr:to>
      <xdr:col>14</xdr:col>
      <xdr:colOff>394970</xdr:colOff>
      <xdr:row>20</xdr:row>
      <xdr:rowOff>379095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9210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20</xdr:row>
      <xdr:rowOff>114300</xdr:rowOff>
    </xdr:from>
    <xdr:to>
      <xdr:col>15</xdr:col>
      <xdr:colOff>404495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21</xdr:row>
      <xdr:rowOff>104775</xdr:rowOff>
    </xdr:from>
    <xdr:to>
      <xdr:col>9</xdr:col>
      <xdr:colOff>394970</xdr:colOff>
      <xdr:row>21</xdr:row>
      <xdr:rowOff>379095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667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21</xdr:row>
      <xdr:rowOff>104775</xdr:rowOff>
    </xdr:from>
    <xdr:to>
      <xdr:col>10</xdr:col>
      <xdr:colOff>394970</xdr:colOff>
      <xdr:row>21</xdr:row>
      <xdr:rowOff>379095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667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16</xdr:row>
      <xdr:rowOff>114300</xdr:rowOff>
    </xdr:from>
    <xdr:to>
      <xdr:col>19</xdr:col>
      <xdr:colOff>394970</xdr:colOff>
      <xdr:row>16</xdr:row>
      <xdr:rowOff>379095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3914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16</xdr:row>
      <xdr:rowOff>114300</xdr:rowOff>
    </xdr:from>
    <xdr:to>
      <xdr:col>20</xdr:col>
      <xdr:colOff>394970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16</xdr:row>
      <xdr:rowOff>114300</xdr:rowOff>
    </xdr:from>
    <xdr:to>
      <xdr:col>21</xdr:col>
      <xdr:colOff>394970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16</xdr:row>
      <xdr:rowOff>114300</xdr:rowOff>
    </xdr:from>
    <xdr:to>
      <xdr:col>22</xdr:col>
      <xdr:colOff>394970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142875</xdr:rowOff>
    </xdr:from>
    <xdr:to>
      <xdr:col>23</xdr:col>
      <xdr:colOff>394970</xdr:colOff>
      <xdr:row>16</xdr:row>
      <xdr:rowOff>417195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41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17</xdr:row>
      <xdr:rowOff>114300</xdr:rowOff>
    </xdr:from>
    <xdr:to>
      <xdr:col>17</xdr:col>
      <xdr:colOff>394970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17</xdr:row>
      <xdr:rowOff>114300</xdr:rowOff>
    </xdr:from>
    <xdr:to>
      <xdr:col>18</xdr:col>
      <xdr:colOff>394418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17</xdr:row>
      <xdr:rowOff>114300</xdr:rowOff>
    </xdr:from>
    <xdr:to>
      <xdr:col>19</xdr:col>
      <xdr:colOff>394418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17</xdr:row>
      <xdr:rowOff>114300</xdr:rowOff>
    </xdr:from>
    <xdr:to>
      <xdr:col>20</xdr:col>
      <xdr:colOff>394970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17</xdr:row>
      <xdr:rowOff>114300</xdr:rowOff>
    </xdr:from>
    <xdr:to>
      <xdr:col>21</xdr:col>
      <xdr:colOff>394970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17</xdr:row>
      <xdr:rowOff>114300</xdr:rowOff>
    </xdr:from>
    <xdr:to>
      <xdr:col>22</xdr:col>
      <xdr:colOff>394970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142875</xdr:rowOff>
    </xdr:from>
    <xdr:to>
      <xdr:col>23</xdr:col>
      <xdr:colOff>394970</xdr:colOff>
      <xdr:row>17</xdr:row>
      <xdr:rowOff>417195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77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114300</xdr:rowOff>
    </xdr:from>
    <xdr:to>
      <xdr:col>17</xdr:col>
      <xdr:colOff>394970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114300</xdr:rowOff>
    </xdr:from>
    <xdr:to>
      <xdr:col>18</xdr:col>
      <xdr:colOff>394418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114300</xdr:rowOff>
    </xdr:from>
    <xdr:to>
      <xdr:col>19</xdr:col>
      <xdr:colOff>394418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114300</xdr:rowOff>
    </xdr:from>
    <xdr:to>
      <xdr:col>20</xdr:col>
      <xdr:colOff>394970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114300</xdr:rowOff>
    </xdr:from>
    <xdr:to>
      <xdr:col>21</xdr:col>
      <xdr:colOff>394970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114300</xdr:rowOff>
    </xdr:from>
    <xdr:to>
      <xdr:col>22</xdr:col>
      <xdr:colOff>394970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142875</xdr:rowOff>
    </xdr:from>
    <xdr:to>
      <xdr:col>23</xdr:col>
      <xdr:colOff>394970</xdr:colOff>
      <xdr:row>18</xdr:row>
      <xdr:rowOff>417195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3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114300</xdr:rowOff>
    </xdr:from>
    <xdr:to>
      <xdr:col>17</xdr:col>
      <xdr:colOff>394418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114300</xdr:rowOff>
    </xdr:from>
    <xdr:to>
      <xdr:col>18</xdr:col>
      <xdr:colOff>394418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114300</xdr:rowOff>
    </xdr:from>
    <xdr:to>
      <xdr:col>19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114300</xdr:rowOff>
    </xdr:from>
    <xdr:to>
      <xdr:col>20</xdr:col>
      <xdr:colOff>394970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114300</xdr:rowOff>
    </xdr:from>
    <xdr:to>
      <xdr:col>21</xdr:col>
      <xdr:colOff>394970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114300</xdr:rowOff>
    </xdr:from>
    <xdr:to>
      <xdr:col>22</xdr:col>
      <xdr:colOff>394970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142875</xdr:rowOff>
    </xdr:from>
    <xdr:to>
      <xdr:col>23</xdr:col>
      <xdr:colOff>394970</xdr:colOff>
      <xdr:row>19</xdr:row>
      <xdr:rowOff>417195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9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114300</xdr:rowOff>
    </xdr:from>
    <xdr:to>
      <xdr:col>17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114300</xdr:rowOff>
    </xdr:from>
    <xdr:to>
      <xdr:col>18</xdr:col>
      <xdr:colOff>394970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114300</xdr:rowOff>
    </xdr:from>
    <xdr:to>
      <xdr:col>19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114300</xdr:rowOff>
    </xdr:from>
    <xdr:to>
      <xdr:col>20</xdr:col>
      <xdr:colOff>394970</xdr:colOff>
      <xdr:row>20</xdr:row>
      <xdr:rowOff>379095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25</xdr:row>
      <xdr:rowOff>114300</xdr:rowOff>
    </xdr:from>
    <xdr:to>
      <xdr:col>5</xdr:col>
      <xdr:colOff>385445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25</xdr:row>
      <xdr:rowOff>114300</xdr:rowOff>
    </xdr:from>
    <xdr:to>
      <xdr:col>6</xdr:col>
      <xdr:colOff>385445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123825</xdr:rowOff>
    </xdr:from>
    <xdr:to>
      <xdr:col>7</xdr:col>
      <xdr:colOff>404495</xdr:colOff>
      <xdr:row>25</xdr:row>
      <xdr:rowOff>398145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58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114300</xdr:rowOff>
    </xdr:from>
    <xdr:to>
      <xdr:col>1</xdr:col>
      <xdr:colOff>385445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114300</xdr:rowOff>
    </xdr:from>
    <xdr:to>
      <xdr:col>2</xdr:col>
      <xdr:colOff>385445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26</xdr:row>
      <xdr:rowOff>114300</xdr:rowOff>
    </xdr:from>
    <xdr:to>
      <xdr:col>3</xdr:col>
      <xdr:colOff>384893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114300</xdr:rowOff>
    </xdr:from>
    <xdr:to>
      <xdr:col>4</xdr:col>
      <xdr:colOff>384893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26</xdr:row>
      <xdr:rowOff>114300</xdr:rowOff>
    </xdr:from>
    <xdr:to>
      <xdr:col>5</xdr:col>
      <xdr:colOff>385445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26</xdr:row>
      <xdr:rowOff>114300</xdr:rowOff>
    </xdr:from>
    <xdr:to>
      <xdr:col>6</xdr:col>
      <xdr:colOff>385445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123825</xdr:rowOff>
    </xdr:from>
    <xdr:to>
      <xdr:col>7</xdr:col>
      <xdr:colOff>404495</xdr:colOff>
      <xdr:row>26</xdr:row>
      <xdr:rowOff>398145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157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27</xdr:row>
      <xdr:rowOff>114300</xdr:rowOff>
    </xdr:from>
    <xdr:to>
      <xdr:col>1</xdr:col>
      <xdr:colOff>385445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27</xdr:row>
      <xdr:rowOff>114300</xdr:rowOff>
    </xdr:from>
    <xdr:to>
      <xdr:col>2</xdr:col>
      <xdr:colOff>385445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27</xdr:row>
      <xdr:rowOff>114300</xdr:rowOff>
    </xdr:from>
    <xdr:to>
      <xdr:col>3</xdr:col>
      <xdr:colOff>384893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27</xdr:row>
      <xdr:rowOff>114300</xdr:rowOff>
    </xdr:from>
    <xdr:to>
      <xdr:col>4</xdr:col>
      <xdr:colOff>384893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27</xdr:row>
      <xdr:rowOff>114300</xdr:rowOff>
    </xdr:from>
    <xdr:to>
      <xdr:col>5</xdr:col>
      <xdr:colOff>385445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27</xdr:row>
      <xdr:rowOff>114300</xdr:rowOff>
    </xdr:from>
    <xdr:to>
      <xdr:col>6</xdr:col>
      <xdr:colOff>385445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123825</xdr:rowOff>
    </xdr:from>
    <xdr:to>
      <xdr:col>7</xdr:col>
      <xdr:colOff>404495</xdr:colOff>
      <xdr:row>27</xdr:row>
      <xdr:rowOff>398145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729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28</xdr:row>
      <xdr:rowOff>114300</xdr:rowOff>
    </xdr:from>
    <xdr:to>
      <xdr:col>1</xdr:col>
      <xdr:colOff>385445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28</xdr:row>
      <xdr:rowOff>114300</xdr:rowOff>
    </xdr:from>
    <xdr:to>
      <xdr:col>2</xdr:col>
      <xdr:colOff>385445</xdr:colOff>
      <xdr:row>28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28</xdr:row>
      <xdr:rowOff>114300</xdr:rowOff>
    </xdr:from>
    <xdr:to>
      <xdr:col>3</xdr:col>
      <xdr:colOff>384893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28</xdr:row>
      <xdr:rowOff>114300</xdr:rowOff>
    </xdr:from>
    <xdr:to>
      <xdr:col>4</xdr:col>
      <xdr:colOff>384893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28</xdr:row>
      <xdr:rowOff>114300</xdr:rowOff>
    </xdr:from>
    <xdr:to>
      <xdr:col>5</xdr:col>
      <xdr:colOff>385445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28</xdr:row>
      <xdr:rowOff>114300</xdr:rowOff>
    </xdr:from>
    <xdr:to>
      <xdr:col>6</xdr:col>
      <xdr:colOff>385445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123825</xdr:rowOff>
    </xdr:from>
    <xdr:to>
      <xdr:col>7</xdr:col>
      <xdr:colOff>404495</xdr:colOff>
      <xdr:row>28</xdr:row>
      <xdr:rowOff>398145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301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29</xdr:row>
      <xdr:rowOff>114300</xdr:rowOff>
    </xdr:from>
    <xdr:to>
      <xdr:col>1</xdr:col>
      <xdr:colOff>385445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</xdr:row>
      <xdr:rowOff>114300</xdr:rowOff>
    </xdr:from>
    <xdr:to>
      <xdr:col>2</xdr:col>
      <xdr:colOff>385445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29</xdr:row>
      <xdr:rowOff>114300</xdr:rowOff>
    </xdr:from>
    <xdr:to>
      <xdr:col>3</xdr:col>
      <xdr:colOff>385445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29</xdr:row>
      <xdr:rowOff>114300</xdr:rowOff>
    </xdr:from>
    <xdr:to>
      <xdr:col>4</xdr:col>
      <xdr:colOff>385445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29</xdr:row>
      <xdr:rowOff>114300</xdr:rowOff>
    </xdr:from>
    <xdr:to>
      <xdr:col>5</xdr:col>
      <xdr:colOff>385445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29</xdr:row>
      <xdr:rowOff>114300</xdr:rowOff>
    </xdr:from>
    <xdr:to>
      <xdr:col>6</xdr:col>
      <xdr:colOff>385445</xdr:colOff>
      <xdr:row>29</xdr:row>
      <xdr:rowOff>379095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29</xdr:row>
      <xdr:rowOff>123825</xdr:rowOff>
    </xdr:from>
    <xdr:to>
      <xdr:col>7</xdr:col>
      <xdr:colOff>404495</xdr:colOff>
      <xdr:row>29</xdr:row>
      <xdr:rowOff>398145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3087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25</xdr:row>
      <xdr:rowOff>114300</xdr:rowOff>
    </xdr:from>
    <xdr:to>
      <xdr:col>9</xdr:col>
      <xdr:colOff>385445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25</xdr:row>
      <xdr:rowOff>114300</xdr:rowOff>
    </xdr:from>
    <xdr:to>
      <xdr:col>10</xdr:col>
      <xdr:colOff>385445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25</xdr:row>
      <xdr:rowOff>114300</xdr:rowOff>
    </xdr:from>
    <xdr:to>
      <xdr:col>11</xdr:col>
      <xdr:colOff>385445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25</xdr:row>
      <xdr:rowOff>114300</xdr:rowOff>
    </xdr:from>
    <xdr:to>
      <xdr:col>12</xdr:col>
      <xdr:colOff>385445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25</xdr:row>
      <xdr:rowOff>114300</xdr:rowOff>
    </xdr:from>
    <xdr:to>
      <xdr:col>13</xdr:col>
      <xdr:colOff>384893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25</xdr:row>
      <xdr:rowOff>114300</xdr:rowOff>
    </xdr:from>
    <xdr:to>
      <xdr:col>14</xdr:col>
      <xdr:colOff>384893</xdr:colOff>
      <xdr:row>25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104775</xdr:rowOff>
    </xdr:from>
    <xdr:to>
      <xdr:col>15</xdr:col>
      <xdr:colOff>414020</xdr:colOff>
      <xdr:row>25</xdr:row>
      <xdr:rowOff>379095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26</xdr:row>
      <xdr:rowOff>114300</xdr:rowOff>
    </xdr:from>
    <xdr:to>
      <xdr:col>9</xdr:col>
      <xdr:colOff>385445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26</xdr:row>
      <xdr:rowOff>114300</xdr:rowOff>
    </xdr:from>
    <xdr:to>
      <xdr:col>10</xdr:col>
      <xdr:colOff>385445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26</xdr:row>
      <xdr:rowOff>114300</xdr:rowOff>
    </xdr:from>
    <xdr:to>
      <xdr:col>11</xdr:col>
      <xdr:colOff>385445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26</xdr:row>
      <xdr:rowOff>114300</xdr:rowOff>
    </xdr:from>
    <xdr:to>
      <xdr:col>12</xdr:col>
      <xdr:colOff>384893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26</xdr:row>
      <xdr:rowOff>114300</xdr:rowOff>
    </xdr:from>
    <xdr:to>
      <xdr:col>13</xdr:col>
      <xdr:colOff>384893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26</xdr:row>
      <xdr:rowOff>114300</xdr:rowOff>
    </xdr:from>
    <xdr:to>
      <xdr:col>14</xdr:col>
      <xdr:colOff>385445</xdr:colOff>
      <xdr:row>26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104775</xdr:rowOff>
    </xdr:from>
    <xdr:to>
      <xdr:col>15</xdr:col>
      <xdr:colOff>414020</xdr:colOff>
      <xdr:row>26</xdr:row>
      <xdr:rowOff>379095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27</xdr:row>
      <xdr:rowOff>114300</xdr:rowOff>
    </xdr:from>
    <xdr:to>
      <xdr:col>9</xdr:col>
      <xdr:colOff>385445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27</xdr:row>
      <xdr:rowOff>114300</xdr:rowOff>
    </xdr:from>
    <xdr:to>
      <xdr:col>10</xdr:col>
      <xdr:colOff>385445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27</xdr:row>
      <xdr:rowOff>114300</xdr:rowOff>
    </xdr:from>
    <xdr:to>
      <xdr:col>11</xdr:col>
      <xdr:colOff>385445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27</xdr:row>
      <xdr:rowOff>114300</xdr:rowOff>
    </xdr:from>
    <xdr:to>
      <xdr:col>12</xdr:col>
      <xdr:colOff>384893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27</xdr:row>
      <xdr:rowOff>114300</xdr:rowOff>
    </xdr:from>
    <xdr:to>
      <xdr:col>13</xdr:col>
      <xdr:colOff>384893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27</xdr:row>
      <xdr:rowOff>114300</xdr:rowOff>
    </xdr:from>
    <xdr:to>
      <xdr:col>14</xdr:col>
      <xdr:colOff>385445</xdr:colOff>
      <xdr:row>27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104775</xdr:rowOff>
    </xdr:from>
    <xdr:to>
      <xdr:col>15</xdr:col>
      <xdr:colOff>414020</xdr:colOff>
      <xdr:row>27</xdr:row>
      <xdr:rowOff>379095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28</xdr:row>
      <xdr:rowOff>114300</xdr:rowOff>
    </xdr:from>
    <xdr:to>
      <xdr:col>9</xdr:col>
      <xdr:colOff>385445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28</xdr:row>
      <xdr:rowOff>114300</xdr:rowOff>
    </xdr:from>
    <xdr:to>
      <xdr:col>10</xdr:col>
      <xdr:colOff>385445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28</xdr:row>
      <xdr:rowOff>114300</xdr:rowOff>
    </xdr:from>
    <xdr:to>
      <xdr:col>11</xdr:col>
      <xdr:colOff>385445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28</xdr:row>
      <xdr:rowOff>114300</xdr:rowOff>
    </xdr:from>
    <xdr:to>
      <xdr:col>12</xdr:col>
      <xdr:colOff>385445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28</xdr:row>
      <xdr:rowOff>114300</xdr:rowOff>
    </xdr:from>
    <xdr:to>
      <xdr:col>13</xdr:col>
      <xdr:colOff>385445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28</xdr:row>
      <xdr:rowOff>114300</xdr:rowOff>
    </xdr:from>
    <xdr:to>
      <xdr:col>14</xdr:col>
      <xdr:colOff>385445</xdr:colOff>
      <xdr:row>28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104775</xdr:rowOff>
    </xdr:from>
    <xdr:to>
      <xdr:col>15</xdr:col>
      <xdr:colOff>414020</xdr:colOff>
      <xdr:row>28</xdr:row>
      <xdr:rowOff>379095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29</xdr:row>
      <xdr:rowOff>114300</xdr:rowOff>
    </xdr:from>
    <xdr:to>
      <xdr:col>9</xdr:col>
      <xdr:colOff>385445</xdr:colOff>
      <xdr:row>29</xdr:row>
      <xdr:rowOff>379095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29</xdr:row>
      <xdr:rowOff>114300</xdr:rowOff>
    </xdr:from>
    <xdr:to>
      <xdr:col>10</xdr:col>
      <xdr:colOff>385445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29</xdr:row>
      <xdr:rowOff>114300</xdr:rowOff>
    </xdr:from>
    <xdr:to>
      <xdr:col>11</xdr:col>
      <xdr:colOff>385445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25</xdr:row>
      <xdr:rowOff>114300</xdr:rowOff>
    </xdr:from>
    <xdr:to>
      <xdr:col>20</xdr:col>
      <xdr:colOff>385445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25</xdr:row>
      <xdr:rowOff>114300</xdr:rowOff>
    </xdr:from>
    <xdr:to>
      <xdr:col>21</xdr:col>
      <xdr:colOff>385445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25</xdr:row>
      <xdr:rowOff>114300</xdr:rowOff>
    </xdr:from>
    <xdr:to>
      <xdr:col>22</xdr:col>
      <xdr:colOff>384893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403943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26</xdr:row>
      <xdr:rowOff>114300</xdr:rowOff>
    </xdr:from>
    <xdr:to>
      <xdr:col>17</xdr:col>
      <xdr:colOff>385445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26</xdr:row>
      <xdr:rowOff>114300</xdr:rowOff>
    </xdr:from>
    <xdr:to>
      <xdr:col>18</xdr:col>
      <xdr:colOff>385445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26</xdr:row>
      <xdr:rowOff>114300</xdr:rowOff>
    </xdr:from>
    <xdr:to>
      <xdr:col>19</xdr:col>
      <xdr:colOff>385445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26</xdr:row>
      <xdr:rowOff>114300</xdr:rowOff>
    </xdr:from>
    <xdr:to>
      <xdr:col>20</xdr:col>
      <xdr:colOff>385445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26</xdr:row>
      <xdr:rowOff>114300</xdr:rowOff>
    </xdr:from>
    <xdr:to>
      <xdr:col>21</xdr:col>
      <xdr:colOff>385445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26</xdr:row>
      <xdr:rowOff>114300</xdr:rowOff>
    </xdr:from>
    <xdr:to>
      <xdr:col>22</xdr:col>
      <xdr:colOff>384893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403943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27</xdr:row>
      <xdr:rowOff>114300</xdr:rowOff>
    </xdr:from>
    <xdr:to>
      <xdr:col>17</xdr:col>
      <xdr:colOff>385445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27</xdr:row>
      <xdr:rowOff>114300</xdr:rowOff>
    </xdr:from>
    <xdr:to>
      <xdr:col>18</xdr:col>
      <xdr:colOff>385445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27</xdr:row>
      <xdr:rowOff>114300</xdr:rowOff>
    </xdr:from>
    <xdr:to>
      <xdr:col>19</xdr:col>
      <xdr:colOff>385445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27</xdr:row>
      <xdr:rowOff>114300</xdr:rowOff>
    </xdr:from>
    <xdr:to>
      <xdr:col>20</xdr:col>
      <xdr:colOff>385445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27</xdr:row>
      <xdr:rowOff>114300</xdr:rowOff>
    </xdr:from>
    <xdr:to>
      <xdr:col>21</xdr:col>
      <xdr:colOff>385445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27</xdr:row>
      <xdr:rowOff>114300</xdr:rowOff>
    </xdr:from>
    <xdr:to>
      <xdr:col>22</xdr:col>
      <xdr:colOff>384893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403943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28</xdr:row>
      <xdr:rowOff>114300</xdr:rowOff>
    </xdr:from>
    <xdr:to>
      <xdr:col>17</xdr:col>
      <xdr:colOff>385445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28</xdr:row>
      <xdr:rowOff>114300</xdr:rowOff>
    </xdr:from>
    <xdr:to>
      <xdr:col>18</xdr:col>
      <xdr:colOff>385445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28</xdr:row>
      <xdr:rowOff>114300</xdr:rowOff>
    </xdr:from>
    <xdr:to>
      <xdr:col>19</xdr:col>
      <xdr:colOff>385445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28</xdr:row>
      <xdr:rowOff>114300</xdr:rowOff>
    </xdr:from>
    <xdr:to>
      <xdr:col>20</xdr:col>
      <xdr:colOff>385445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28</xdr:row>
      <xdr:rowOff>114300</xdr:rowOff>
    </xdr:from>
    <xdr:to>
      <xdr:col>21</xdr:col>
      <xdr:colOff>385445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28</xdr:row>
      <xdr:rowOff>114300</xdr:rowOff>
    </xdr:from>
    <xdr:to>
      <xdr:col>22</xdr:col>
      <xdr:colOff>385445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29</xdr:row>
      <xdr:rowOff>114300</xdr:rowOff>
    </xdr:from>
    <xdr:to>
      <xdr:col>17</xdr:col>
      <xdr:colOff>385445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29</xdr:row>
      <xdr:rowOff>114300</xdr:rowOff>
    </xdr:from>
    <xdr:to>
      <xdr:col>18</xdr:col>
      <xdr:colOff>385445</xdr:colOff>
      <xdr:row>29</xdr:row>
      <xdr:rowOff>379095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30778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29</xdr:row>
      <xdr:rowOff>114300</xdr:rowOff>
    </xdr:from>
    <xdr:to>
      <xdr:col>19</xdr:col>
      <xdr:colOff>385445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29</xdr:row>
      <xdr:rowOff>114300</xdr:rowOff>
    </xdr:from>
    <xdr:to>
      <xdr:col>20</xdr:col>
      <xdr:colOff>385445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29</xdr:row>
      <xdr:rowOff>114300</xdr:rowOff>
    </xdr:from>
    <xdr:to>
      <xdr:col>21</xdr:col>
      <xdr:colOff>385445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34</xdr:row>
      <xdr:rowOff>114300</xdr:rowOff>
    </xdr:from>
    <xdr:to>
      <xdr:col>6</xdr:col>
      <xdr:colOff>404495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114300</xdr:rowOff>
    </xdr:from>
    <xdr:to>
      <xdr:col>7</xdr:col>
      <xdr:colOff>394418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35</xdr:row>
      <xdr:rowOff>114300</xdr:rowOff>
    </xdr:from>
    <xdr:to>
      <xdr:col>1</xdr:col>
      <xdr:colOff>403943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35</xdr:row>
      <xdr:rowOff>114300</xdr:rowOff>
    </xdr:from>
    <xdr:to>
      <xdr:col>2</xdr:col>
      <xdr:colOff>404495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35</xdr:row>
      <xdr:rowOff>114300</xdr:rowOff>
    </xdr:from>
    <xdr:to>
      <xdr:col>3</xdr:col>
      <xdr:colOff>404495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35</xdr:row>
      <xdr:rowOff>114300</xdr:rowOff>
    </xdr:from>
    <xdr:to>
      <xdr:col>4</xdr:col>
      <xdr:colOff>404495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35</xdr:row>
      <xdr:rowOff>114300</xdr:rowOff>
    </xdr:from>
    <xdr:to>
      <xdr:col>5</xdr:col>
      <xdr:colOff>404495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35</xdr:row>
      <xdr:rowOff>114300</xdr:rowOff>
    </xdr:from>
    <xdr:to>
      <xdr:col>6</xdr:col>
      <xdr:colOff>404495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114300</xdr:rowOff>
    </xdr:from>
    <xdr:to>
      <xdr:col>7</xdr:col>
      <xdr:colOff>394418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36</xdr:row>
      <xdr:rowOff>114300</xdr:rowOff>
    </xdr:from>
    <xdr:to>
      <xdr:col>1</xdr:col>
      <xdr:colOff>403943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36</xdr:row>
      <xdr:rowOff>114300</xdr:rowOff>
    </xdr:from>
    <xdr:to>
      <xdr:col>2</xdr:col>
      <xdr:colOff>404495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36</xdr:row>
      <xdr:rowOff>114300</xdr:rowOff>
    </xdr:from>
    <xdr:to>
      <xdr:col>3</xdr:col>
      <xdr:colOff>404495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36</xdr:row>
      <xdr:rowOff>114300</xdr:rowOff>
    </xdr:from>
    <xdr:to>
      <xdr:col>4</xdr:col>
      <xdr:colOff>404495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36</xdr:row>
      <xdr:rowOff>114300</xdr:rowOff>
    </xdr:from>
    <xdr:to>
      <xdr:col>5</xdr:col>
      <xdr:colOff>404495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36</xdr:row>
      <xdr:rowOff>114300</xdr:rowOff>
    </xdr:from>
    <xdr:to>
      <xdr:col>6</xdr:col>
      <xdr:colOff>404495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114300</xdr:rowOff>
    </xdr:from>
    <xdr:to>
      <xdr:col>7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37</xdr:row>
      <xdr:rowOff>114300</xdr:rowOff>
    </xdr:from>
    <xdr:to>
      <xdr:col>1</xdr:col>
      <xdr:colOff>403943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37</xdr:row>
      <xdr:rowOff>114300</xdr:rowOff>
    </xdr:from>
    <xdr:to>
      <xdr:col>2</xdr:col>
      <xdr:colOff>403943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37</xdr:row>
      <xdr:rowOff>114300</xdr:rowOff>
    </xdr:from>
    <xdr:to>
      <xdr:col>3</xdr:col>
      <xdr:colOff>404495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37</xdr:row>
      <xdr:rowOff>114300</xdr:rowOff>
    </xdr:from>
    <xdr:to>
      <xdr:col>4</xdr:col>
      <xdr:colOff>404495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37</xdr:row>
      <xdr:rowOff>114300</xdr:rowOff>
    </xdr:from>
    <xdr:to>
      <xdr:col>5</xdr:col>
      <xdr:colOff>404495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37</xdr:row>
      <xdr:rowOff>114300</xdr:rowOff>
    </xdr:from>
    <xdr:to>
      <xdr:col>6</xdr:col>
      <xdr:colOff>404495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114300</xdr:rowOff>
    </xdr:from>
    <xdr:to>
      <xdr:col>7</xdr:col>
      <xdr:colOff>394970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38</xdr:row>
      <xdr:rowOff>114300</xdr:rowOff>
    </xdr:from>
    <xdr:to>
      <xdr:col>1</xdr:col>
      <xdr:colOff>404495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38</xdr:row>
      <xdr:rowOff>114300</xdr:rowOff>
    </xdr:from>
    <xdr:to>
      <xdr:col>2</xdr:col>
      <xdr:colOff>404495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38</xdr:row>
      <xdr:rowOff>114300</xdr:rowOff>
    </xdr:from>
    <xdr:to>
      <xdr:col>3</xdr:col>
      <xdr:colOff>404495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38</xdr:row>
      <xdr:rowOff>114300</xdr:rowOff>
    </xdr:from>
    <xdr:to>
      <xdr:col>4</xdr:col>
      <xdr:colOff>404495</xdr:colOff>
      <xdr:row>38</xdr:row>
      <xdr:rowOff>379095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6935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38</xdr:row>
      <xdr:rowOff>114300</xdr:rowOff>
    </xdr:from>
    <xdr:to>
      <xdr:col>5</xdr:col>
      <xdr:colOff>404495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38</xdr:row>
      <xdr:rowOff>114300</xdr:rowOff>
    </xdr:from>
    <xdr:to>
      <xdr:col>6</xdr:col>
      <xdr:colOff>404495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114300</xdr:rowOff>
    </xdr:from>
    <xdr:to>
      <xdr:col>7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39</xdr:row>
      <xdr:rowOff>114300</xdr:rowOff>
    </xdr:from>
    <xdr:to>
      <xdr:col>1</xdr:col>
      <xdr:colOff>403943</xdr:colOff>
      <xdr:row>39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7392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34</xdr:row>
      <xdr:rowOff>114300</xdr:rowOff>
    </xdr:from>
    <xdr:to>
      <xdr:col>10</xdr:col>
      <xdr:colOff>384893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34</xdr:row>
      <xdr:rowOff>114300</xdr:rowOff>
    </xdr:from>
    <xdr:to>
      <xdr:col>11</xdr:col>
      <xdr:colOff>385445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34</xdr:row>
      <xdr:rowOff>114300</xdr:rowOff>
    </xdr:from>
    <xdr:to>
      <xdr:col>12</xdr:col>
      <xdr:colOff>385445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385445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385445</xdr:colOff>
      <xdr:row>34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123825</xdr:rowOff>
    </xdr:from>
    <xdr:to>
      <xdr:col>15</xdr:col>
      <xdr:colOff>394970</xdr:colOff>
      <xdr:row>34</xdr:row>
      <xdr:rowOff>398145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384893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384893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385445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385445</xdr:colOff>
      <xdr:row>35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123825</xdr:rowOff>
    </xdr:from>
    <xdr:to>
      <xdr:col>15</xdr:col>
      <xdr:colOff>394970</xdr:colOff>
      <xdr:row>35</xdr:row>
      <xdr:rowOff>398145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384893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384893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123825</xdr:rowOff>
    </xdr:from>
    <xdr:to>
      <xdr:col>15</xdr:col>
      <xdr:colOff>394970</xdr:colOff>
      <xdr:row>36</xdr:row>
      <xdr:rowOff>398145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123825</xdr:rowOff>
    </xdr:from>
    <xdr:to>
      <xdr:col>15</xdr:col>
      <xdr:colOff>394970</xdr:colOff>
      <xdr:row>37</xdr:row>
      <xdr:rowOff>398145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384893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34</xdr:row>
      <xdr:rowOff>114300</xdr:rowOff>
    </xdr:from>
    <xdr:to>
      <xdr:col>20</xdr:col>
      <xdr:colOff>394418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394970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394970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114300</xdr:rowOff>
    </xdr:from>
    <xdr:to>
      <xdr:col>23</xdr:col>
      <xdr:colOff>404495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394970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394970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394418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394418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394970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394970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114300</xdr:rowOff>
    </xdr:from>
    <xdr:to>
      <xdr:col>23</xdr:col>
      <xdr:colOff>404495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394970</xdr:colOff>
      <xdr:row>36</xdr:row>
      <xdr:rowOff>388620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394418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394418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394418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114300</xdr:rowOff>
    </xdr:from>
    <xdr:to>
      <xdr:col>23</xdr:col>
      <xdr:colOff>404495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394970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394970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114300</xdr:rowOff>
    </xdr:from>
    <xdr:to>
      <xdr:col>23</xdr:col>
      <xdr:colOff>404495</xdr:colOff>
      <xdr:row>37</xdr:row>
      <xdr:rowOff>379095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394970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394418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114300</xdr:rowOff>
    </xdr:from>
    <xdr:to>
      <xdr:col>21</xdr:col>
      <xdr:colOff>394418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114300</xdr:rowOff>
    </xdr:from>
    <xdr:to>
      <xdr:col>22</xdr:col>
      <xdr:colOff>394970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35450"/>
          <a:ext cx="274320" cy="27432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7</xdr:row>
      <xdr:rowOff>114300</xdr:rowOff>
    </xdr:from>
    <xdr:to>
      <xdr:col>7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104775</xdr:rowOff>
    </xdr:from>
    <xdr:to>
      <xdr:col>1</xdr:col>
      <xdr:colOff>385445</xdr:colOff>
      <xdr:row>8</xdr:row>
      <xdr:rowOff>379095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104775</xdr:rowOff>
    </xdr:from>
    <xdr:to>
      <xdr:col>2</xdr:col>
      <xdr:colOff>385445</xdr:colOff>
      <xdr:row>8</xdr:row>
      <xdr:rowOff>379095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104775</xdr:rowOff>
    </xdr:from>
    <xdr:to>
      <xdr:col>3</xdr:col>
      <xdr:colOff>385445</xdr:colOff>
      <xdr:row>8</xdr:row>
      <xdr:rowOff>379095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104775</xdr:rowOff>
    </xdr:from>
    <xdr:to>
      <xdr:col>4</xdr:col>
      <xdr:colOff>385445</xdr:colOff>
      <xdr:row>8</xdr:row>
      <xdr:rowOff>379095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104775</xdr:rowOff>
    </xdr:from>
    <xdr:to>
      <xdr:col>5</xdr:col>
      <xdr:colOff>384893</xdr:colOff>
      <xdr:row>8</xdr:row>
      <xdr:rowOff>379095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104775</xdr:rowOff>
    </xdr:from>
    <xdr:to>
      <xdr:col>6</xdr:col>
      <xdr:colOff>384893</xdr:colOff>
      <xdr:row>8</xdr:row>
      <xdr:rowOff>379095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81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8</xdr:row>
      <xdr:rowOff>114300</xdr:rowOff>
    </xdr:from>
    <xdr:to>
      <xdr:col>7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104775</xdr:rowOff>
    </xdr:from>
    <xdr:to>
      <xdr:col>1</xdr:col>
      <xdr:colOff>385445</xdr:colOff>
      <xdr:row>9</xdr:row>
      <xdr:rowOff>379095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104775</xdr:rowOff>
    </xdr:from>
    <xdr:to>
      <xdr:col>2</xdr:col>
      <xdr:colOff>385445</xdr:colOff>
      <xdr:row>9</xdr:row>
      <xdr:rowOff>379095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104775</xdr:rowOff>
    </xdr:from>
    <xdr:to>
      <xdr:col>3</xdr:col>
      <xdr:colOff>385445</xdr:colOff>
      <xdr:row>9</xdr:row>
      <xdr:rowOff>379095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104775</xdr:rowOff>
    </xdr:from>
    <xdr:to>
      <xdr:col>4</xdr:col>
      <xdr:colOff>385445</xdr:colOff>
      <xdr:row>9</xdr:row>
      <xdr:rowOff>379095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104775</xdr:rowOff>
    </xdr:from>
    <xdr:to>
      <xdr:col>5</xdr:col>
      <xdr:colOff>385445</xdr:colOff>
      <xdr:row>9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104775</xdr:rowOff>
    </xdr:from>
    <xdr:to>
      <xdr:col>6</xdr:col>
      <xdr:colOff>384893</xdr:colOff>
      <xdr:row>9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9</xdr:row>
      <xdr:rowOff>114300</xdr:rowOff>
    </xdr:from>
    <xdr:to>
      <xdr:col>7</xdr:col>
      <xdr:colOff>384893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104775</xdr:rowOff>
    </xdr:from>
    <xdr:to>
      <xdr:col>1</xdr:col>
      <xdr:colOff>385445</xdr:colOff>
      <xdr:row>10</xdr:row>
      <xdr:rowOff>379095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104775</xdr:rowOff>
    </xdr:from>
    <xdr:to>
      <xdr:col>2</xdr:col>
      <xdr:colOff>385445</xdr:colOff>
      <xdr:row>10</xdr:row>
      <xdr:rowOff>379095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104775</xdr:rowOff>
    </xdr:from>
    <xdr:to>
      <xdr:col>3</xdr:col>
      <xdr:colOff>385445</xdr:colOff>
      <xdr:row>10</xdr:row>
      <xdr:rowOff>379095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104775</xdr:rowOff>
    </xdr:from>
    <xdr:to>
      <xdr:col>4</xdr:col>
      <xdr:colOff>385445</xdr:colOff>
      <xdr:row>10</xdr:row>
      <xdr:rowOff>379095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104775</xdr:rowOff>
    </xdr:from>
    <xdr:to>
      <xdr:col>5</xdr:col>
      <xdr:colOff>385445</xdr:colOff>
      <xdr:row>10</xdr:row>
      <xdr:rowOff>379095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104775</xdr:rowOff>
    </xdr:from>
    <xdr:to>
      <xdr:col>6</xdr:col>
      <xdr:colOff>385445</xdr:colOff>
      <xdr:row>10</xdr:row>
      <xdr:rowOff>379095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10</xdr:row>
      <xdr:rowOff>114300</xdr:rowOff>
    </xdr:from>
    <xdr:to>
      <xdr:col>7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104775</xdr:rowOff>
    </xdr:from>
    <xdr:to>
      <xdr:col>1</xdr:col>
      <xdr:colOff>385445</xdr:colOff>
      <xdr:row>11</xdr:row>
      <xdr:rowOff>369570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53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104775</xdr:rowOff>
    </xdr:from>
    <xdr:to>
      <xdr:col>2</xdr:col>
      <xdr:colOff>385445</xdr:colOff>
      <xdr:row>11</xdr:row>
      <xdr:rowOff>379095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104775</xdr:rowOff>
    </xdr:from>
    <xdr:to>
      <xdr:col>3</xdr:col>
      <xdr:colOff>385445</xdr:colOff>
      <xdr:row>11</xdr:row>
      <xdr:rowOff>379095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11</xdr:row>
      <xdr:rowOff>104775</xdr:rowOff>
    </xdr:from>
    <xdr:to>
      <xdr:col>4</xdr:col>
      <xdr:colOff>385445</xdr:colOff>
      <xdr:row>11</xdr:row>
      <xdr:rowOff>379095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11</xdr:row>
      <xdr:rowOff>104775</xdr:rowOff>
    </xdr:from>
    <xdr:to>
      <xdr:col>5</xdr:col>
      <xdr:colOff>385445</xdr:colOff>
      <xdr:row>11</xdr:row>
      <xdr:rowOff>379095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11</xdr:row>
      <xdr:rowOff>104775</xdr:rowOff>
    </xdr:from>
    <xdr:to>
      <xdr:col>6</xdr:col>
      <xdr:colOff>384893</xdr:colOff>
      <xdr:row>11</xdr:row>
      <xdr:rowOff>379095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5353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11</xdr:row>
      <xdr:rowOff>114300</xdr:rowOff>
    </xdr:from>
    <xdr:to>
      <xdr:col>7</xdr:col>
      <xdr:colOff>384893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12</xdr:row>
      <xdr:rowOff>104775</xdr:rowOff>
    </xdr:from>
    <xdr:to>
      <xdr:col>1</xdr:col>
      <xdr:colOff>385445</xdr:colOff>
      <xdr:row>12</xdr:row>
      <xdr:rowOff>379095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810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12</xdr:row>
      <xdr:rowOff>104775</xdr:rowOff>
    </xdr:from>
    <xdr:to>
      <xdr:col>2</xdr:col>
      <xdr:colOff>385445</xdr:colOff>
      <xdr:row>12</xdr:row>
      <xdr:rowOff>379095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810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7</xdr:row>
      <xdr:rowOff>114300</xdr:rowOff>
    </xdr:from>
    <xdr:to>
      <xdr:col>11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394970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114300</xdr:rowOff>
    </xdr:from>
    <xdr:to>
      <xdr:col>15</xdr:col>
      <xdr:colOff>394418</xdr:colOff>
      <xdr:row>7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394418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114300</xdr:rowOff>
    </xdr:from>
    <xdr:to>
      <xdr:col>15</xdr:col>
      <xdr:colOff>394970</xdr:colOff>
      <xdr:row>8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394418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394418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114300</xdr:rowOff>
    </xdr:from>
    <xdr:to>
      <xdr:col>15</xdr:col>
      <xdr:colOff>394970</xdr:colOff>
      <xdr:row>9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379095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114300</xdr:rowOff>
    </xdr:from>
    <xdr:to>
      <xdr:col>15</xdr:col>
      <xdr:colOff>394970</xdr:colOff>
      <xdr:row>10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394418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394418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7</xdr:row>
      <xdr:rowOff>114300</xdr:rowOff>
    </xdr:from>
    <xdr:to>
      <xdr:col>19</xdr:col>
      <xdr:colOff>404495</xdr:colOff>
      <xdr:row>7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7</xdr:row>
      <xdr:rowOff>114300</xdr:rowOff>
    </xdr:from>
    <xdr:to>
      <xdr:col>20</xdr:col>
      <xdr:colOff>404495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7</xdr:row>
      <xdr:rowOff>114300</xdr:rowOff>
    </xdr:from>
    <xdr:to>
      <xdr:col>21</xdr:col>
      <xdr:colOff>404495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7</xdr:row>
      <xdr:rowOff>114300</xdr:rowOff>
    </xdr:from>
    <xdr:to>
      <xdr:col>22</xdr:col>
      <xdr:colOff>404495</xdr:colOff>
      <xdr:row>7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133350</xdr:rowOff>
    </xdr:from>
    <xdr:to>
      <xdr:col>23</xdr:col>
      <xdr:colOff>404495</xdr:colOff>
      <xdr:row>7</xdr:row>
      <xdr:rowOff>407670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52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8</xdr:row>
      <xdr:rowOff>114300</xdr:rowOff>
    </xdr:from>
    <xdr:to>
      <xdr:col>17</xdr:col>
      <xdr:colOff>404495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8</xdr:row>
      <xdr:rowOff>114300</xdr:rowOff>
    </xdr:from>
    <xdr:to>
      <xdr:col>18</xdr:col>
      <xdr:colOff>403943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8</xdr:row>
      <xdr:rowOff>114300</xdr:rowOff>
    </xdr:from>
    <xdr:to>
      <xdr:col>19</xdr:col>
      <xdr:colOff>403943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8</xdr:row>
      <xdr:rowOff>114300</xdr:rowOff>
    </xdr:from>
    <xdr:to>
      <xdr:col>20</xdr:col>
      <xdr:colOff>404495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8</xdr:row>
      <xdr:rowOff>114300</xdr:rowOff>
    </xdr:from>
    <xdr:to>
      <xdr:col>21</xdr:col>
      <xdr:colOff>404495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8</xdr:row>
      <xdr:rowOff>114300</xdr:rowOff>
    </xdr:from>
    <xdr:to>
      <xdr:col>22</xdr:col>
      <xdr:colOff>404495</xdr:colOff>
      <xdr:row>8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133350</xdr:rowOff>
    </xdr:from>
    <xdr:to>
      <xdr:col>23</xdr:col>
      <xdr:colOff>404495</xdr:colOff>
      <xdr:row>8</xdr:row>
      <xdr:rowOff>407670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10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9</xdr:row>
      <xdr:rowOff>114300</xdr:rowOff>
    </xdr:from>
    <xdr:to>
      <xdr:col>17</xdr:col>
      <xdr:colOff>404495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9</xdr:row>
      <xdr:rowOff>114300</xdr:rowOff>
    </xdr:from>
    <xdr:to>
      <xdr:col>18</xdr:col>
      <xdr:colOff>403943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9</xdr:row>
      <xdr:rowOff>114300</xdr:rowOff>
    </xdr:from>
    <xdr:to>
      <xdr:col>19</xdr:col>
      <xdr:colOff>403943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9</xdr:row>
      <xdr:rowOff>114300</xdr:rowOff>
    </xdr:from>
    <xdr:to>
      <xdr:col>20</xdr:col>
      <xdr:colOff>404495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9</xdr:row>
      <xdr:rowOff>114300</xdr:rowOff>
    </xdr:from>
    <xdr:to>
      <xdr:col>21</xdr:col>
      <xdr:colOff>404495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9</xdr:row>
      <xdr:rowOff>114300</xdr:rowOff>
    </xdr:from>
    <xdr:to>
      <xdr:col>22</xdr:col>
      <xdr:colOff>404495</xdr:colOff>
      <xdr:row>9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133350</xdr:rowOff>
    </xdr:from>
    <xdr:to>
      <xdr:col>23</xdr:col>
      <xdr:colOff>404495</xdr:colOff>
      <xdr:row>9</xdr:row>
      <xdr:rowOff>407670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67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10</xdr:row>
      <xdr:rowOff>114300</xdr:rowOff>
    </xdr:from>
    <xdr:to>
      <xdr:col>17</xdr:col>
      <xdr:colOff>404495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10</xdr:row>
      <xdr:rowOff>114300</xdr:rowOff>
    </xdr:from>
    <xdr:to>
      <xdr:col>18</xdr:col>
      <xdr:colOff>404495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10</xdr:row>
      <xdr:rowOff>114300</xdr:rowOff>
    </xdr:from>
    <xdr:to>
      <xdr:col>19</xdr:col>
      <xdr:colOff>404495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10</xdr:row>
      <xdr:rowOff>114300</xdr:rowOff>
    </xdr:from>
    <xdr:to>
      <xdr:col>20</xdr:col>
      <xdr:colOff>404495</xdr:colOff>
      <xdr:row>10</xdr:row>
      <xdr:rowOff>379095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49053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10</xdr:row>
      <xdr:rowOff>114300</xdr:rowOff>
    </xdr:from>
    <xdr:to>
      <xdr:col>21</xdr:col>
      <xdr:colOff>404495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10</xdr:row>
      <xdr:rowOff>114300</xdr:rowOff>
    </xdr:from>
    <xdr:to>
      <xdr:col>22</xdr:col>
      <xdr:colOff>404495</xdr:colOff>
      <xdr:row>10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133350</xdr:rowOff>
    </xdr:from>
    <xdr:to>
      <xdr:col>23</xdr:col>
      <xdr:colOff>404495</xdr:colOff>
      <xdr:row>10</xdr:row>
      <xdr:rowOff>407670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24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11</xdr:row>
      <xdr:rowOff>114300</xdr:rowOff>
    </xdr:from>
    <xdr:to>
      <xdr:col>17</xdr:col>
      <xdr:colOff>404495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11</xdr:row>
      <xdr:rowOff>114300</xdr:rowOff>
    </xdr:from>
    <xdr:to>
      <xdr:col>18</xdr:col>
      <xdr:colOff>403943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11</xdr:row>
      <xdr:rowOff>114300</xdr:rowOff>
    </xdr:from>
    <xdr:to>
      <xdr:col>19</xdr:col>
      <xdr:colOff>403943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11</xdr:row>
      <xdr:rowOff>114300</xdr:rowOff>
    </xdr:from>
    <xdr:to>
      <xdr:col>20</xdr:col>
      <xdr:colOff>404495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11</xdr:row>
      <xdr:rowOff>114300</xdr:rowOff>
    </xdr:from>
    <xdr:to>
      <xdr:col>21</xdr:col>
      <xdr:colOff>404495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375920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123825</xdr:rowOff>
    </xdr:from>
    <xdr:to>
      <xdr:col>7</xdr:col>
      <xdr:colOff>394970</xdr:colOff>
      <xdr:row>16</xdr:row>
      <xdr:rowOff>398145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400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375368</xdr:colOff>
      <xdr:row>17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375368</xdr:colOff>
      <xdr:row>17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123825</xdr:rowOff>
    </xdr:from>
    <xdr:to>
      <xdr:col>7</xdr:col>
      <xdr:colOff>394970</xdr:colOff>
      <xdr:row>17</xdr:row>
      <xdr:rowOff>398145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58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375920</xdr:colOff>
      <xdr:row>18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375368</xdr:colOff>
      <xdr:row>18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375368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123825</xdr:rowOff>
    </xdr:from>
    <xdr:to>
      <xdr:col>7</xdr:col>
      <xdr:colOff>394970</xdr:colOff>
      <xdr:row>18</xdr:row>
      <xdr:rowOff>398145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114300</xdr:rowOff>
    </xdr:from>
    <xdr:to>
      <xdr:col>1</xdr:col>
      <xdr:colOff>394970</xdr:colOff>
      <xdr:row>19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114300</xdr:rowOff>
    </xdr:from>
    <xdr:to>
      <xdr:col>2</xdr:col>
      <xdr:colOff>394970</xdr:colOff>
      <xdr:row>19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19</xdr:row>
      <xdr:rowOff>114300</xdr:rowOff>
    </xdr:from>
    <xdr:to>
      <xdr:col>3</xdr:col>
      <xdr:colOff>394970</xdr:colOff>
      <xdr:row>19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19</xdr:row>
      <xdr:rowOff>114300</xdr:rowOff>
    </xdr:from>
    <xdr:to>
      <xdr:col>4</xdr:col>
      <xdr:colOff>394970</xdr:colOff>
      <xdr:row>19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19</xdr:row>
      <xdr:rowOff>114300</xdr:rowOff>
    </xdr:from>
    <xdr:to>
      <xdr:col>5</xdr:col>
      <xdr:colOff>394970</xdr:colOff>
      <xdr:row>19</xdr:row>
      <xdr:rowOff>379095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19</xdr:row>
      <xdr:rowOff>114300</xdr:rowOff>
    </xdr:from>
    <xdr:to>
      <xdr:col>6</xdr:col>
      <xdr:colOff>394970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123825</xdr:rowOff>
    </xdr:from>
    <xdr:to>
      <xdr:col>7</xdr:col>
      <xdr:colOff>394970</xdr:colOff>
      <xdr:row>19</xdr:row>
      <xdr:rowOff>398145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20</xdr:row>
      <xdr:rowOff>114300</xdr:rowOff>
    </xdr:from>
    <xdr:to>
      <xdr:col>1</xdr:col>
      <xdr:colOff>394970</xdr:colOff>
      <xdr:row>20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20</xdr:row>
      <xdr:rowOff>114300</xdr:rowOff>
    </xdr:from>
    <xdr:to>
      <xdr:col>2</xdr:col>
      <xdr:colOff>394970</xdr:colOff>
      <xdr:row>20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20</xdr:row>
      <xdr:rowOff>114300</xdr:rowOff>
    </xdr:from>
    <xdr:to>
      <xdr:col>3</xdr:col>
      <xdr:colOff>394970</xdr:colOff>
      <xdr:row>20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20</xdr:row>
      <xdr:rowOff>114300</xdr:rowOff>
    </xdr:from>
    <xdr:to>
      <xdr:col>4</xdr:col>
      <xdr:colOff>394418</xdr:colOff>
      <xdr:row>20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20</xdr:row>
      <xdr:rowOff>114300</xdr:rowOff>
    </xdr:from>
    <xdr:to>
      <xdr:col>5</xdr:col>
      <xdr:colOff>394418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20</xdr:row>
      <xdr:rowOff>114300</xdr:rowOff>
    </xdr:from>
    <xdr:to>
      <xdr:col>6</xdr:col>
      <xdr:colOff>394970</xdr:colOff>
      <xdr:row>20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20</xdr:row>
      <xdr:rowOff>123825</xdr:rowOff>
    </xdr:from>
    <xdr:to>
      <xdr:col>7</xdr:col>
      <xdr:colOff>394970</xdr:colOff>
      <xdr:row>20</xdr:row>
      <xdr:rowOff>398145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16</xdr:row>
      <xdr:rowOff>114300</xdr:rowOff>
    </xdr:from>
    <xdr:to>
      <xdr:col>9</xdr:col>
      <xdr:colOff>394970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16</xdr:row>
      <xdr:rowOff>114300</xdr:rowOff>
    </xdr:from>
    <xdr:to>
      <xdr:col>10</xdr:col>
      <xdr:colOff>394970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16</xdr:row>
      <xdr:rowOff>114300</xdr:rowOff>
    </xdr:from>
    <xdr:to>
      <xdr:col>11</xdr:col>
      <xdr:colOff>394970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16</xdr:row>
      <xdr:rowOff>114300</xdr:rowOff>
    </xdr:from>
    <xdr:to>
      <xdr:col>12</xdr:col>
      <xdr:colOff>394970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16</xdr:row>
      <xdr:rowOff>114300</xdr:rowOff>
    </xdr:from>
    <xdr:to>
      <xdr:col>13</xdr:col>
      <xdr:colOff>394418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16</xdr:row>
      <xdr:rowOff>114300</xdr:rowOff>
    </xdr:from>
    <xdr:to>
      <xdr:col>14</xdr:col>
      <xdr:colOff>394418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95250</xdr:rowOff>
    </xdr:from>
    <xdr:to>
      <xdr:col>15</xdr:col>
      <xdr:colOff>394970</xdr:colOff>
      <xdr:row>16</xdr:row>
      <xdr:rowOff>369570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723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17</xdr:row>
      <xdr:rowOff>114300</xdr:rowOff>
    </xdr:from>
    <xdr:to>
      <xdr:col>9</xdr:col>
      <xdr:colOff>394970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17</xdr:row>
      <xdr:rowOff>114300</xdr:rowOff>
    </xdr:from>
    <xdr:to>
      <xdr:col>10</xdr:col>
      <xdr:colOff>394970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17</xdr:row>
      <xdr:rowOff>114300</xdr:rowOff>
    </xdr:from>
    <xdr:to>
      <xdr:col>11</xdr:col>
      <xdr:colOff>394970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17</xdr:row>
      <xdr:rowOff>114300</xdr:rowOff>
    </xdr:from>
    <xdr:to>
      <xdr:col>12</xdr:col>
      <xdr:colOff>394970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17</xdr:row>
      <xdr:rowOff>114300</xdr:rowOff>
    </xdr:from>
    <xdr:to>
      <xdr:col>13</xdr:col>
      <xdr:colOff>394418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17</xdr:row>
      <xdr:rowOff>114300</xdr:rowOff>
    </xdr:from>
    <xdr:to>
      <xdr:col>14</xdr:col>
      <xdr:colOff>394418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95250</xdr:rowOff>
    </xdr:from>
    <xdr:to>
      <xdr:col>15</xdr:col>
      <xdr:colOff>394970</xdr:colOff>
      <xdr:row>17</xdr:row>
      <xdr:rowOff>369570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114300</xdr:rowOff>
    </xdr:from>
    <xdr:to>
      <xdr:col>9</xdr:col>
      <xdr:colOff>394970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18</xdr:row>
      <xdr:rowOff>114300</xdr:rowOff>
    </xdr:from>
    <xdr:to>
      <xdr:col>10</xdr:col>
      <xdr:colOff>394970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18</xdr:row>
      <xdr:rowOff>114300</xdr:rowOff>
    </xdr:from>
    <xdr:to>
      <xdr:col>11</xdr:col>
      <xdr:colOff>394970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18</xdr:row>
      <xdr:rowOff>114300</xdr:rowOff>
    </xdr:from>
    <xdr:to>
      <xdr:col>12</xdr:col>
      <xdr:colOff>394970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18</xdr:row>
      <xdr:rowOff>114300</xdr:rowOff>
    </xdr:from>
    <xdr:to>
      <xdr:col>13</xdr:col>
      <xdr:colOff>394970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18</xdr:row>
      <xdr:rowOff>114300</xdr:rowOff>
    </xdr:from>
    <xdr:to>
      <xdr:col>14</xdr:col>
      <xdr:colOff>394970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95250</xdr:rowOff>
    </xdr:from>
    <xdr:to>
      <xdr:col>15</xdr:col>
      <xdr:colOff>394970</xdr:colOff>
      <xdr:row>18</xdr:row>
      <xdr:rowOff>360045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2867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19</xdr:row>
      <xdr:rowOff>114300</xdr:rowOff>
    </xdr:from>
    <xdr:to>
      <xdr:col>9</xdr:col>
      <xdr:colOff>394970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19</xdr:row>
      <xdr:rowOff>114300</xdr:rowOff>
    </xdr:from>
    <xdr:to>
      <xdr:col>10</xdr:col>
      <xdr:colOff>394970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19</xdr:row>
      <xdr:rowOff>114300</xdr:rowOff>
    </xdr:from>
    <xdr:to>
      <xdr:col>11</xdr:col>
      <xdr:colOff>394970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19</xdr:row>
      <xdr:rowOff>114300</xdr:rowOff>
    </xdr:from>
    <xdr:to>
      <xdr:col>12</xdr:col>
      <xdr:colOff>394970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19</xdr:row>
      <xdr:rowOff>114300</xdr:rowOff>
    </xdr:from>
    <xdr:to>
      <xdr:col>13</xdr:col>
      <xdr:colOff>394970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19</xdr:row>
      <xdr:rowOff>114300</xdr:rowOff>
    </xdr:from>
    <xdr:to>
      <xdr:col>14</xdr:col>
      <xdr:colOff>394418</xdr:colOff>
      <xdr:row>19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95250</xdr:rowOff>
    </xdr:from>
    <xdr:to>
      <xdr:col>15</xdr:col>
      <xdr:colOff>394418</xdr:colOff>
      <xdr:row>19</xdr:row>
      <xdr:rowOff>369570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439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114300</xdr:rowOff>
    </xdr:from>
    <xdr:to>
      <xdr:col>9</xdr:col>
      <xdr:colOff>394970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20</xdr:row>
      <xdr:rowOff>114300</xdr:rowOff>
    </xdr:from>
    <xdr:to>
      <xdr:col>10</xdr:col>
      <xdr:colOff>394970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20</xdr:row>
      <xdr:rowOff>114300</xdr:rowOff>
    </xdr:from>
    <xdr:to>
      <xdr:col>11</xdr:col>
      <xdr:colOff>394970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16</xdr:row>
      <xdr:rowOff>114300</xdr:rowOff>
    </xdr:from>
    <xdr:to>
      <xdr:col>20</xdr:col>
      <xdr:colOff>375920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16</xdr:row>
      <xdr:rowOff>114300</xdr:rowOff>
    </xdr:from>
    <xdr:to>
      <xdr:col>21</xdr:col>
      <xdr:colOff>375920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16</xdr:row>
      <xdr:rowOff>114300</xdr:rowOff>
    </xdr:from>
    <xdr:to>
      <xdr:col>22</xdr:col>
      <xdr:colOff>375368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413468</xdr:colOff>
      <xdr:row>16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17</xdr:row>
      <xdr:rowOff>114300</xdr:rowOff>
    </xdr:from>
    <xdr:to>
      <xdr:col>17</xdr:col>
      <xdr:colOff>375920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17</xdr:row>
      <xdr:rowOff>114300</xdr:rowOff>
    </xdr:from>
    <xdr:to>
      <xdr:col>18</xdr:col>
      <xdr:colOff>375920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17</xdr:row>
      <xdr:rowOff>114300</xdr:rowOff>
    </xdr:from>
    <xdr:to>
      <xdr:col>19</xdr:col>
      <xdr:colOff>375920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17</xdr:row>
      <xdr:rowOff>114300</xdr:rowOff>
    </xdr:from>
    <xdr:to>
      <xdr:col>20</xdr:col>
      <xdr:colOff>375920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17</xdr:row>
      <xdr:rowOff>114300</xdr:rowOff>
    </xdr:from>
    <xdr:to>
      <xdr:col>21</xdr:col>
      <xdr:colOff>375920</xdr:colOff>
      <xdr:row>17</xdr:row>
      <xdr:rowOff>388620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17</xdr:row>
      <xdr:rowOff>114300</xdr:rowOff>
    </xdr:from>
    <xdr:to>
      <xdr:col>22</xdr:col>
      <xdr:colOff>375368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18</xdr:row>
      <xdr:rowOff>114300</xdr:rowOff>
    </xdr:from>
    <xdr:to>
      <xdr:col>17</xdr:col>
      <xdr:colOff>375920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18</xdr:row>
      <xdr:rowOff>114300</xdr:rowOff>
    </xdr:from>
    <xdr:to>
      <xdr:col>18</xdr:col>
      <xdr:colOff>375920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18</xdr:row>
      <xdr:rowOff>114300</xdr:rowOff>
    </xdr:from>
    <xdr:to>
      <xdr:col>19</xdr:col>
      <xdr:colOff>375920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18</xdr:row>
      <xdr:rowOff>114300</xdr:rowOff>
    </xdr:from>
    <xdr:to>
      <xdr:col>20</xdr:col>
      <xdr:colOff>375920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18</xdr:row>
      <xdr:rowOff>114300</xdr:rowOff>
    </xdr:from>
    <xdr:to>
      <xdr:col>21</xdr:col>
      <xdr:colOff>375920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18</xdr:row>
      <xdr:rowOff>114300</xdr:rowOff>
    </xdr:from>
    <xdr:to>
      <xdr:col>22</xdr:col>
      <xdr:colOff>375920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19</xdr:row>
      <xdr:rowOff>114300</xdr:rowOff>
    </xdr:from>
    <xdr:to>
      <xdr:col>17</xdr:col>
      <xdr:colOff>375920</xdr:colOff>
      <xdr:row>19</xdr:row>
      <xdr:rowOff>379095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7630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19</xdr:row>
      <xdr:rowOff>114300</xdr:rowOff>
    </xdr:from>
    <xdr:to>
      <xdr:col>18</xdr:col>
      <xdr:colOff>375920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19</xdr:row>
      <xdr:rowOff>114300</xdr:rowOff>
    </xdr:from>
    <xdr:to>
      <xdr:col>19</xdr:col>
      <xdr:colOff>375920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19</xdr:row>
      <xdr:rowOff>114300</xdr:rowOff>
    </xdr:from>
    <xdr:to>
      <xdr:col>20</xdr:col>
      <xdr:colOff>375920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19</xdr:row>
      <xdr:rowOff>114300</xdr:rowOff>
    </xdr:from>
    <xdr:to>
      <xdr:col>21</xdr:col>
      <xdr:colOff>375920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19</xdr:row>
      <xdr:rowOff>114300</xdr:rowOff>
    </xdr:from>
    <xdr:to>
      <xdr:col>22</xdr:col>
      <xdr:colOff>375920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413468</xdr:colOff>
      <xdr:row>19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20</xdr:row>
      <xdr:rowOff>114300</xdr:rowOff>
    </xdr:from>
    <xdr:to>
      <xdr:col>17</xdr:col>
      <xdr:colOff>375368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20</xdr:row>
      <xdr:rowOff>114300</xdr:rowOff>
    </xdr:from>
    <xdr:to>
      <xdr:col>18</xdr:col>
      <xdr:colOff>375368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20</xdr:row>
      <xdr:rowOff>114300</xdr:rowOff>
    </xdr:from>
    <xdr:to>
      <xdr:col>19</xdr:col>
      <xdr:colOff>375920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20</xdr:row>
      <xdr:rowOff>114300</xdr:rowOff>
    </xdr:from>
    <xdr:to>
      <xdr:col>20</xdr:col>
      <xdr:colOff>375920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20</xdr:row>
      <xdr:rowOff>114300</xdr:rowOff>
    </xdr:from>
    <xdr:to>
      <xdr:col>21</xdr:col>
      <xdr:colOff>375920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25</xdr:row>
      <xdr:rowOff>114300</xdr:rowOff>
    </xdr:from>
    <xdr:to>
      <xdr:col>6</xdr:col>
      <xdr:colOff>404495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95250</xdr:rowOff>
    </xdr:from>
    <xdr:to>
      <xdr:col>7</xdr:col>
      <xdr:colOff>394970</xdr:colOff>
      <xdr:row>25</xdr:row>
      <xdr:rowOff>369570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29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26</xdr:row>
      <xdr:rowOff>114300</xdr:rowOff>
    </xdr:from>
    <xdr:to>
      <xdr:col>1</xdr:col>
      <xdr:colOff>403943</xdr:colOff>
      <xdr:row>26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26</xdr:row>
      <xdr:rowOff>114300</xdr:rowOff>
    </xdr:from>
    <xdr:to>
      <xdr:col>2</xdr:col>
      <xdr:colOff>403943</xdr:colOff>
      <xdr:row>26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26</xdr:row>
      <xdr:rowOff>114300</xdr:rowOff>
    </xdr:from>
    <xdr:to>
      <xdr:col>3</xdr:col>
      <xdr:colOff>404495</xdr:colOff>
      <xdr:row>26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26</xdr:row>
      <xdr:rowOff>114300</xdr:rowOff>
    </xdr:from>
    <xdr:to>
      <xdr:col>4</xdr:col>
      <xdr:colOff>404495</xdr:colOff>
      <xdr:row>26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26</xdr:row>
      <xdr:rowOff>114300</xdr:rowOff>
    </xdr:from>
    <xdr:to>
      <xdr:col>5</xdr:col>
      <xdr:colOff>404495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26</xdr:row>
      <xdr:rowOff>114300</xdr:rowOff>
    </xdr:from>
    <xdr:to>
      <xdr:col>6</xdr:col>
      <xdr:colOff>404495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95250</xdr:rowOff>
    </xdr:from>
    <xdr:to>
      <xdr:col>7</xdr:col>
      <xdr:colOff>394418</xdr:colOff>
      <xdr:row>26</xdr:row>
      <xdr:rowOff>369570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687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27</xdr:row>
      <xdr:rowOff>114300</xdr:rowOff>
    </xdr:from>
    <xdr:to>
      <xdr:col>1</xdr:col>
      <xdr:colOff>403943</xdr:colOff>
      <xdr:row>27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27</xdr:row>
      <xdr:rowOff>114300</xdr:rowOff>
    </xdr:from>
    <xdr:to>
      <xdr:col>2</xdr:col>
      <xdr:colOff>404495</xdr:colOff>
      <xdr:row>27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27</xdr:row>
      <xdr:rowOff>114300</xdr:rowOff>
    </xdr:from>
    <xdr:to>
      <xdr:col>3</xdr:col>
      <xdr:colOff>404495</xdr:colOff>
      <xdr:row>27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27</xdr:row>
      <xdr:rowOff>114300</xdr:rowOff>
    </xdr:from>
    <xdr:to>
      <xdr:col>4</xdr:col>
      <xdr:colOff>404495</xdr:colOff>
      <xdr:row>27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27</xdr:row>
      <xdr:rowOff>114300</xdr:rowOff>
    </xdr:from>
    <xdr:to>
      <xdr:col>5</xdr:col>
      <xdr:colOff>404495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27</xdr:row>
      <xdr:rowOff>114300</xdr:rowOff>
    </xdr:from>
    <xdr:to>
      <xdr:col>6</xdr:col>
      <xdr:colOff>404495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95250</xdr:rowOff>
    </xdr:from>
    <xdr:to>
      <xdr:col>7</xdr:col>
      <xdr:colOff>394970</xdr:colOff>
      <xdr:row>27</xdr:row>
      <xdr:rowOff>369570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44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28</xdr:row>
      <xdr:rowOff>114300</xdr:rowOff>
    </xdr:from>
    <xdr:to>
      <xdr:col>1</xdr:col>
      <xdr:colOff>404495</xdr:colOff>
      <xdr:row>28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28</xdr:row>
      <xdr:rowOff>114300</xdr:rowOff>
    </xdr:from>
    <xdr:to>
      <xdr:col>2</xdr:col>
      <xdr:colOff>404495</xdr:colOff>
      <xdr:row>28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28</xdr:row>
      <xdr:rowOff>114300</xdr:rowOff>
    </xdr:from>
    <xdr:to>
      <xdr:col>3</xdr:col>
      <xdr:colOff>404495</xdr:colOff>
      <xdr:row>28</xdr:row>
      <xdr:rowOff>379095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28</xdr:row>
      <xdr:rowOff>114300</xdr:rowOff>
    </xdr:from>
    <xdr:to>
      <xdr:col>4</xdr:col>
      <xdr:colOff>404495</xdr:colOff>
      <xdr:row>28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28</xdr:row>
      <xdr:rowOff>114300</xdr:rowOff>
    </xdr:from>
    <xdr:to>
      <xdr:col>5</xdr:col>
      <xdr:colOff>404495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28</xdr:row>
      <xdr:rowOff>114300</xdr:rowOff>
    </xdr:from>
    <xdr:to>
      <xdr:col>6</xdr:col>
      <xdr:colOff>404495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95250</xdr:rowOff>
    </xdr:from>
    <xdr:to>
      <xdr:col>7</xdr:col>
      <xdr:colOff>394970</xdr:colOff>
      <xdr:row>28</xdr:row>
      <xdr:rowOff>369570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01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29</xdr:row>
      <xdr:rowOff>114300</xdr:rowOff>
    </xdr:from>
    <xdr:to>
      <xdr:col>1</xdr:col>
      <xdr:colOff>404495</xdr:colOff>
      <xdr:row>29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29</xdr:row>
      <xdr:rowOff>114300</xdr:rowOff>
    </xdr:from>
    <xdr:to>
      <xdr:col>2</xdr:col>
      <xdr:colOff>403943</xdr:colOff>
      <xdr:row>29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29</xdr:row>
      <xdr:rowOff>114300</xdr:rowOff>
    </xdr:from>
    <xdr:to>
      <xdr:col>3</xdr:col>
      <xdr:colOff>403943</xdr:colOff>
      <xdr:row>29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29</xdr:row>
      <xdr:rowOff>114300</xdr:rowOff>
    </xdr:from>
    <xdr:to>
      <xdr:col>4</xdr:col>
      <xdr:colOff>404495</xdr:colOff>
      <xdr:row>29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29</xdr:row>
      <xdr:rowOff>114300</xdr:rowOff>
    </xdr:from>
    <xdr:to>
      <xdr:col>5</xdr:col>
      <xdr:colOff>404495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29</xdr:row>
      <xdr:rowOff>114300</xdr:rowOff>
    </xdr:from>
    <xdr:to>
      <xdr:col>6</xdr:col>
      <xdr:colOff>404495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29</xdr:row>
      <xdr:rowOff>95250</xdr:rowOff>
    </xdr:from>
    <xdr:to>
      <xdr:col>7</xdr:col>
      <xdr:colOff>394970</xdr:colOff>
      <xdr:row>29</xdr:row>
      <xdr:rowOff>369570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3058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30</xdr:row>
      <xdr:rowOff>114300</xdr:rowOff>
    </xdr:from>
    <xdr:to>
      <xdr:col>1</xdr:col>
      <xdr:colOff>404495</xdr:colOff>
      <xdr:row>30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3535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25</xdr:row>
      <xdr:rowOff>114300</xdr:rowOff>
    </xdr:from>
    <xdr:to>
      <xdr:col>10</xdr:col>
      <xdr:colOff>375368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25</xdr:row>
      <xdr:rowOff>114300</xdr:rowOff>
    </xdr:from>
    <xdr:to>
      <xdr:col>11</xdr:col>
      <xdr:colOff>375368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25</xdr:row>
      <xdr:rowOff>114300</xdr:rowOff>
    </xdr:from>
    <xdr:to>
      <xdr:col>12</xdr:col>
      <xdr:colOff>375920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25</xdr:row>
      <xdr:rowOff>114300</xdr:rowOff>
    </xdr:from>
    <xdr:to>
      <xdr:col>13</xdr:col>
      <xdr:colOff>375920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25</xdr:row>
      <xdr:rowOff>114300</xdr:rowOff>
    </xdr:from>
    <xdr:to>
      <xdr:col>14</xdr:col>
      <xdr:colOff>375920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25</xdr:row>
      <xdr:rowOff>104775</xdr:rowOff>
    </xdr:from>
    <xdr:to>
      <xdr:col>15</xdr:col>
      <xdr:colOff>394970</xdr:colOff>
      <xdr:row>25</xdr:row>
      <xdr:rowOff>379095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26</xdr:row>
      <xdr:rowOff>114300</xdr:rowOff>
    </xdr:from>
    <xdr:to>
      <xdr:col>9</xdr:col>
      <xdr:colOff>375920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26</xdr:row>
      <xdr:rowOff>114300</xdr:rowOff>
    </xdr:from>
    <xdr:to>
      <xdr:col>10</xdr:col>
      <xdr:colOff>375368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26</xdr:row>
      <xdr:rowOff>114300</xdr:rowOff>
    </xdr:from>
    <xdr:to>
      <xdr:col>11</xdr:col>
      <xdr:colOff>375368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26</xdr:row>
      <xdr:rowOff>114300</xdr:rowOff>
    </xdr:from>
    <xdr:to>
      <xdr:col>12</xdr:col>
      <xdr:colOff>375920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26</xdr:row>
      <xdr:rowOff>114300</xdr:rowOff>
    </xdr:from>
    <xdr:to>
      <xdr:col>13</xdr:col>
      <xdr:colOff>375920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26</xdr:row>
      <xdr:rowOff>114300</xdr:rowOff>
    </xdr:from>
    <xdr:to>
      <xdr:col>14</xdr:col>
      <xdr:colOff>375920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26</xdr:row>
      <xdr:rowOff>104775</xdr:rowOff>
    </xdr:from>
    <xdr:to>
      <xdr:col>15</xdr:col>
      <xdr:colOff>394970</xdr:colOff>
      <xdr:row>26</xdr:row>
      <xdr:rowOff>379095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27</xdr:row>
      <xdr:rowOff>114300</xdr:rowOff>
    </xdr:from>
    <xdr:to>
      <xdr:col>9</xdr:col>
      <xdr:colOff>375920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27</xdr:row>
      <xdr:rowOff>114300</xdr:rowOff>
    </xdr:from>
    <xdr:to>
      <xdr:col>10</xdr:col>
      <xdr:colOff>375920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27</xdr:row>
      <xdr:rowOff>114300</xdr:rowOff>
    </xdr:from>
    <xdr:to>
      <xdr:col>11</xdr:col>
      <xdr:colOff>375920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27</xdr:row>
      <xdr:rowOff>114300</xdr:rowOff>
    </xdr:from>
    <xdr:to>
      <xdr:col>12</xdr:col>
      <xdr:colOff>375920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27</xdr:row>
      <xdr:rowOff>114300</xdr:rowOff>
    </xdr:from>
    <xdr:to>
      <xdr:col>13</xdr:col>
      <xdr:colOff>375920</xdr:colOff>
      <xdr:row>27</xdr:row>
      <xdr:rowOff>379095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27</xdr:row>
      <xdr:rowOff>114300</xdr:rowOff>
    </xdr:from>
    <xdr:to>
      <xdr:col>14</xdr:col>
      <xdr:colOff>375920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27</xdr:row>
      <xdr:rowOff>104775</xdr:rowOff>
    </xdr:from>
    <xdr:to>
      <xdr:col>15</xdr:col>
      <xdr:colOff>394970</xdr:colOff>
      <xdr:row>27</xdr:row>
      <xdr:rowOff>379095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28</xdr:row>
      <xdr:rowOff>114300</xdr:rowOff>
    </xdr:from>
    <xdr:to>
      <xdr:col>9</xdr:col>
      <xdr:colOff>375920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28</xdr:row>
      <xdr:rowOff>114300</xdr:rowOff>
    </xdr:from>
    <xdr:to>
      <xdr:col>10</xdr:col>
      <xdr:colOff>375920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28</xdr:row>
      <xdr:rowOff>114300</xdr:rowOff>
    </xdr:from>
    <xdr:to>
      <xdr:col>11</xdr:col>
      <xdr:colOff>375920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28</xdr:row>
      <xdr:rowOff>114300</xdr:rowOff>
    </xdr:from>
    <xdr:to>
      <xdr:col>12</xdr:col>
      <xdr:colOff>375368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28</xdr:row>
      <xdr:rowOff>114300</xdr:rowOff>
    </xdr:from>
    <xdr:to>
      <xdr:col>13</xdr:col>
      <xdr:colOff>375368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28</xdr:row>
      <xdr:rowOff>114300</xdr:rowOff>
    </xdr:from>
    <xdr:to>
      <xdr:col>14</xdr:col>
      <xdr:colOff>375920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28</xdr:row>
      <xdr:rowOff>104775</xdr:rowOff>
    </xdr:from>
    <xdr:to>
      <xdr:col>15</xdr:col>
      <xdr:colOff>394970</xdr:colOff>
      <xdr:row>28</xdr:row>
      <xdr:rowOff>379095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29</xdr:row>
      <xdr:rowOff>114300</xdr:rowOff>
    </xdr:from>
    <xdr:to>
      <xdr:col>9</xdr:col>
      <xdr:colOff>375920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29</xdr:row>
      <xdr:rowOff>114300</xdr:rowOff>
    </xdr:from>
    <xdr:to>
      <xdr:col>10</xdr:col>
      <xdr:colOff>375920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29</xdr:row>
      <xdr:rowOff>114300</xdr:rowOff>
    </xdr:from>
    <xdr:to>
      <xdr:col>11</xdr:col>
      <xdr:colOff>375368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29</xdr:row>
      <xdr:rowOff>114300</xdr:rowOff>
    </xdr:from>
    <xdr:to>
      <xdr:col>12</xdr:col>
      <xdr:colOff>375368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25</xdr:row>
      <xdr:rowOff>114300</xdr:rowOff>
    </xdr:from>
    <xdr:to>
      <xdr:col>21</xdr:col>
      <xdr:colOff>404495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25</xdr:row>
      <xdr:rowOff>114300</xdr:rowOff>
    </xdr:from>
    <xdr:to>
      <xdr:col>22</xdr:col>
      <xdr:colOff>404495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114300</xdr:rowOff>
    </xdr:from>
    <xdr:to>
      <xdr:col>23</xdr:col>
      <xdr:colOff>404495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114300</xdr:rowOff>
    </xdr:from>
    <xdr:to>
      <xdr:col>17</xdr:col>
      <xdr:colOff>404495</xdr:colOff>
      <xdr:row>26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114300</xdr:rowOff>
    </xdr:from>
    <xdr:to>
      <xdr:col>18</xdr:col>
      <xdr:colOff>404495</xdr:colOff>
      <xdr:row>26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114300</xdr:rowOff>
    </xdr:from>
    <xdr:to>
      <xdr:col>19</xdr:col>
      <xdr:colOff>403943</xdr:colOff>
      <xdr:row>26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114300</xdr:rowOff>
    </xdr:from>
    <xdr:to>
      <xdr:col>20</xdr:col>
      <xdr:colOff>403943</xdr:colOff>
      <xdr:row>26</xdr:row>
      <xdr:rowOff>388620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114300</xdr:rowOff>
    </xdr:from>
    <xdr:to>
      <xdr:col>21</xdr:col>
      <xdr:colOff>404495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114300</xdr:rowOff>
    </xdr:from>
    <xdr:to>
      <xdr:col>22</xdr:col>
      <xdr:colOff>404495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114300</xdr:rowOff>
    </xdr:from>
    <xdr:to>
      <xdr:col>23</xdr:col>
      <xdr:colOff>404495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114300</xdr:rowOff>
    </xdr:from>
    <xdr:to>
      <xdr:col>17</xdr:col>
      <xdr:colOff>404495</xdr:colOff>
      <xdr:row>27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114300</xdr:rowOff>
    </xdr:from>
    <xdr:to>
      <xdr:col>18</xdr:col>
      <xdr:colOff>404495</xdr:colOff>
      <xdr:row>27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114300</xdr:rowOff>
    </xdr:from>
    <xdr:to>
      <xdr:col>19</xdr:col>
      <xdr:colOff>404495</xdr:colOff>
      <xdr:row>27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114300</xdr:rowOff>
    </xdr:from>
    <xdr:to>
      <xdr:col>20</xdr:col>
      <xdr:colOff>404495</xdr:colOff>
      <xdr:row>27</xdr:row>
      <xdr:rowOff>388620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114300</xdr:rowOff>
    </xdr:from>
    <xdr:to>
      <xdr:col>21</xdr:col>
      <xdr:colOff>404495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114300</xdr:rowOff>
    </xdr:from>
    <xdr:to>
      <xdr:col>22</xdr:col>
      <xdr:colOff>404495</xdr:colOff>
      <xdr:row>27</xdr:row>
      <xdr:rowOff>379095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634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114300</xdr:rowOff>
    </xdr:from>
    <xdr:to>
      <xdr:col>23</xdr:col>
      <xdr:colOff>404495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114300</xdr:rowOff>
    </xdr:from>
    <xdr:to>
      <xdr:col>17</xdr:col>
      <xdr:colOff>404495</xdr:colOff>
      <xdr:row>28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114300</xdr:rowOff>
    </xdr:from>
    <xdr:to>
      <xdr:col>18</xdr:col>
      <xdr:colOff>404495</xdr:colOff>
      <xdr:row>28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114300</xdr:rowOff>
    </xdr:from>
    <xdr:to>
      <xdr:col>19</xdr:col>
      <xdr:colOff>404495</xdr:colOff>
      <xdr:row>28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114300</xdr:rowOff>
    </xdr:from>
    <xdr:to>
      <xdr:col>20</xdr:col>
      <xdr:colOff>404495</xdr:colOff>
      <xdr:row>28</xdr:row>
      <xdr:rowOff>388620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114300</xdr:rowOff>
    </xdr:from>
    <xdr:to>
      <xdr:col>21</xdr:col>
      <xdr:colOff>403943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114300</xdr:rowOff>
    </xdr:from>
    <xdr:to>
      <xdr:col>22</xdr:col>
      <xdr:colOff>403943</xdr:colOff>
      <xdr:row>28</xdr:row>
      <xdr:rowOff>388620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114300</xdr:rowOff>
    </xdr:from>
    <xdr:to>
      <xdr:col>23</xdr:col>
      <xdr:colOff>404495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114300</xdr:rowOff>
    </xdr:from>
    <xdr:to>
      <xdr:col>17</xdr:col>
      <xdr:colOff>404495</xdr:colOff>
      <xdr:row>29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114300</xdr:rowOff>
    </xdr:from>
    <xdr:to>
      <xdr:col>18</xdr:col>
      <xdr:colOff>404495</xdr:colOff>
      <xdr:row>29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114300</xdr:rowOff>
    </xdr:from>
    <xdr:to>
      <xdr:col>19</xdr:col>
      <xdr:colOff>404495</xdr:colOff>
      <xdr:row>29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114300</xdr:rowOff>
    </xdr:from>
    <xdr:to>
      <xdr:col>20</xdr:col>
      <xdr:colOff>404495</xdr:colOff>
      <xdr:row>29</xdr:row>
      <xdr:rowOff>388620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114300</xdr:rowOff>
    </xdr:from>
    <xdr:to>
      <xdr:col>21</xdr:col>
      <xdr:colOff>403943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114300</xdr:rowOff>
    </xdr:from>
    <xdr:to>
      <xdr:col>22</xdr:col>
      <xdr:colOff>403943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34</xdr:row>
      <xdr:rowOff>114300</xdr:rowOff>
    </xdr:from>
    <xdr:to>
      <xdr:col>7</xdr:col>
      <xdr:colOff>394970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35</xdr:row>
      <xdr:rowOff>114300</xdr:rowOff>
    </xdr:from>
    <xdr:to>
      <xdr:col>1</xdr:col>
      <xdr:colOff>375920</xdr:colOff>
      <xdr:row>35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35</xdr:row>
      <xdr:rowOff>114300</xdr:rowOff>
    </xdr:from>
    <xdr:to>
      <xdr:col>2</xdr:col>
      <xdr:colOff>375920</xdr:colOff>
      <xdr:row>35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35</xdr:row>
      <xdr:rowOff>114300</xdr:rowOff>
    </xdr:from>
    <xdr:to>
      <xdr:col>3</xdr:col>
      <xdr:colOff>375920</xdr:colOff>
      <xdr:row>35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35</xdr:row>
      <xdr:rowOff>114300</xdr:rowOff>
    </xdr:from>
    <xdr:to>
      <xdr:col>4</xdr:col>
      <xdr:colOff>375920</xdr:colOff>
      <xdr:row>35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35</xdr:row>
      <xdr:rowOff>114300</xdr:rowOff>
    </xdr:from>
    <xdr:to>
      <xdr:col>5</xdr:col>
      <xdr:colOff>375368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35</xdr:row>
      <xdr:rowOff>114300</xdr:rowOff>
    </xdr:from>
    <xdr:to>
      <xdr:col>6</xdr:col>
      <xdr:colOff>375368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35</xdr:row>
      <xdr:rowOff>114300</xdr:rowOff>
    </xdr:from>
    <xdr:to>
      <xdr:col>7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36</xdr:row>
      <xdr:rowOff>114300</xdr:rowOff>
    </xdr:from>
    <xdr:to>
      <xdr:col>1</xdr:col>
      <xdr:colOff>375920</xdr:colOff>
      <xdr:row>36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36</xdr:row>
      <xdr:rowOff>114300</xdr:rowOff>
    </xdr:from>
    <xdr:to>
      <xdr:col>2</xdr:col>
      <xdr:colOff>375920</xdr:colOff>
      <xdr:row>36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36</xdr:row>
      <xdr:rowOff>114300</xdr:rowOff>
    </xdr:from>
    <xdr:to>
      <xdr:col>3</xdr:col>
      <xdr:colOff>375920</xdr:colOff>
      <xdr:row>36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36</xdr:row>
      <xdr:rowOff>114300</xdr:rowOff>
    </xdr:from>
    <xdr:to>
      <xdr:col>4</xdr:col>
      <xdr:colOff>375920</xdr:colOff>
      <xdr:row>36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36</xdr:row>
      <xdr:rowOff>114300</xdr:rowOff>
    </xdr:from>
    <xdr:to>
      <xdr:col>5</xdr:col>
      <xdr:colOff>375920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36</xdr:row>
      <xdr:rowOff>114300</xdr:rowOff>
    </xdr:from>
    <xdr:to>
      <xdr:col>6</xdr:col>
      <xdr:colOff>375920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36</xdr:row>
      <xdr:rowOff>114300</xdr:rowOff>
    </xdr:from>
    <xdr:to>
      <xdr:col>7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</xdr:row>
      <xdr:rowOff>114300</xdr:rowOff>
    </xdr:from>
    <xdr:to>
      <xdr:col>1</xdr:col>
      <xdr:colOff>375920</xdr:colOff>
      <xdr:row>37</xdr:row>
      <xdr:rowOff>379095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37</xdr:row>
      <xdr:rowOff>114300</xdr:rowOff>
    </xdr:from>
    <xdr:to>
      <xdr:col>2</xdr:col>
      <xdr:colOff>375920</xdr:colOff>
      <xdr:row>37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37</xdr:row>
      <xdr:rowOff>114300</xdr:rowOff>
    </xdr:from>
    <xdr:to>
      <xdr:col>3</xdr:col>
      <xdr:colOff>375920</xdr:colOff>
      <xdr:row>37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114300</xdr:rowOff>
    </xdr:from>
    <xdr:to>
      <xdr:col>4</xdr:col>
      <xdr:colOff>375920</xdr:colOff>
      <xdr:row>37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37</xdr:row>
      <xdr:rowOff>114300</xdr:rowOff>
    </xdr:from>
    <xdr:to>
      <xdr:col>5</xdr:col>
      <xdr:colOff>375920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37</xdr:row>
      <xdr:rowOff>114300</xdr:rowOff>
    </xdr:from>
    <xdr:to>
      <xdr:col>6</xdr:col>
      <xdr:colOff>375368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37</xdr:row>
      <xdr:rowOff>114300</xdr:rowOff>
    </xdr:from>
    <xdr:to>
      <xdr:col>7</xdr:col>
      <xdr:colOff>394418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38</xdr:row>
      <xdr:rowOff>114300</xdr:rowOff>
    </xdr:from>
    <xdr:to>
      <xdr:col>1</xdr:col>
      <xdr:colOff>375920</xdr:colOff>
      <xdr:row>38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38</xdr:row>
      <xdr:rowOff>114300</xdr:rowOff>
    </xdr:from>
    <xdr:to>
      <xdr:col>2</xdr:col>
      <xdr:colOff>375920</xdr:colOff>
      <xdr:row>38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38</xdr:row>
      <xdr:rowOff>114300</xdr:rowOff>
    </xdr:from>
    <xdr:to>
      <xdr:col>3</xdr:col>
      <xdr:colOff>375920</xdr:colOff>
      <xdr:row>38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38</xdr:row>
      <xdr:rowOff>114300</xdr:rowOff>
    </xdr:from>
    <xdr:to>
      <xdr:col>4</xdr:col>
      <xdr:colOff>375920</xdr:colOff>
      <xdr:row>38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38</xdr:row>
      <xdr:rowOff>114300</xdr:rowOff>
    </xdr:from>
    <xdr:to>
      <xdr:col>5</xdr:col>
      <xdr:colOff>375920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38</xdr:row>
      <xdr:rowOff>114300</xdr:rowOff>
    </xdr:from>
    <xdr:to>
      <xdr:col>6</xdr:col>
      <xdr:colOff>375368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38</xdr:row>
      <xdr:rowOff>114300</xdr:rowOff>
    </xdr:from>
    <xdr:to>
      <xdr:col>7</xdr:col>
      <xdr:colOff>394418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39</xdr:row>
      <xdr:rowOff>114300</xdr:rowOff>
    </xdr:from>
    <xdr:to>
      <xdr:col>1</xdr:col>
      <xdr:colOff>375920</xdr:colOff>
      <xdr:row>39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7392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39</xdr:row>
      <xdr:rowOff>114300</xdr:rowOff>
    </xdr:from>
    <xdr:to>
      <xdr:col>2</xdr:col>
      <xdr:colOff>375920</xdr:colOff>
      <xdr:row>39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7392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34</xdr:row>
      <xdr:rowOff>114300</xdr:rowOff>
    </xdr:from>
    <xdr:to>
      <xdr:col>11</xdr:col>
      <xdr:colOff>404495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34</xdr:row>
      <xdr:rowOff>114300</xdr:rowOff>
    </xdr:from>
    <xdr:to>
      <xdr:col>12</xdr:col>
      <xdr:colOff>404495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34</xdr:row>
      <xdr:rowOff>114300</xdr:rowOff>
    </xdr:from>
    <xdr:to>
      <xdr:col>13</xdr:col>
      <xdr:colOff>404495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34</xdr:row>
      <xdr:rowOff>114300</xdr:rowOff>
    </xdr:from>
    <xdr:to>
      <xdr:col>14</xdr:col>
      <xdr:colOff>404495</xdr:colOff>
      <xdr:row>34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85725</xdr:rowOff>
    </xdr:from>
    <xdr:to>
      <xdr:col>15</xdr:col>
      <xdr:colOff>394418</xdr:colOff>
      <xdr:row>34</xdr:row>
      <xdr:rowOff>360045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78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35</xdr:row>
      <xdr:rowOff>114300</xdr:rowOff>
    </xdr:from>
    <xdr:to>
      <xdr:col>9</xdr:col>
      <xdr:colOff>403943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35</xdr:row>
      <xdr:rowOff>114300</xdr:rowOff>
    </xdr:from>
    <xdr:to>
      <xdr:col>10</xdr:col>
      <xdr:colOff>404495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35</xdr:row>
      <xdr:rowOff>114300</xdr:rowOff>
    </xdr:from>
    <xdr:to>
      <xdr:col>11</xdr:col>
      <xdr:colOff>404495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35</xdr:row>
      <xdr:rowOff>114300</xdr:rowOff>
    </xdr:from>
    <xdr:to>
      <xdr:col>12</xdr:col>
      <xdr:colOff>404495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35</xdr:row>
      <xdr:rowOff>114300</xdr:rowOff>
    </xdr:from>
    <xdr:to>
      <xdr:col>13</xdr:col>
      <xdr:colOff>404495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35</xdr:row>
      <xdr:rowOff>114300</xdr:rowOff>
    </xdr:from>
    <xdr:to>
      <xdr:col>14</xdr:col>
      <xdr:colOff>404495</xdr:colOff>
      <xdr:row>35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85725</xdr:rowOff>
    </xdr:from>
    <xdr:to>
      <xdr:col>15</xdr:col>
      <xdr:colOff>394970</xdr:colOff>
      <xdr:row>35</xdr:row>
      <xdr:rowOff>360045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35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36</xdr:row>
      <xdr:rowOff>114300</xdr:rowOff>
    </xdr:from>
    <xdr:to>
      <xdr:col>9</xdr:col>
      <xdr:colOff>404495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36</xdr:row>
      <xdr:rowOff>114300</xdr:rowOff>
    </xdr:from>
    <xdr:to>
      <xdr:col>10</xdr:col>
      <xdr:colOff>404495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36</xdr:row>
      <xdr:rowOff>114300</xdr:rowOff>
    </xdr:from>
    <xdr:to>
      <xdr:col>11</xdr:col>
      <xdr:colOff>404495</xdr:colOff>
      <xdr:row>36</xdr:row>
      <xdr:rowOff>379095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36</xdr:row>
      <xdr:rowOff>114300</xdr:rowOff>
    </xdr:from>
    <xdr:to>
      <xdr:col>12</xdr:col>
      <xdr:colOff>404495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36</xdr:row>
      <xdr:rowOff>114300</xdr:rowOff>
    </xdr:from>
    <xdr:to>
      <xdr:col>13</xdr:col>
      <xdr:colOff>404495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36</xdr:row>
      <xdr:rowOff>114300</xdr:rowOff>
    </xdr:from>
    <xdr:to>
      <xdr:col>14</xdr:col>
      <xdr:colOff>404495</xdr:colOff>
      <xdr:row>36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85725</xdr:rowOff>
    </xdr:from>
    <xdr:to>
      <xdr:col>15</xdr:col>
      <xdr:colOff>394970</xdr:colOff>
      <xdr:row>36</xdr:row>
      <xdr:rowOff>360045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992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37</xdr:row>
      <xdr:rowOff>114300</xdr:rowOff>
    </xdr:from>
    <xdr:to>
      <xdr:col>9</xdr:col>
      <xdr:colOff>403943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37</xdr:row>
      <xdr:rowOff>114300</xdr:rowOff>
    </xdr:from>
    <xdr:to>
      <xdr:col>10</xdr:col>
      <xdr:colOff>403943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37</xdr:row>
      <xdr:rowOff>114300</xdr:rowOff>
    </xdr:from>
    <xdr:to>
      <xdr:col>11</xdr:col>
      <xdr:colOff>404495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37</xdr:row>
      <xdr:rowOff>114300</xdr:rowOff>
    </xdr:from>
    <xdr:to>
      <xdr:col>12</xdr:col>
      <xdr:colOff>404495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37</xdr:row>
      <xdr:rowOff>114300</xdr:rowOff>
    </xdr:from>
    <xdr:to>
      <xdr:col>13</xdr:col>
      <xdr:colOff>404495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37</xdr:row>
      <xdr:rowOff>114300</xdr:rowOff>
    </xdr:from>
    <xdr:to>
      <xdr:col>14</xdr:col>
      <xdr:colOff>404495</xdr:colOff>
      <xdr:row>37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85725</xdr:rowOff>
    </xdr:from>
    <xdr:to>
      <xdr:col>15</xdr:col>
      <xdr:colOff>394970</xdr:colOff>
      <xdr:row>37</xdr:row>
      <xdr:rowOff>360045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49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38</xdr:row>
      <xdr:rowOff>114300</xdr:rowOff>
    </xdr:from>
    <xdr:to>
      <xdr:col>9</xdr:col>
      <xdr:colOff>403943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38</xdr:row>
      <xdr:rowOff>114300</xdr:rowOff>
    </xdr:from>
    <xdr:to>
      <xdr:col>10</xdr:col>
      <xdr:colOff>403943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38</xdr:row>
      <xdr:rowOff>114300</xdr:rowOff>
    </xdr:from>
    <xdr:to>
      <xdr:col>11</xdr:col>
      <xdr:colOff>404495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38</xdr:row>
      <xdr:rowOff>114300</xdr:rowOff>
    </xdr:from>
    <xdr:to>
      <xdr:col>12</xdr:col>
      <xdr:colOff>404495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34</xdr:row>
      <xdr:rowOff>114300</xdr:rowOff>
    </xdr:from>
    <xdr:to>
      <xdr:col>21</xdr:col>
      <xdr:colOff>394970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34</xdr:row>
      <xdr:rowOff>114300</xdr:rowOff>
    </xdr:from>
    <xdr:to>
      <xdr:col>22</xdr:col>
      <xdr:colOff>394970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123825</xdr:rowOff>
    </xdr:from>
    <xdr:to>
      <xdr:col>23</xdr:col>
      <xdr:colOff>404495</xdr:colOff>
      <xdr:row>34</xdr:row>
      <xdr:rowOff>398145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16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35</xdr:row>
      <xdr:rowOff>114300</xdr:rowOff>
    </xdr:from>
    <xdr:to>
      <xdr:col>17</xdr:col>
      <xdr:colOff>394418</xdr:colOff>
      <xdr:row>35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35</xdr:row>
      <xdr:rowOff>114300</xdr:rowOff>
    </xdr:from>
    <xdr:to>
      <xdr:col>18</xdr:col>
      <xdr:colOff>394418</xdr:colOff>
      <xdr:row>35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35</xdr:row>
      <xdr:rowOff>114300</xdr:rowOff>
    </xdr:from>
    <xdr:to>
      <xdr:col>19</xdr:col>
      <xdr:colOff>394970</xdr:colOff>
      <xdr:row>35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35</xdr:row>
      <xdr:rowOff>114300</xdr:rowOff>
    </xdr:from>
    <xdr:to>
      <xdr:col>20</xdr:col>
      <xdr:colOff>394970</xdr:colOff>
      <xdr:row>35</xdr:row>
      <xdr:rowOff>388620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35</xdr:row>
      <xdr:rowOff>114300</xdr:rowOff>
    </xdr:from>
    <xdr:to>
      <xdr:col>21</xdr:col>
      <xdr:colOff>394970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35</xdr:row>
      <xdr:rowOff>114300</xdr:rowOff>
    </xdr:from>
    <xdr:to>
      <xdr:col>22</xdr:col>
      <xdr:colOff>394970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123825</xdr:rowOff>
    </xdr:from>
    <xdr:to>
      <xdr:col>23</xdr:col>
      <xdr:colOff>404495</xdr:colOff>
      <xdr:row>35</xdr:row>
      <xdr:rowOff>398145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73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36</xdr:row>
      <xdr:rowOff>114300</xdr:rowOff>
    </xdr:from>
    <xdr:to>
      <xdr:col>17</xdr:col>
      <xdr:colOff>394970</xdr:colOff>
      <xdr:row>36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36</xdr:row>
      <xdr:rowOff>114300</xdr:rowOff>
    </xdr:from>
    <xdr:to>
      <xdr:col>18</xdr:col>
      <xdr:colOff>394970</xdr:colOff>
      <xdr:row>36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36</xdr:row>
      <xdr:rowOff>114300</xdr:rowOff>
    </xdr:from>
    <xdr:to>
      <xdr:col>19</xdr:col>
      <xdr:colOff>394970</xdr:colOff>
      <xdr:row>36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36</xdr:row>
      <xdr:rowOff>114300</xdr:rowOff>
    </xdr:from>
    <xdr:to>
      <xdr:col>20</xdr:col>
      <xdr:colOff>394970</xdr:colOff>
      <xdr:row>36</xdr:row>
      <xdr:rowOff>379095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021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36</xdr:row>
      <xdr:rowOff>114300</xdr:rowOff>
    </xdr:from>
    <xdr:to>
      <xdr:col>21</xdr:col>
      <xdr:colOff>394970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36</xdr:row>
      <xdr:rowOff>114300</xdr:rowOff>
    </xdr:from>
    <xdr:to>
      <xdr:col>22</xdr:col>
      <xdr:colOff>394970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123825</xdr:rowOff>
    </xdr:from>
    <xdr:to>
      <xdr:col>23</xdr:col>
      <xdr:colOff>404495</xdr:colOff>
      <xdr:row>36</xdr:row>
      <xdr:rowOff>398145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30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37</xdr:row>
      <xdr:rowOff>114300</xdr:rowOff>
    </xdr:from>
    <xdr:to>
      <xdr:col>17</xdr:col>
      <xdr:colOff>394970</xdr:colOff>
      <xdr:row>37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37</xdr:row>
      <xdr:rowOff>114300</xdr:rowOff>
    </xdr:from>
    <xdr:to>
      <xdr:col>18</xdr:col>
      <xdr:colOff>394418</xdr:colOff>
      <xdr:row>37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37</xdr:row>
      <xdr:rowOff>114300</xdr:rowOff>
    </xdr:from>
    <xdr:to>
      <xdr:col>19</xdr:col>
      <xdr:colOff>394418</xdr:colOff>
      <xdr:row>37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37</xdr:row>
      <xdr:rowOff>114300</xdr:rowOff>
    </xdr:from>
    <xdr:to>
      <xdr:col>20</xdr:col>
      <xdr:colOff>394970</xdr:colOff>
      <xdr:row>37</xdr:row>
      <xdr:rowOff>388620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37</xdr:row>
      <xdr:rowOff>114300</xdr:rowOff>
    </xdr:from>
    <xdr:to>
      <xdr:col>21</xdr:col>
      <xdr:colOff>394970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37</xdr:row>
      <xdr:rowOff>114300</xdr:rowOff>
    </xdr:from>
    <xdr:to>
      <xdr:col>22</xdr:col>
      <xdr:colOff>394970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123825</xdr:rowOff>
    </xdr:from>
    <xdr:to>
      <xdr:col>23</xdr:col>
      <xdr:colOff>404495</xdr:colOff>
      <xdr:row>37</xdr:row>
      <xdr:rowOff>398145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87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38</xdr:row>
      <xdr:rowOff>114300</xdr:rowOff>
    </xdr:from>
    <xdr:to>
      <xdr:col>17</xdr:col>
      <xdr:colOff>394970</xdr:colOff>
      <xdr:row>38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38</xdr:row>
      <xdr:rowOff>114300</xdr:rowOff>
    </xdr:from>
    <xdr:to>
      <xdr:col>18</xdr:col>
      <xdr:colOff>394418</xdr:colOff>
      <xdr:row>38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38</xdr:row>
      <xdr:rowOff>114300</xdr:rowOff>
    </xdr:from>
    <xdr:to>
      <xdr:col>19</xdr:col>
      <xdr:colOff>394418</xdr:colOff>
      <xdr:row>38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38</xdr:row>
      <xdr:rowOff>114300</xdr:rowOff>
    </xdr:from>
    <xdr:to>
      <xdr:col>20</xdr:col>
      <xdr:colOff>394970</xdr:colOff>
      <xdr:row>38</xdr:row>
      <xdr:rowOff>388620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38</xdr:row>
      <xdr:rowOff>114300</xdr:rowOff>
    </xdr:from>
    <xdr:to>
      <xdr:col>21</xdr:col>
      <xdr:colOff>394970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38</xdr:row>
      <xdr:rowOff>114300</xdr:rowOff>
    </xdr:from>
    <xdr:to>
      <xdr:col>22</xdr:col>
      <xdr:colOff>394970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123825</xdr:rowOff>
    </xdr:from>
    <xdr:to>
      <xdr:col>23</xdr:col>
      <xdr:colOff>404495</xdr:colOff>
      <xdr:row>38</xdr:row>
      <xdr:rowOff>398145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44975"/>
          <a:ext cx="274320" cy="274320"/>
        </a:xfrm>
        <a:prstGeom prst="rect">
          <a:avLst/>
        </a:prstGeom>
      </xdr:spPr>
    </xdr:pic>
    <xdr:clientData/>
  </xdr:twoCellAnchor>
</xdr:wsDr>
</file>

<file path=xl/drawings/drawing8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7</xdr:row>
      <xdr:rowOff>114300</xdr:rowOff>
    </xdr:from>
    <xdr:to>
      <xdr:col>1</xdr:col>
      <xdr:colOff>385445</xdr:colOff>
      <xdr:row>7</xdr:row>
      <xdr:rowOff>388620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7</xdr:row>
      <xdr:rowOff>114300</xdr:rowOff>
    </xdr:from>
    <xdr:to>
      <xdr:col>2</xdr:col>
      <xdr:colOff>385445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7</xdr:row>
      <xdr:rowOff>114300</xdr:rowOff>
    </xdr:from>
    <xdr:to>
      <xdr:col>3</xdr:col>
      <xdr:colOff>384893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</xdr:row>
      <xdr:rowOff>114300</xdr:rowOff>
    </xdr:from>
    <xdr:to>
      <xdr:col>4</xdr:col>
      <xdr:colOff>384893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7</xdr:row>
      <xdr:rowOff>114300</xdr:rowOff>
    </xdr:from>
    <xdr:to>
      <xdr:col>5</xdr:col>
      <xdr:colOff>385445</xdr:colOff>
      <xdr:row>7</xdr:row>
      <xdr:rowOff>388620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7</xdr:row>
      <xdr:rowOff>114300</xdr:rowOff>
    </xdr:from>
    <xdr:to>
      <xdr:col>6</xdr:col>
      <xdr:colOff>385445</xdr:colOff>
      <xdr:row>7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7</xdr:row>
      <xdr:rowOff>104775</xdr:rowOff>
    </xdr:from>
    <xdr:to>
      <xdr:col>7</xdr:col>
      <xdr:colOff>404495</xdr:colOff>
      <xdr:row>7</xdr:row>
      <xdr:rowOff>379095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8</xdr:row>
      <xdr:rowOff>114300</xdr:rowOff>
    </xdr:from>
    <xdr:to>
      <xdr:col>1</xdr:col>
      <xdr:colOff>385445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8</xdr:row>
      <xdr:rowOff>114300</xdr:rowOff>
    </xdr:from>
    <xdr:to>
      <xdr:col>2</xdr:col>
      <xdr:colOff>385445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8</xdr:row>
      <xdr:rowOff>114300</xdr:rowOff>
    </xdr:from>
    <xdr:to>
      <xdr:col>3</xdr:col>
      <xdr:colOff>385445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114300</xdr:rowOff>
    </xdr:from>
    <xdr:to>
      <xdr:col>4</xdr:col>
      <xdr:colOff>385445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8</xdr:row>
      <xdr:rowOff>114300</xdr:rowOff>
    </xdr:from>
    <xdr:to>
      <xdr:col>5</xdr:col>
      <xdr:colOff>385445</xdr:colOff>
      <xdr:row>8</xdr:row>
      <xdr:rowOff>388620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8</xdr:row>
      <xdr:rowOff>114300</xdr:rowOff>
    </xdr:from>
    <xdr:to>
      <xdr:col>6</xdr:col>
      <xdr:colOff>385445</xdr:colOff>
      <xdr:row>8</xdr:row>
      <xdr:rowOff>379095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39909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8</xdr:row>
      <xdr:rowOff>104775</xdr:rowOff>
    </xdr:from>
    <xdr:to>
      <xdr:col>7</xdr:col>
      <xdr:colOff>404495</xdr:colOff>
      <xdr:row>8</xdr:row>
      <xdr:rowOff>379095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9</xdr:row>
      <xdr:rowOff>114300</xdr:rowOff>
    </xdr:from>
    <xdr:to>
      <xdr:col>1</xdr:col>
      <xdr:colOff>385445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9</xdr:row>
      <xdr:rowOff>114300</xdr:rowOff>
    </xdr:from>
    <xdr:to>
      <xdr:col>2</xdr:col>
      <xdr:colOff>385445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9</xdr:row>
      <xdr:rowOff>114300</xdr:rowOff>
    </xdr:from>
    <xdr:to>
      <xdr:col>3</xdr:col>
      <xdr:colOff>384893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</xdr:row>
      <xdr:rowOff>114300</xdr:rowOff>
    </xdr:from>
    <xdr:to>
      <xdr:col>4</xdr:col>
      <xdr:colOff>384893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114300</xdr:rowOff>
    </xdr:from>
    <xdr:to>
      <xdr:col>5</xdr:col>
      <xdr:colOff>385445</xdr:colOff>
      <xdr:row>9</xdr:row>
      <xdr:rowOff>388620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9</xdr:row>
      <xdr:rowOff>114300</xdr:rowOff>
    </xdr:from>
    <xdr:to>
      <xdr:col>6</xdr:col>
      <xdr:colOff>385445</xdr:colOff>
      <xdr:row>9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9</xdr:row>
      <xdr:rowOff>104775</xdr:rowOff>
    </xdr:from>
    <xdr:to>
      <xdr:col>7</xdr:col>
      <xdr:colOff>404495</xdr:colOff>
      <xdr:row>9</xdr:row>
      <xdr:rowOff>379095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10</xdr:row>
      <xdr:rowOff>114300</xdr:rowOff>
    </xdr:from>
    <xdr:to>
      <xdr:col>1</xdr:col>
      <xdr:colOff>385445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10</xdr:row>
      <xdr:rowOff>114300</xdr:rowOff>
    </xdr:from>
    <xdr:to>
      <xdr:col>2</xdr:col>
      <xdr:colOff>385445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10</xdr:row>
      <xdr:rowOff>114300</xdr:rowOff>
    </xdr:from>
    <xdr:to>
      <xdr:col>3</xdr:col>
      <xdr:colOff>385445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10</xdr:row>
      <xdr:rowOff>114300</xdr:rowOff>
    </xdr:from>
    <xdr:to>
      <xdr:col>4</xdr:col>
      <xdr:colOff>384893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10</xdr:row>
      <xdr:rowOff>114300</xdr:rowOff>
    </xdr:from>
    <xdr:to>
      <xdr:col>5</xdr:col>
      <xdr:colOff>384893</xdr:colOff>
      <xdr:row>10</xdr:row>
      <xdr:rowOff>388620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5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10</xdr:row>
      <xdr:rowOff>114300</xdr:rowOff>
    </xdr:from>
    <xdr:to>
      <xdr:col>6</xdr:col>
      <xdr:colOff>385445</xdr:colOff>
      <xdr:row>10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10</xdr:row>
      <xdr:rowOff>104775</xdr:rowOff>
    </xdr:from>
    <xdr:to>
      <xdr:col>7</xdr:col>
      <xdr:colOff>404495</xdr:colOff>
      <xdr:row>10</xdr:row>
      <xdr:rowOff>379095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11</xdr:row>
      <xdr:rowOff>114300</xdr:rowOff>
    </xdr:from>
    <xdr:to>
      <xdr:col>1</xdr:col>
      <xdr:colOff>385445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11</xdr:row>
      <xdr:rowOff>114300</xdr:rowOff>
    </xdr:from>
    <xdr:to>
      <xdr:col>2</xdr:col>
      <xdr:colOff>385445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11</xdr:row>
      <xdr:rowOff>114300</xdr:rowOff>
    </xdr:from>
    <xdr:to>
      <xdr:col>3</xdr:col>
      <xdr:colOff>385445</xdr:colOff>
      <xdr:row>11</xdr:row>
      <xdr:rowOff>388620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7</xdr:row>
      <xdr:rowOff>114300</xdr:rowOff>
    </xdr:from>
    <xdr:to>
      <xdr:col>12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7</xdr:row>
      <xdr:rowOff>114300</xdr:rowOff>
    </xdr:from>
    <xdr:to>
      <xdr:col>13</xdr:col>
      <xdr:colOff>394418</xdr:colOff>
      <xdr:row>7</xdr:row>
      <xdr:rowOff>388620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394418</xdr:colOff>
      <xdr:row>7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7</xdr:row>
      <xdr:rowOff>104775</xdr:rowOff>
    </xdr:from>
    <xdr:to>
      <xdr:col>15</xdr:col>
      <xdr:colOff>394970</xdr:colOff>
      <xdr:row>7</xdr:row>
      <xdr:rowOff>379095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8</xdr:row>
      <xdr:rowOff>104775</xdr:rowOff>
    </xdr:from>
    <xdr:to>
      <xdr:col>15</xdr:col>
      <xdr:colOff>394970</xdr:colOff>
      <xdr:row>8</xdr:row>
      <xdr:rowOff>369570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3981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394418</xdr:colOff>
      <xdr:row>9</xdr:row>
      <xdr:rowOff>388620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394418</xdr:colOff>
      <xdr:row>9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9</xdr:row>
      <xdr:rowOff>104775</xdr:rowOff>
    </xdr:from>
    <xdr:to>
      <xdr:col>15</xdr:col>
      <xdr:colOff>394970</xdr:colOff>
      <xdr:row>9</xdr:row>
      <xdr:rowOff>379095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394970</xdr:colOff>
      <xdr:row>10</xdr:row>
      <xdr:rowOff>388620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394418</xdr:colOff>
      <xdr:row>10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10</xdr:row>
      <xdr:rowOff>104775</xdr:rowOff>
    </xdr:from>
    <xdr:to>
      <xdr:col>15</xdr:col>
      <xdr:colOff>394418</xdr:colOff>
      <xdr:row>10</xdr:row>
      <xdr:rowOff>379095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7</xdr:row>
      <xdr:rowOff>114300</xdr:rowOff>
    </xdr:from>
    <xdr:to>
      <xdr:col>21</xdr:col>
      <xdr:colOff>385445</xdr:colOff>
      <xdr:row>7</xdr:row>
      <xdr:rowOff>388620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7</xdr:row>
      <xdr:rowOff>114300</xdr:rowOff>
    </xdr:from>
    <xdr:to>
      <xdr:col>22</xdr:col>
      <xdr:colOff>385445</xdr:colOff>
      <xdr:row>7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104775</xdr:rowOff>
    </xdr:from>
    <xdr:to>
      <xdr:col>23</xdr:col>
      <xdr:colOff>403943</xdr:colOff>
      <xdr:row>7</xdr:row>
      <xdr:rowOff>379095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24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8</xdr:row>
      <xdr:rowOff>114300</xdr:rowOff>
    </xdr:from>
    <xdr:to>
      <xdr:col>17</xdr:col>
      <xdr:colOff>384893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8</xdr:row>
      <xdr:rowOff>114300</xdr:rowOff>
    </xdr:from>
    <xdr:to>
      <xdr:col>18</xdr:col>
      <xdr:colOff>385445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8</xdr:row>
      <xdr:rowOff>114300</xdr:rowOff>
    </xdr:from>
    <xdr:to>
      <xdr:col>19</xdr:col>
      <xdr:colOff>385445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8</xdr:row>
      <xdr:rowOff>114300</xdr:rowOff>
    </xdr:from>
    <xdr:to>
      <xdr:col>20</xdr:col>
      <xdr:colOff>385445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8</xdr:row>
      <xdr:rowOff>114300</xdr:rowOff>
    </xdr:from>
    <xdr:to>
      <xdr:col>21</xdr:col>
      <xdr:colOff>385445</xdr:colOff>
      <xdr:row>8</xdr:row>
      <xdr:rowOff>388620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8</xdr:row>
      <xdr:rowOff>114300</xdr:rowOff>
    </xdr:from>
    <xdr:to>
      <xdr:col>22</xdr:col>
      <xdr:colOff>385445</xdr:colOff>
      <xdr:row>8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104775</xdr:rowOff>
    </xdr:from>
    <xdr:to>
      <xdr:col>23</xdr:col>
      <xdr:colOff>404495</xdr:colOff>
      <xdr:row>8</xdr:row>
      <xdr:rowOff>379095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9</xdr:row>
      <xdr:rowOff>114300</xdr:rowOff>
    </xdr:from>
    <xdr:to>
      <xdr:col>17</xdr:col>
      <xdr:colOff>385445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9</xdr:row>
      <xdr:rowOff>114300</xdr:rowOff>
    </xdr:from>
    <xdr:to>
      <xdr:col>18</xdr:col>
      <xdr:colOff>385445</xdr:colOff>
      <xdr:row>9</xdr:row>
      <xdr:rowOff>379095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4481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9</xdr:row>
      <xdr:rowOff>114300</xdr:rowOff>
    </xdr:from>
    <xdr:to>
      <xdr:col>19</xdr:col>
      <xdr:colOff>385445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9</xdr:row>
      <xdr:rowOff>114300</xdr:rowOff>
    </xdr:from>
    <xdr:to>
      <xdr:col>20</xdr:col>
      <xdr:colOff>385445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9</xdr:row>
      <xdr:rowOff>114300</xdr:rowOff>
    </xdr:from>
    <xdr:to>
      <xdr:col>21</xdr:col>
      <xdr:colOff>385445</xdr:colOff>
      <xdr:row>9</xdr:row>
      <xdr:rowOff>388620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9</xdr:row>
      <xdr:rowOff>114300</xdr:rowOff>
    </xdr:from>
    <xdr:to>
      <xdr:col>22</xdr:col>
      <xdr:colOff>384893</xdr:colOff>
      <xdr:row>9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104775</xdr:rowOff>
    </xdr:from>
    <xdr:to>
      <xdr:col>23</xdr:col>
      <xdr:colOff>403943</xdr:colOff>
      <xdr:row>9</xdr:row>
      <xdr:rowOff>379095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38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10</xdr:row>
      <xdr:rowOff>114300</xdr:rowOff>
    </xdr:from>
    <xdr:to>
      <xdr:col>17</xdr:col>
      <xdr:colOff>385445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10</xdr:row>
      <xdr:rowOff>114300</xdr:rowOff>
    </xdr:from>
    <xdr:to>
      <xdr:col>18</xdr:col>
      <xdr:colOff>385445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10</xdr:row>
      <xdr:rowOff>114300</xdr:rowOff>
    </xdr:from>
    <xdr:to>
      <xdr:col>19</xdr:col>
      <xdr:colOff>385445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10</xdr:row>
      <xdr:rowOff>114300</xdr:rowOff>
    </xdr:from>
    <xdr:to>
      <xdr:col>20</xdr:col>
      <xdr:colOff>385445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10</xdr:row>
      <xdr:rowOff>114300</xdr:rowOff>
    </xdr:from>
    <xdr:to>
      <xdr:col>21</xdr:col>
      <xdr:colOff>385445</xdr:colOff>
      <xdr:row>10</xdr:row>
      <xdr:rowOff>388620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10</xdr:row>
      <xdr:rowOff>114300</xdr:rowOff>
    </xdr:from>
    <xdr:to>
      <xdr:col>22</xdr:col>
      <xdr:colOff>385445</xdr:colOff>
      <xdr:row>10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104775</xdr:rowOff>
    </xdr:from>
    <xdr:to>
      <xdr:col>23</xdr:col>
      <xdr:colOff>403943</xdr:colOff>
      <xdr:row>10</xdr:row>
      <xdr:rowOff>379095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895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11</xdr:row>
      <xdr:rowOff>114300</xdr:rowOff>
    </xdr:from>
    <xdr:to>
      <xdr:col>17</xdr:col>
      <xdr:colOff>384893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11</xdr:row>
      <xdr:rowOff>114300</xdr:rowOff>
    </xdr:from>
    <xdr:to>
      <xdr:col>18</xdr:col>
      <xdr:colOff>384893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53625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11</xdr:row>
      <xdr:rowOff>114300</xdr:rowOff>
    </xdr:from>
    <xdr:to>
      <xdr:col>19</xdr:col>
      <xdr:colOff>385445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11</xdr:row>
      <xdr:rowOff>114300</xdr:rowOff>
    </xdr:from>
    <xdr:to>
      <xdr:col>20</xdr:col>
      <xdr:colOff>385445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11</xdr:row>
      <xdr:rowOff>114300</xdr:rowOff>
    </xdr:from>
    <xdr:to>
      <xdr:col>21</xdr:col>
      <xdr:colOff>385445</xdr:colOff>
      <xdr:row>11</xdr:row>
      <xdr:rowOff>388620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11</xdr:row>
      <xdr:rowOff>114300</xdr:rowOff>
    </xdr:from>
    <xdr:to>
      <xdr:col>22</xdr:col>
      <xdr:colOff>385445</xdr:colOff>
      <xdr:row>11</xdr:row>
      <xdr:rowOff>388620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104775</xdr:rowOff>
    </xdr:from>
    <xdr:to>
      <xdr:col>23</xdr:col>
      <xdr:colOff>404495</xdr:colOff>
      <xdr:row>11</xdr:row>
      <xdr:rowOff>379095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53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16</xdr:row>
      <xdr:rowOff>114300</xdr:rowOff>
    </xdr:from>
    <xdr:to>
      <xdr:col>1</xdr:col>
      <xdr:colOff>375368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16</xdr:row>
      <xdr:rowOff>114300</xdr:rowOff>
    </xdr:from>
    <xdr:to>
      <xdr:col>2</xdr:col>
      <xdr:colOff>375368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16</xdr:row>
      <xdr:rowOff>114300</xdr:rowOff>
    </xdr:from>
    <xdr:to>
      <xdr:col>3</xdr:col>
      <xdr:colOff>375920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16</xdr:row>
      <xdr:rowOff>114300</xdr:rowOff>
    </xdr:from>
    <xdr:to>
      <xdr:col>4</xdr:col>
      <xdr:colOff>375920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114300</xdr:rowOff>
    </xdr:from>
    <xdr:to>
      <xdr:col>5</xdr:col>
      <xdr:colOff>375920</xdr:colOff>
      <xdr:row>16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375920</xdr:colOff>
      <xdr:row>16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379095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375920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375920</xdr:colOff>
      <xdr:row>17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394970</xdr:colOff>
      <xdr:row>17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375368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375368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394970</xdr:colOff>
      <xdr:row>18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375368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375368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375920</xdr:colOff>
      <xdr:row>19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16</xdr:row>
      <xdr:rowOff>114300</xdr:rowOff>
    </xdr:from>
    <xdr:to>
      <xdr:col>11</xdr:col>
      <xdr:colOff>384893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16</xdr:row>
      <xdr:rowOff>114300</xdr:rowOff>
    </xdr:from>
    <xdr:to>
      <xdr:col>12</xdr:col>
      <xdr:colOff>384893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16</xdr:row>
      <xdr:rowOff>114300</xdr:rowOff>
    </xdr:from>
    <xdr:to>
      <xdr:col>13</xdr:col>
      <xdr:colOff>385445</xdr:colOff>
      <xdr:row>16</xdr:row>
      <xdr:rowOff>388620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16</xdr:row>
      <xdr:rowOff>114300</xdr:rowOff>
    </xdr:from>
    <xdr:to>
      <xdr:col>14</xdr:col>
      <xdr:colOff>385445</xdr:colOff>
      <xdr:row>16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114300</xdr:rowOff>
    </xdr:from>
    <xdr:to>
      <xdr:col>15</xdr:col>
      <xdr:colOff>394970</xdr:colOff>
      <xdr:row>16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17</xdr:row>
      <xdr:rowOff>114300</xdr:rowOff>
    </xdr:from>
    <xdr:to>
      <xdr:col>9</xdr:col>
      <xdr:colOff>385445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17</xdr:row>
      <xdr:rowOff>114300</xdr:rowOff>
    </xdr:from>
    <xdr:to>
      <xdr:col>10</xdr:col>
      <xdr:colOff>385445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17</xdr:row>
      <xdr:rowOff>114300</xdr:rowOff>
    </xdr:from>
    <xdr:to>
      <xdr:col>11</xdr:col>
      <xdr:colOff>385445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17</xdr:row>
      <xdr:rowOff>114300</xdr:rowOff>
    </xdr:from>
    <xdr:to>
      <xdr:col>12</xdr:col>
      <xdr:colOff>385445</xdr:colOff>
      <xdr:row>17</xdr:row>
      <xdr:rowOff>379095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17</xdr:row>
      <xdr:rowOff>114300</xdr:rowOff>
    </xdr:from>
    <xdr:to>
      <xdr:col>13</xdr:col>
      <xdr:colOff>385445</xdr:colOff>
      <xdr:row>17</xdr:row>
      <xdr:rowOff>388620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17</xdr:row>
      <xdr:rowOff>114300</xdr:rowOff>
    </xdr:from>
    <xdr:to>
      <xdr:col>14</xdr:col>
      <xdr:colOff>385445</xdr:colOff>
      <xdr:row>17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114300</xdr:rowOff>
    </xdr:from>
    <xdr:to>
      <xdr:col>15</xdr:col>
      <xdr:colOff>394970</xdr:colOff>
      <xdr:row>17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18</xdr:row>
      <xdr:rowOff>114300</xdr:rowOff>
    </xdr:from>
    <xdr:to>
      <xdr:col>9</xdr:col>
      <xdr:colOff>385445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18</xdr:row>
      <xdr:rowOff>114300</xdr:rowOff>
    </xdr:from>
    <xdr:to>
      <xdr:col>10</xdr:col>
      <xdr:colOff>385445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18</xdr:row>
      <xdr:rowOff>114300</xdr:rowOff>
    </xdr:from>
    <xdr:to>
      <xdr:col>11</xdr:col>
      <xdr:colOff>384893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18</xdr:row>
      <xdr:rowOff>114300</xdr:rowOff>
    </xdr:from>
    <xdr:to>
      <xdr:col>12</xdr:col>
      <xdr:colOff>384893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18</xdr:row>
      <xdr:rowOff>114300</xdr:rowOff>
    </xdr:from>
    <xdr:to>
      <xdr:col>13</xdr:col>
      <xdr:colOff>385445</xdr:colOff>
      <xdr:row>18</xdr:row>
      <xdr:rowOff>388620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18</xdr:row>
      <xdr:rowOff>114300</xdr:rowOff>
    </xdr:from>
    <xdr:to>
      <xdr:col>14</xdr:col>
      <xdr:colOff>385445</xdr:colOff>
      <xdr:row>18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114300</xdr:rowOff>
    </xdr:from>
    <xdr:to>
      <xdr:col>15</xdr:col>
      <xdr:colOff>394970</xdr:colOff>
      <xdr:row>18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19</xdr:row>
      <xdr:rowOff>114300</xdr:rowOff>
    </xdr:from>
    <xdr:to>
      <xdr:col>9</xdr:col>
      <xdr:colOff>385445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19</xdr:row>
      <xdr:rowOff>114300</xdr:rowOff>
    </xdr:from>
    <xdr:to>
      <xdr:col>10</xdr:col>
      <xdr:colOff>385445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19</xdr:row>
      <xdr:rowOff>114300</xdr:rowOff>
    </xdr:from>
    <xdr:to>
      <xdr:col>11</xdr:col>
      <xdr:colOff>385445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19</xdr:row>
      <xdr:rowOff>114300</xdr:rowOff>
    </xdr:from>
    <xdr:to>
      <xdr:col>12</xdr:col>
      <xdr:colOff>384893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19</xdr:row>
      <xdr:rowOff>114300</xdr:rowOff>
    </xdr:from>
    <xdr:to>
      <xdr:col>13</xdr:col>
      <xdr:colOff>384893</xdr:colOff>
      <xdr:row>19</xdr:row>
      <xdr:rowOff>388620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19</xdr:row>
      <xdr:rowOff>114300</xdr:rowOff>
    </xdr:from>
    <xdr:to>
      <xdr:col>14</xdr:col>
      <xdr:colOff>385445</xdr:colOff>
      <xdr:row>19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114300</xdr:rowOff>
    </xdr:from>
    <xdr:to>
      <xdr:col>15</xdr:col>
      <xdr:colOff>394970</xdr:colOff>
      <xdr:row>19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20</xdr:row>
      <xdr:rowOff>114300</xdr:rowOff>
    </xdr:from>
    <xdr:to>
      <xdr:col>9</xdr:col>
      <xdr:colOff>385445</xdr:colOff>
      <xdr:row>20</xdr:row>
      <xdr:rowOff>388620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20</xdr:row>
      <xdr:rowOff>114300</xdr:rowOff>
    </xdr:from>
    <xdr:to>
      <xdr:col>10</xdr:col>
      <xdr:colOff>385445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20</xdr:row>
      <xdr:rowOff>114300</xdr:rowOff>
    </xdr:from>
    <xdr:to>
      <xdr:col>11</xdr:col>
      <xdr:colOff>385445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20</xdr:row>
      <xdr:rowOff>114300</xdr:rowOff>
    </xdr:from>
    <xdr:to>
      <xdr:col>12</xdr:col>
      <xdr:colOff>384893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20</xdr:row>
      <xdr:rowOff>114300</xdr:rowOff>
    </xdr:from>
    <xdr:to>
      <xdr:col>13</xdr:col>
      <xdr:colOff>384893</xdr:colOff>
      <xdr:row>20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16</xdr:row>
      <xdr:rowOff>114300</xdr:rowOff>
    </xdr:from>
    <xdr:to>
      <xdr:col>22</xdr:col>
      <xdr:colOff>404495</xdr:colOff>
      <xdr:row>16</xdr:row>
      <xdr:rowOff>388620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114300</xdr:rowOff>
    </xdr:from>
    <xdr:to>
      <xdr:col>23</xdr:col>
      <xdr:colOff>394970</xdr:colOff>
      <xdr:row>16</xdr:row>
      <xdr:rowOff>388620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17</xdr:row>
      <xdr:rowOff>114300</xdr:rowOff>
    </xdr:from>
    <xdr:to>
      <xdr:col>17</xdr:col>
      <xdr:colOff>404495</xdr:colOff>
      <xdr:row>17</xdr:row>
      <xdr:rowOff>388620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17</xdr:row>
      <xdr:rowOff>114300</xdr:rowOff>
    </xdr:from>
    <xdr:to>
      <xdr:col>18</xdr:col>
      <xdr:colOff>404495</xdr:colOff>
      <xdr:row>17</xdr:row>
      <xdr:rowOff>388620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17</xdr:row>
      <xdr:rowOff>114300</xdr:rowOff>
    </xdr:from>
    <xdr:to>
      <xdr:col>19</xdr:col>
      <xdr:colOff>404495</xdr:colOff>
      <xdr:row>17</xdr:row>
      <xdr:rowOff>388620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17</xdr:row>
      <xdr:rowOff>114300</xdr:rowOff>
    </xdr:from>
    <xdr:to>
      <xdr:col>20</xdr:col>
      <xdr:colOff>404495</xdr:colOff>
      <xdr:row>17</xdr:row>
      <xdr:rowOff>388620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17</xdr:row>
      <xdr:rowOff>114300</xdr:rowOff>
    </xdr:from>
    <xdr:to>
      <xdr:col>21</xdr:col>
      <xdr:colOff>404495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17</xdr:row>
      <xdr:rowOff>114300</xdr:rowOff>
    </xdr:from>
    <xdr:to>
      <xdr:col>22</xdr:col>
      <xdr:colOff>404495</xdr:colOff>
      <xdr:row>17</xdr:row>
      <xdr:rowOff>379095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78486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114300</xdr:rowOff>
    </xdr:from>
    <xdr:to>
      <xdr:col>23</xdr:col>
      <xdr:colOff>394970</xdr:colOff>
      <xdr:row>17</xdr:row>
      <xdr:rowOff>388620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18</xdr:row>
      <xdr:rowOff>114300</xdr:rowOff>
    </xdr:from>
    <xdr:to>
      <xdr:col>17</xdr:col>
      <xdr:colOff>404495</xdr:colOff>
      <xdr:row>18</xdr:row>
      <xdr:rowOff>388620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18</xdr:row>
      <xdr:rowOff>114300</xdr:rowOff>
    </xdr:from>
    <xdr:to>
      <xdr:col>18</xdr:col>
      <xdr:colOff>404495</xdr:colOff>
      <xdr:row>18</xdr:row>
      <xdr:rowOff>388620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18</xdr:row>
      <xdr:rowOff>114300</xdr:rowOff>
    </xdr:from>
    <xdr:to>
      <xdr:col>19</xdr:col>
      <xdr:colOff>404495</xdr:colOff>
      <xdr:row>18</xdr:row>
      <xdr:rowOff>388620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18</xdr:row>
      <xdr:rowOff>114300</xdr:rowOff>
    </xdr:from>
    <xdr:to>
      <xdr:col>20</xdr:col>
      <xdr:colOff>403943</xdr:colOff>
      <xdr:row>18</xdr:row>
      <xdr:rowOff>388620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18</xdr:row>
      <xdr:rowOff>114300</xdr:rowOff>
    </xdr:from>
    <xdr:to>
      <xdr:col>21</xdr:col>
      <xdr:colOff>403943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18</xdr:row>
      <xdr:rowOff>114300</xdr:rowOff>
    </xdr:from>
    <xdr:to>
      <xdr:col>22</xdr:col>
      <xdr:colOff>404495</xdr:colOff>
      <xdr:row>18</xdr:row>
      <xdr:rowOff>388620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114300</xdr:rowOff>
    </xdr:from>
    <xdr:to>
      <xdr:col>23</xdr:col>
      <xdr:colOff>394970</xdr:colOff>
      <xdr:row>18</xdr:row>
      <xdr:rowOff>388620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19</xdr:row>
      <xdr:rowOff>114300</xdr:rowOff>
    </xdr:from>
    <xdr:to>
      <xdr:col>17</xdr:col>
      <xdr:colOff>404495</xdr:colOff>
      <xdr:row>19</xdr:row>
      <xdr:rowOff>388620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19</xdr:row>
      <xdr:rowOff>114300</xdr:rowOff>
    </xdr:from>
    <xdr:to>
      <xdr:col>18</xdr:col>
      <xdr:colOff>404495</xdr:colOff>
      <xdr:row>19</xdr:row>
      <xdr:rowOff>388620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19</xdr:row>
      <xdr:rowOff>114300</xdr:rowOff>
    </xdr:from>
    <xdr:to>
      <xdr:col>19</xdr:col>
      <xdr:colOff>404495</xdr:colOff>
      <xdr:row>19</xdr:row>
      <xdr:rowOff>388620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19</xdr:row>
      <xdr:rowOff>114300</xdr:rowOff>
    </xdr:from>
    <xdr:to>
      <xdr:col>20</xdr:col>
      <xdr:colOff>404495</xdr:colOff>
      <xdr:row>19</xdr:row>
      <xdr:rowOff>388620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19</xdr:row>
      <xdr:rowOff>114300</xdr:rowOff>
    </xdr:from>
    <xdr:to>
      <xdr:col>21</xdr:col>
      <xdr:colOff>403943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19</xdr:row>
      <xdr:rowOff>114300</xdr:rowOff>
    </xdr:from>
    <xdr:to>
      <xdr:col>22</xdr:col>
      <xdr:colOff>403943</xdr:colOff>
      <xdr:row>19</xdr:row>
      <xdr:rowOff>388620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114300</xdr:rowOff>
    </xdr:from>
    <xdr:to>
      <xdr:col>23</xdr:col>
      <xdr:colOff>394970</xdr:colOff>
      <xdr:row>19</xdr:row>
      <xdr:rowOff>388620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20</xdr:row>
      <xdr:rowOff>114300</xdr:rowOff>
    </xdr:from>
    <xdr:to>
      <xdr:col>17</xdr:col>
      <xdr:colOff>404495</xdr:colOff>
      <xdr:row>20</xdr:row>
      <xdr:rowOff>388620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20</xdr:row>
      <xdr:rowOff>114300</xdr:rowOff>
    </xdr:from>
    <xdr:to>
      <xdr:col>18</xdr:col>
      <xdr:colOff>404495</xdr:colOff>
      <xdr:row>20</xdr:row>
      <xdr:rowOff>388620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20</xdr:row>
      <xdr:rowOff>114300</xdr:rowOff>
    </xdr:from>
    <xdr:to>
      <xdr:col>19</xdr:col>
      <xdr:colOff>404495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20</xdr:row>
      <xdr:rowOff>114300</xdr:rowOff>
    </xdr:from>
    <xdr:to>
      <xdr:col>20</xdr:col>
      <xdr:colOff>404495</xdr:colOff>
      <xdr:row>20</xdr:row>
      <xdr:rowOff>388620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20</xdr:row>
      <xdr:rowOff>114300</xdr:rowOff>
    </xdr:from>
    <xdr:to>
      <xdr:col>21</xdr:col>
      <xdr:colOff>403943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20</xdr:row>
      <xdr:rowOff>114300</xdr:rowOff>
    </xdr:from>
    <xdr:to>
      <xdr:col>22</xdr:col>
      <xdr:colOff>403943</xdr:colOff>
      <xdr:row>20</xdr:row>
      <xdr:rowOff>388620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92202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114300</xdr:rowOff>
    </xdr:from>
    <xdr:to>
      <xdr:col>23</xdr:col>
      <xdr:colOff>394970</xdr:colOff>
      <xdr:row>20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25</xdr:row>
      <xdr:rowOff>114300</xdr:rowOff>
    </xdr:from>
    <xdr:to>
      <xdr:col>1</xdr:col>
      <xdr:colOff>375920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25</xdr:row>
      <xdr:rowOff>114300</xdr:rowOff>
    </xdr:from>
    <xdr:to>
      <xdr:col>2</xdr:col>
      <xdr:colOff>375920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375920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25</xdr:row>
      <xdr:rowOff>114300</xdr:rowOff>
    </xdr:from>
    <xdr:to>
      <xdr:col>7</xdr:col>
      <xdr:colOff>404495</xdr:colOff>
      <xdr:row>25</xdr:row>
      <xdr:rowOff>379095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2490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375920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375920</xdr:colOff>
      <xdr:row>26</xdr:row>
      <xdr:rowOff>388620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375368</xdr:colOff>
      <xdr:row>26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26</xdr:row>
      <xdr:rowOff>114300</xdr:rowOff>
    </xdr:from>
    <xdr:to>
      <xdr:col>7</xdr:col>
      <xdr:colOff>403943</xdr:colOff>
      <xdr:row>26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375920</xdr:colOff>
      <xdr:row>27</xdr:row>
      <xdr:rowOff>388620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27</xdr:row>
      <xdr:rowOff>114300</xdr:rowOff>
    </xdr:from>
    <xdr:to>
      <xdr:col>7</xdr:col>
      <xdr:colOff>403943</xdr:colOff>
      <xdr:row>27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375368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375368</xdr:colOff>
      <xdr:row>28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28</xdr:row>
      <xdr:rowOff>114300</xdr:rowOff>
    </xdr:from>
    <xdr:to>
      <xdr:col>7</xdr:col>
      <xdr:colOff>403943</xdr:colOff>
      <xdr:row>28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25</xdr:row>
      <xdr:rowOff>114300</xdr:rowOff>
    </xdr:from>
    <xdr:to>
      <xdr:col>12</xdr:col>
      <xdr:colOff>404495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25</xdr:row>
      <xdr:rowOff>114300</xdr:rowOff>
    </xdr:from>
    <xdr:to>
      <xdr:col>13</xdr:col>
      <xdr:colOff>404495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25</xdr:row>
      <xdr:rowOff>114300</xdr:rowOff>
    </xdr:from>
    <xdr:to>
      <xdr:col>14</xdr:col>
      <xdr:colOff>404495</xdr:colOff>
      <xdr:row>25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25</xdr:row>
      <xdr:rowOff>114300</xdr:rowOff>
    </xdr:from>
    <xdr:to>
      <xdr:col>15</xdr:col>
      <xdr:colOff>404495</xdr:colOff>
      <xdr:row>25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26</xdr:row>
      <xdr:rowOff>114300</xdr:rowOff>
    </xdr:from>
    <xdr:to>
      <xdr:col>9</xdr:col>
      <xdr:colOff>404495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26</xdr:row>
      <xdr:rowOff>114300</xdr:rowOff>
    </xdr:from>
    <xdr:to>
      <xdr:col>10</xdr:col>
      <xdr:colOff>404495</xdr:colOff>
      <xdr:row>26</xdr:row>
      <xdr:rowOff>379095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17062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26</xdr:row>
      <xdr:rowOff>114300</xdr:rowOff>
    </xdr:from>
    <xdr:to>
      <xdr:col>11</xdr:col>
      <xdr:colOff>404495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26</xdr:row>
      <xdr:rowOff>114300</xdr:rowOff>
    </xdr:from>
    <xdr:to>
      <xdr:col>12</xdr:col>
      <xdr:colOff>404495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26</xdr:row>
      <xdr:rowOff>114300</xdr:rowOff>
    </xdr:from>
    <xdr:to>
      <xdr:col>13</xdr:col>
      <xdr:colOff>404495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26</xdr:row>
      <xdr:rowOff>114300</xdr:rowOff>
    </xdr:from>
    <xdr:to>
      <xdr:col>14</xdr:col>
      <xdr:colOff>404495</xdr:colOff>
      <xdr:row>26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26</xdr:row>
      <xdr:rowOff>114300</xdr:rowOff>
    </xdr:from>
    <xdr:to>
      <xdr:col>15</xdr:col>
      <xdr:colOff>404495</xdr:colOff>
      <xdr:row>26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27</xdr:row>
      <xdr:rowOff>114300</xdr:rowOff>
    </xdr:from>
    <xdr:to>
      <xdr:col>9</xdr:col>
      <xdr:colOff>403943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27</xdr:row>
      <xdr:rowOff>114300</xdr:rowOff>
    </xdr:from>
    <xdr:to>
      <xdr:col>10</xdr:col>
      <xdr:colOff>403943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27</xdr:row>
      <xdr:rowOff>114300</xdr:rowOff>
    </xdr:from>
    <xdr:to>
      <xdr:col>11</xdr:col>
      <xdr:colOff>404495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27</xdr:row>
      <xdr:rowOff>114300</xdr:rowOff>
    </xdr:from>
    <xdr:to>
      <xdr:col>12</xdr:col>
      <xdr:colOff>404495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27</xdr:row>
      <xdr:rowOff>114300</xdr:rowOff>
    </xdr:from>
    <xdr:to>
      <xdr:col>13</xdr:col>
      <xdr:colOff>404495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27</xdr:row>
      <xdr:rowOff>114300</xdr:rowOff>
    </xdr:from>
    <xdr:to>
      <xdr:col>14</xdr:col>
      <xdr:colOff>404495</xdr:colOff>
      <xdr:row>27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27</xdr:row>
      <xdr:rowOff>114300</xdr:rowOff>
    </xdr:from>
    <xdr:to>
      <xdr:col>15</xdr:col>
      <xdr:colOff>404495</xdr:colOff>
      <xdr:row>27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28</xdr:row>
      <xdr:rowOff>114300</xdr:rowOff>
    </xdr:from>
    <xdr:to>
      <xdr:col>9</xdr:col>
      <xdr:colOff>403943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28</xdr:row>
      <xdr:rowOff>114300</xdr:rowOff>
    </xdr:from>
    <xdr:to>
      <xdr:col>10</xdr:col>
      <xdr:colOff>403943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26206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28</xdr:row>
      <xdr:rowOff>114300</xdr:rowOff>
    </xdr:from>
    <xdr:to>
      <xdr:col>11</xdr:col>
      <xdr:colOff>404495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28</xdr:row>
      <xdr:rowOff>114300</xdr:rowOff>
    </xdr:from>
    <xdr:to>
      <xdr:col>12</xdr:col>
      <xdr:colOff>404495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28</xdr:row>
      <xdr:rowOff>114300</xdr:rowOff>
    </xdr:from>
    <xdr:to>
      <xdr:col>13</xdr:col>
      <xdr:colOff>404495</xdr:colOff>
      <xdr:row>28</xdr:row>
      <xdr:rowOff>388620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28</xdr:row>
      <xdr:rowOff>114300</xdr:rowOff>
    </xdr:from>
    <xdr:to>
      <xdr:col>14</xdr:col>
      <xdr:colOff>404495</xdr:colOff>
      <xdr:row>28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130175</xdr:colOff>
      <xdr:row>28</xdr:row>
      <xdr:rowOff>114300</xdr:rowOff>
    </xdr:from>
    <xdr:to>
      <xdr:col>15</xdr:col>
      <xdr:colOff>404495</xdr:colOff>
      <xdr:row>28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9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130175</xdr:colOff>
      <xdr:row>29</xdr:row>
      <xdr:rowOff>114300</xdr:rowOff>
    </xdr:from>
    <xdr:to>
      <xdr:col>9</xdr:col>
      <xdr:colOff>403943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130175</xdr:colOff>
      <xdr:row>29</xdr:row>
      <xdr:rowOff>114300</xdr:rowOff>
    </xdr:from>
    <xdr:to>
      <xdr:col>10</xdr:col>
      <xdr:colOff>403943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0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130175</xdr:colOff>
      <xdr:row>29</xdr:row>
      <xdr:rowOff>114300</xdr:rowOff>
    </xdr:from>
    <xdr:to>
      <xdr:col>11</xdr:col>
      <xdr:colOff>404495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130175</xdr:colOff>
      <xdr:row>29</xdr:row>
      <xdr:rowOff>114300</xdr:rowOff>
    </xdr:from>
    <xdr:to>
      <xdr:col>12</xdr:col>
      <xdr:colOff>404495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130175</xdr:colOff>
      <xdr:row>29</xdr:row>
      <xdr:rowOff>114300</xdr:rowOff>
    </xdr:from>
    <xdr:to>
      <xdr:col>13</xdr:col>
      <xdr:colOff>404495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3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130175</xdr:colOff>
      <xdr:row>29</xdr:row>
      <xdr:rowOff>114300</xdr:rowOff>
    </xdr:from>
    <xdr:to>
      <xdr:col>14</xdr:col>
      <xdr:colOff>404495</xdr:colOff>
      <xdr:row>29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25</xdr:row>
      <xdr:rowOff>104775</xdr:rowOff>
    </xdr:from>
    <xdr:to>
      <xdr:col>23</xdr:col>
      <xdr:colOff>394970</xdr:colOff>
      <xdr:row>25</xdr:row>
      <xdr:rowOff>379095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26</xdr:row>
      <xdr:rowOff>85725</xdr:rowOff>
    </xdr:from>
    <xdr:to>
      <xdr:col>17</xdr:col>
      <xdr:colOff>404495</xdr:colOff>
      <xdr:row>26</xdr:row>
      <xdr:rowOff>360045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26</xdr:row>
      <xdr:rowOff>85725</xdr:rowOff>
    </xdr:from>
    <xdr:to>
      <xdr:col>18</xdr:col>
      <xdr:colOff>404495</xdr:colOff>
      <xdr:row>26</xdr:row>
      <xdr:rowOff>360045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26</xdr:row>
      <xdr:rowOff>85725</xdr:rowOff>
    </xdr:from>
    <xdr:to>
      <xdr:col>19</xdr:col>
      <xdr:colOff>404495</xdr:colOff>
      <xdr:row>26</xdr:row>
      <xdr:rowOff>350520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1677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26</xdr:row>
      <xdr:rowOff>85725</xdr:rowOff>
    </xdr:from>
    <xdr:to>
      <xdr:col>20</xdr:col>
      <xdr:colOff>404495</xdr:colOff>
      <xdr:row>26</xdr:row>
      <xdr:rowOff>360045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26</xdr:row>
      <xdr:rowOff>85725</xdr:rowOff>
    </xdr:from>
    <xdr:to>
      <xdr:col>21</xdr:col>
      <xdr:colOff>404495</xdr:colOff>
      <xdr:row>26</xdr:row>
      <xdr:rowOff>360045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26</xdr:row>
      <xdr:rowOff>85725</xdr:rowOff>
    </xdr:from>
    <xdr:to>
      <xdr:col>22</xdr:col>
      <xdr:colOff>404495</xdr:colOff>
      <xdr:row>26</xdr:row>
      <xdr:rowOff>360045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1677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26</xdr:row>
      <xdr:rowOff>104775</xdr:rowOff>
    </xdr:from>
    <xdr:to>
      <xdr:col>23</xdr:col>
      <xdr:colOff>394970</xdr:colOff>
      <xdr:row>26</xdr:row>
      <xdr:rowOff>379095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27</xdr:row>
      <xdr:rowOff>85725</xdr:rowOff>
    </xdr:from>
    <xdr:to>
      <xdr:col>17</xdr:col>
      <xdr:colOff>404495</xdr:colOff>
      <xdr:row>27</xdr:row>
      <xdr:rowOff>360045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27</xdr:row>
      <xdr:rowOff>85725</xdr:rowOff>
    </xdr:from>
    <xdr:to>
      <xdr:col>18</xdr:col>
      <xdr:colOff>403943</xdr:colOff>
      <xdr:row>27</xdr:row>
      <xdr:rowOff>360045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13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27</xdr:row>
      <xdr:rowOff>85725</xdr:rowOff>
    </xdr:from>
    <xdr:to>
      <xdr:col>19</xdr:col>
      <xdr:colOff>403943</xdr:colOff>
      <xdr:row>27</xdr:row>
      <xdr:rowOff>360045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13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27</xdr:row>
      <xdr:rowOff>85725</xdr:rowOff>
    </xdr:from>
    <xdr:to>
      <xdr:col>20</xdr:col>
      <xdr:colOff>404495</xdr:colOff>
      <xdr:row>27</xdr:row>
      <xdr:rowOff>360045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27</xdr:row>
      <xdr:rowOff>85725</xdr:rowOff>
    </xdr:from>
    <xdr:to>
      <xdr:col>21</xdr:col>
      <xdr:colOff>404495</xdr:colOff>
      <xdr:row>27</xdr:row>
      <xdr:rowOff>360045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27</xdr:row>
      <xdr:rowOff>85725</xdr:rowOff>
    </xdr:from>
    <xdr:to>
      <xdr:col>22</xdr:col>
      <xdr:colOff>404495</xdr:colOff>
      <xdr:row>27</xdr:row>
      <xdr:rowOff>360045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13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27</xdr:row>
      <xdr:rowOff>104775</xdr:rowOff>
    </xdr:from>
    <xdr:to>
      <xdr:col>23</xdr:col>
      <xdr:colOff>394970</xdr:colOff>
      <xdr:row>27</xdr:row>
      <xdr:rowOff>379095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28</xdr:row>
      <xdr:rowOff>85725</xdr:rowOff>
    </xdr:from>
    <xdr:to>
      <xdr:col>17</xdr:col>
      <xdr:colOff>404495</xdr:colOff>
      <xdr:row>28</xdr:row>
      <xdr:rowOff>360045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28</xdr:row>
      <xdr:rowOff>85725</xdr:rowOff>
    </xdr:from>
    <xdr:to>
      <xdr:col>18</xdr:col>
      <xdr:colOff>403943</xdr:colOff>
      <xdr:row>28</xdr:row>
      <xdr:rowOff>360045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259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28</xdr:row>
      <xdr:rowOff>85725</xdr:rowOff>
    </xdr:from>
    <xdr:to>
      <xdr:col>19</xdr:col>
      <xdr:colOff>403943</xdr:colOff>
      <xdr:row>28</xdr:row>
      <xdr:rowOff>360045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259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28</xdr:row>
      <xdr:rowOff>85725</xdr:rowOff>
    </xdr:from>
    <xdr:to>
      <xdr:col>20</xdr:col>
      <xdr:colOff>404495</xdr:colOff>
      <xdr:row>28</xdr:row>
      <xdr:rowOff>360045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28</xdr:row>
      <xdr:rowOff>85725</xdr:rowOff>
    </xdr:from>
    <xdr:to>
      <xdr:col>21</xdr:col>
      <xdr:colOff>404495</xdr:colOff>
      <xdr:row>28</xdr:row>
      <xdr:rowOff>360045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28</xdr:row>
      <xdr:rowOff>85725</xdr:rowOff>
    </xdr:from>
    <xdr:to>
      <xdr:col>22</xdr:col>
      <xdr:colOff>404495</xdr:colOff>
      <xdr:row>28</xdr:row>
      <xdr:rowOff>360045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259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28</xdr:row>
      <xdr:rowOff>104775</xdr:rowOff>
    </xdr:from>
    <xdr:to>
      <xdr:col>23</xdr:col>
      <xdr:colOff>394970</xdr:colOff>
      <xdr:row>28</xdr:row>
      <xdr:rowOff>379095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29</xdr:row>
      <xdr:rowOff>85725</xdr:rowOff>
    </xdr:from>
    <xdr:to>
      <xdr:col>17</xdr:col>
      <xdr:colOff>404495</xdr:colOff>
      <xdr:row>29</xdr:row>
      <xdr:rowOff>360045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29</xdr:row>
      <xdr:rowOff>85725</xdr:rowOff>
    </xdr:from>
    <xdr:to>
      <xdr:col>18</xdr:col>
      <xdr:colOff>403943</xdr:colOff>
      <xdr:row>29</xdr:row>
      <xdr:rowOff>360045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304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29</xdr:row>
      <xdr:rowOff>85725</xdr:rowOff>
    </xdr:from>
    <xdr:to>
      <xdr:col>19</xdr:col>
      <xdr:colOff>403943</xdr:colOff>
      <xdr:row>29</xdr:row>
      <xdr:rowOff>360045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304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29</xdr:row>
      <xdr:rowOff>85725</xdr:rowOff>
    </xdr:from>
    <xdr:to>
      <xdr:col>20</xdr:col>
      <xdr:colOff>404495</xdr:colOff>
      <xdr:row>29</xdr:row>
      <xdr:rowOff>360045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29</xdr:row>
      <xdr:rowOff>85725</xdr:rowOff>
    </xdr:from>
    <xdr:to>
      <xdr:col>21</xdr:col>
      <xdr:colOff>404495</xdr:colOff>
      <xdr:row>29</xdr:row>
      <xdr:rowOff>360045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29</xdr:row>
      <xdr:rowOff>85725</xdr:rowOff>
    </xdr:from>
    <xdr:to>
      <xdr:col>22</xdr:col>
      <xdr:colOff>404495</xdr:colOff>
      <xdr:row>29</xdr:row>
      <xdr:rowOff>360045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304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29</xdr:row>
      <xdr:rowOff>104775</xdr:rowOff>
    </xdr:from>
    <xdr:to>
      <xdr:col>23</xdr:col>
      <xdr:colOff>394970</xdr:colOff>
      <xdr:row>29</xdr:row>
      <xdr:rowOff>379095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3068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30</xdr:row>
      <xdr:rowOff>85725</xdr:rowOff>
    </xdr:from>
    <xdr:to>
      <xdr:col>17</xdr:col>
      <xdr:colOff>404495</xdr:colOff>
      <xdr:row>30</xdr:row>
      <xdr:rowOff>360045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350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34</xdr:row>
      <xdr:rowOff>114300</xdr:rowOff>
    </xdr:from>
    <xdr:to>
      <xdr:col>2</xdr:col>
      <xdr:colOff>394970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34</xdr:row>
      <xdr:rowOff>114300</xdr:rowOff>
    </xdr:from>
    <xdr:to>
      <xdr:col>3</xdr:col>
      <xdr:colOff>394970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394970</xdr:colOff>
      <xdr:row>34</xdr:row>
      <xdr:rowOff>379095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34</xdr:row>
      <xdr:rowOff>114300</xdr:rowOff>
    </xdr:from>
    <xdr:to>
      <xdr:col>7</xdr:col>
      <xdr:colOff>385445</xdr:colOff>
      <xdr:row>34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394418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394418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394970</xdr:colOff>
      <xdr:row>35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35</xdr:row>
      <xdr:rowOff>114300</xdr:rowOff>
    </xdr:from>
    <xdr:to>
      <xdr:col>7</xdr:col>
      <xdr:colOff>385445</xdr:colOff>
      <xdr:row>35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394970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394418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394418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36</xdr:row>
      <xdr:rowOff>114300</xdr:rowOff>
    </xdr:from>
    <xdr:to>
      <xdr:col>7</xdr:col>
      <xdr:colOff>385445</xdr:colOff>
      <xdr:row>36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37</xdr:row>
      <xdr:rowOff>114300</xdr:rowOff>
    </xdr:from>
    <xdr:to>
      <xdr:col>1</xdr:col>
      <xdr:colOff>394970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37</xdr:row>
      <xdr:rowOff>114300</xdr:rowOff>
    </xdr:from>
    <xdr:to>
      <xdr:col>2</xdr:col>
      <xdr:colOff>394970</xdr:colOff>
      <xdr:row>37</xdr:row>
      <xdr:rowOff>388620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37</xdr:row>
      <xdr:rowOff>114300</xdr:rowOff>
    </xdr:from>
    <xdr:to>
      <xdr:col>3</xdr:col>
      <xdr:colOff>394970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37</xdr:row>
      <xdr:rowOff>114300</xdr:rowOff>
    </xdr:from>
    <xdr:to>
      <xdr:col>4</xdr:col>
      <xdr:colOff>394418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37</xdr:row>
      <xdr:rowOff>114300</xdr:rowOff>
    </xdr:from>
    <xdr:to>
      <xdr:col>5</xdr:col>
      <xdr:colOff>394418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37</xdr:row>
      <xdr:rowOff>114300</xdr:rowOff>
    </xdr:from>
    <xdr:to>
      <xdr:col>6</xdr:col>
      <xdr:colOff>394970</xdr:colOff>
      <xdr:row>37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37</xdr:row>
      <xdr:rowOff>114300</xdr:rowOff>
    </xdr:from>
    <xdr:to>
      <xdr:col>7</xdr:col>
      <xdr:colOff>385445</xdr:colOff>
      <xdr:row>37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114300</xdr:rowOff>
    </xdr:from>
    <xdr:to>
      <xdr:col>1</xdr:col>
      <xdr:colOff>394970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38</xdr:row>
      <xdr:rowOff>114300</xdr:rowOff>
    </xdr:from>
    <xdr:to>
      <xdr:col>2</xdr:col>
      <xdr:colOff>394970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38</xdr:row>
      <xdr:rowOff>114300</xdr:rowOff>
    </xdr:from>
    <xdr:to>
      <xdr:col>3</xdr:col>
      <xdr:colOff>394970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38</xdr:row>
      <xdr:rowOff>114300</xdr:rowOff>
    </xdr:from>
    <xdr:to>
      <xdr:col>4</xdr:col>
      <xdr:colOff>394970</xdr:colOff>
      <xdr:row>38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34</xdr:row>
      <xdr:rowOff>114300</xdr:rowOff>
    </xdr:from>
    <xdr:to>
      <xdr:col>13</xdr:col>
      <xdr:colOff>385445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385445</xdr:colOff>
      <xdr:row>34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104775</xdr:rowOff>
    </xdr:from>
    <xdr:to>
      <xdr:col>15</xdr:col>
      <xdr:colOff>394970</xdr:colOff>
      <xdr:row>34</xdr:row>
      <xdr:rowOff>369570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097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384893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384893</xdr:colOff>
      <xdr:row>35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104775</xdr:rowOff>
    </xdr:from>
    <xdr:to>
      <xdr:col>15</xdr:col>
      <xdr:colOff>394970</xdr:colOff>
      <xdr:row>35</xdr:row>
      <xdr:rowOff>379095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384893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384893</xdr:colOff>
      <xdr:row>36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104775</xdr:rowOff>
    </xdr:from>
    <xdr:to>
      <xdr:col>15</xdr:col>
      <xdr:colOff>394970</xdr:colOff>
      <xdr:row>36</xdr:row>
      <xdr:rowOff>379095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11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384893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384893</xdr:colOff>
      <xdr:row>37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104775</xdr:rowOff>
    </xdr:from>
    <xdr:to>
      <xdr:col>15</xdr:col>
      <xdr:colOff>394970</xdr:colOff>
      <xdr:row>37</xdr:row>
      <xdr:rowOff>379095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68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114300</xdr:rowOff>
    </xdr:from>
    <xdr:to>
      <xdr:col>13</xdr:col>
      <xdr:colOff>385445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114300</xdr:rowOff>
    </xdr:from>
    <xdr:to>
      <xdr:col>14</xdr:col>
      <xdr:colOff>385445</xdr:colOff>
      <xdr:row>38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114300</xdr:rowOff>
    </xdr:from>
    <xdr:to>
      <xdr:col>23</xdr:col>
      <xdr:colOff>404495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35</xdr:row>
      <xdr:rowOff>133350</xdr:rowOff>
    </xdr:from>
    <xdr:to>
      <xdr:col>17</xdr:col>
      <xdr:colOff>404495</xdr:colOff>
      <xdr:row>35</xdr:row>
      <xdr:rowOff>398145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582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35</xdr:row>
      <xdr:rowOff>133350</xdr:rowOff>
    </xdr:from>
    <xdr:to>
      <xdr:col>18</xdr:col>
      <xdr:colOff>404495</xdr:colOff>
      <xdr:row>35</xdr:row>
      <xdr:rowOff>407670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35</xdr:row>
      <xdr:rowOff>133350</xdr:rowOff>
    </xdr:from>
    <xdr:to>
      <xdr:col>19</xdr:col>
      <xdr:colOff>404495</xdr:colOff>
      <xdr:row>35</xdr:row>
      <xdr:rowOff>407670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35</xdr:row>
      <xdr:rowOff>133350</xdr:rowOff>
    </xdr:from>
    <xdr:to>
      <xdr:col>20</xdr:col>
      <xdr:colOff>404495</xdr:colOff>
      <xdr:row>35</xdr:row>
      <xdr:rowOff>407670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35</xdr:row>
      <xdr:rowOff>133350</xdr:rowOff>
    </xdr:from>
    <xdr:to>
      <xdr:col>21</xdr:col>
      <xdr:colOff>404495</xdr:colOff>
      <xdr:row>35</xdr:row>
      <xdr:rowOff>407670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35</xdr:row>
      <xdr:rowOff>133350</xdr:rowOff>
    </xdr:from>
    <xdr:to>
      <xdr:col>22</xdr:col>
      <xdr:colOff>404495</xdr:colOff>
      <xdr:row>35</xdr:row>
      <xdr:rowOff>407670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582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114300</xdr:rowOff>
    </xdr:from>
    <xdr:to>
      <xdr:col>23</xdr:col>
      <xdr:colOff>403943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36</xdr:row>
      <xdr:rowOff>133350</xdr:rowOff>
    </xdr:from>
    <xdr:to>
      <xdr:col>17</xdr:col>
      <xdr:colOff>403943</xdr:colOff>
      <xdr:row>36</xdr:row>
      <xdr:rowOff>407670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040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36</xdr:row>
      <xdr:rowOff>133350</xdr:rowOff>
    </xdr:from>
    <xdr:to>
      <xdr:col>18</xdr:col>
      <xdr:colOff>404495</xdr:colOff>
      <xdr:row>36</xdr:row>
      <xdr:rowOff>407670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36</xdr:row>
      <xdr:rowOff>133350</xdr:rowOff>
    </xdr:from>
    <xdr:to>
      <xdr:col>19</xdr:col>
      <xdr:colOff>404495</xdr:colOff>
      <xdr:row>36</xdr:row>
      <xdr:rowOff>407670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36</xdr:row>
      <xdr:rowOff>133350</xdr:rowOff>
    </xdr:from>
    <xdr:to>
      <xdr:col>20</xdr:col>
      <xdr:colOff>404495</xdr:colOff>
      <xdr:row>36</xdr:row>
      <xdr:rowOff>407670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36</xdr:row>
      <xdr:rowOff>133350</xdr:rowOff>
    </xdr:from>
    <xdr:to>
      <xdr:col>21</xdr:col>
      <xdr:colOff>404495</xdr:colOff>
      <xdr:row>36</xdr:row>
      <xdr:rowOff>407670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36</xdr:row>
      <xdr:rowOff>133350</xdr:rowOff>
    </xdr:from>
    <xdr:to>
      <xdr:col>22</xdr:col>
      <xdr:colOff>404495</xdr:colOff>
      <xdr:row>36</xdr:row>
      <xdr:rowOff>407670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040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114300</xdr:rowOff>
    </xdr:from>
    <xdr:to>
      <xdr:col>23</xdr:col>
      <xdr:colOff>403943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37</xdr:row>
      <xdr:rowOff>133350</xdr:rowOff>
    </xdr:from>
    <xdr:to>
      <xdr:col>17</xdr:col>
      <xdr:colOff>403943</xdr:colOff>
      <xdr:row>37</xdr:row>
      <xdr:rowOff>407670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497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37</xdr:row>
      <xdr:rowOff>133350</xdr:rowOff>
    </xdr:from>
    <xdr:to>
      <xdr:col>18</xdr:col>
      <xdr:colOff>404495</xdr:colOff>
      <xdr:row>37</xdr:row>
      <xdr:rowOff>407670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37</xdr:row>
      <xdr:rowOff>133350</xdr:rowOff>
    </xdr:from>
    <xdr:to>
      <xdr:col>19</xdr:col>
      <xdr:colOff>404495</xdr:colOff>
      <xdr:row>37</xdr:row>
      <xdr:rowOff>407670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37</xdr:row>
      <xdr:rowOff>133350</xdr:rowOff>
    </xdr:from>
    <xdr:to>
      <xdr:col>20</xdr:col>
      <xdr:colOff>404495</xdr:colOff>
      <xdr:row>37</xdr:row>
      <xdr:rowOff>407670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37</xdr:row>
      <xdr:rowOff>133350</xdr:rowOff>
    </xdr:from>
    <xdr:to>
      <xdr:col>21</xdr:col>
      <xdr:colOff>404495</xdr:colOff>
      <xdr:row>37</xdr:row>
      <xdr:rowOff>407670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37</xdr:row>
      <xdr:rowOff>133350</xdr:rowOff>
    </xdr:from>
    <xdr:to>
      <xdr:col>22</xdr:col>
      <xdr:colOff>404495</xdr:colOff>
      <xdr:row>37</xdr:row>
      <xdr:rowOff>407670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497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114300</xdr:rowOff>
    </xdr:from>
    <xdr:to>
      <xdr:col>23</xdr:col>
      <xdr:colOff>403943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38</xdr:row>
      <xdr:rowOff>133350</xdr:rowOff>
    </xdr:from>
    <xdr:to>
      <xdr:col>17</xdr:col>
      <xdr:colOff>403943</xdr:colOff>
      <xdr:row>38</xdr:row>
      <xdr:rowOff>407670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954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38</xdr:row>
      <xdr:rowOff>133350</xdr:rowOff>
    </xdr:from>
    <xdr:to>
      <xdr:col>18</xdr:col>
      <xdr:colOff>404495</xdr:colOff>
      <xdr:row>38</xdr:row>
      <xdr:rowOff>407670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38</xdr:row>
      <xdr:rowOff>133350</xdr:rowOff>
    </xdr:from>
    <xdr:to>
      <xdr:col>19</xdr:col>
      <xdr:colOff>404495</xdr:colOff>
      <xdr:row>38</xdr:row>
      <xdr:rowOff>407670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38</xdr:row>
      <xdr:rowOff>133350</xdr:rowOff>
    </xdr:from>
    <xdr:to>
      <xdr:col>20</xdr:col>
      <xdr:colOff>404495</xdr:colOff>
      <xdr:row>38</xdr:row>
      <xdr:rowOff>407670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38</xdr:row>
      <xdr:rowOff>133350</xdr:rowOff>
    </xdr:from>
    <xdr:to>
      <xdr:col>21</xdr:col>
      <xdr:colOff>404495</xdr:colOff>
      <xdr:row>38</xdr:row>
      <xdr:rowOff>407670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38</xdr:row>
      <xdr:rowOff>133350</xdr:rowOff>
    </xdr:from>
    <xdr:to>
      <xdr:col>22</xdr:col>
      <xdr:colOff>404495</xdr:colOff>
      <xdr:row>38</xdr:row>
      <xdr:rowOff>407670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954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38</xdr:row>
      <xdr:rowOff>114300</xdr:rowOff>
    </xdr:from>
    <xdr:to>
      <xdr:col>23</xdr:col>
      <xdr:colOff>404495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39</xdr:row>
      <xdr:rowOff>133350</xdr:rowOff>
    </xdr:from>
    <xdr:to>
      <xdr:col>17</xdr:col>
      <xdr:colOff>404495</xdr:colOff>
      <xdr:row>39</xdr:row>
      <xdr:rowOff>407670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7411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39</xdr:row>
      <xdr:rowOff>133350</xdr:rowOff>
    </xdr:from>
    <xdr:to>
      <xdr:col>18</xdr:col>
      <xdr:colOff>404495</xdr:colOff>
      <xdr:row>39</xdr:row>
      <xdr:rowOff>407670</xdr:rowOff>
    </xdr:to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7411700"/>
          <a:ext cx="274320" cy="274320"/>
        </a:xfrm>
        <a:prstGeom prst="rect">
          <a:avLst/>
        </a:prstGeom>
      </xdr:spPr>
    </xdr:pic>
    <xdr:clientData/>
  </xdr:twoCellAnchor>
</xdr:wsDr>
</file>

<file path=xl/drawings/drawing9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 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7</xdr:row>
      <xdr:rowOff>114300</xdr:rowOff>
    </xdr:from>
    <xdr:to>
      <xdr:col>3</xdr:col>
      <xdr:colOff>404495</xdr:colOff>
      <xdr:row>7</xdr:row>
      <xdr:rowOff>379095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7</xdr:row>
      <xdr:rowOff>114300</xdr:rowOff>
    </xdr:from>
    <xdr:to>
      <xdr:col>4</xdr:col>
      <xdr:colOff>404495</xdr:colOff>
      <xdr:row>7</xdr:row>
      <xdr:rowOff>388620</xdr:rowOff>
    </xdr:to>
    <xdr:pic>
      <xdr:nvPicPr>
        <xdr:cNvPr id="4" name="Image 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7</xdr:row>
      <xdr:rowOff>114300</xdr:rowOff>
    </xdr:from>
    <xdr:to>
      <xdr:col>5</xdr:col>
      <xdr:colOff>404495</xdr:colOff>
      <xdr:row>7</xdr:row>
      <xdr:rowOff>388620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7</xdr:row>
      <xdr:rowOff>114300</xdr:rowOff>
    </xdr:from>
    <xdr:to>
      <xdr:col>6</xdr:col>
      <xdr:colOff>404495</xdr:colOff>
      <xdr:row>7</xdr:row>
      <xdr:rowOff>388620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7</xdr:row>
      <xdr:rowOff>104775</xdr:rowOff>
    </xdr:from>
    <xdr:to>
      <xdr:col>7</xdr:col>
      <xdr:colOff>394970</xdr:colOff>
      <xdr:row>7</xdr:row>
      <xdr:rowOff>379095</xdr:rowOff>
    </xdr:to>
    <xdr:pic>
      <xdr:nvPicPr>
        <xdr:cNvPr id="7" name="Image 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524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8</xdr:row>
      <xdr:rowOff>114300</xdr:rowOff>
    </xdr:from>
    <xdr:to>
      <xdr:col>1</xdr:col>
      <xdr:colOff>403943</xdr:colOff>
      <xdr:row>8</xdr:row>
      <xdr:rowOff>388620</xdr:rowOff>
    </xdr:to>
    <xdr:pic>
      <xdr:nvPicPr>
        <xdr:cNvPr id="8" name="Image 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8</xdr:row>
      <xdr:rowOff>114300</xdr:rowOff>
    </xdr:from>
    <xdr:to>
      <xdr:col>2</xdr:col>
      <xdr:colOff>403943</xdr:colOff>
      <xdr:row>8</xdr:row>
      <xdr:rowOff>388620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8</xdr:row>
      <xdr:rowOff>114300</xdr:rowOff>
    </xdr:from>
    <xdr:to>
      <xdr:col>3</xdr:col>
      <xdr:colOff>404495</xdr:colOff>
      <xdr:row>8</xdr:row>
      <xdr:rowOff>388620</xdr:rowOff>
    </xdr:to>
    <xdr:pic>
      <xdr:nvPicPr>
        <xdr:cNvPr id="10" name="Image 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8</xdr:row>
      <xdr:rowOff>114300</xdr:rowOff>
    </xdr:from>
    <xdr:to>
      <xdr:col>4</xdr:col>
      <xdr:colOff>404495</xdr:colOff>
      <xdr:row>8</xdr:row>
      <xdr:rowOff>388620</xdr:rowOff>
    </xdr:to>
    <xdr:pic>
      <xdr:nvPicPr>
        <xdr:cNvPr id="11" name="Image 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8</xdr:row>
      <xdr:rowOff>114300</xdr:rowOff>
    </xdr:from>
    <xdr:to>
      <xdr:col>5</xdr:col>
      <xdr:colOff>404495</xdr:colOff>
      <xdr:row>8</xdr:row>
      <xdr:rowOff>388620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8</xdr:row>
      <xdr:rowOff>114300</xdr:rowOff>
    </xdr:from>
    <xdr:to>
      <xdr:col>6</xdr:col>
      <xdr:colOff>404495</xdr:colOff>
      <xdr:row>8</xdr:row>
      <xdr:rowOff>388620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8</xdr:row>
      <xdr:rowOff>104775</xdr:rowOff>
    </xdr:from>
    <xdr:to>
      <xdr:col>7</xdr:col>
      <xdr:colOff>394970</xdr:colOff>
      <xdr:row>8</xdr:row>
      <xdr:rowOff>379095</xdr:rowOff>
    </xdr:to>
    <xdr:pic>
      <xdr:nvPicPr>
        <xdr:cNvPr id="14" name="Image 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3981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9</xdr:row>
      <xdr:rowOff>114300</xdr:rowOff>
    </xdr:from>
    <xdr:to>
      <xdr:col>1</xdr:col>
      <xdr:colOff>403943</xdr:colOff>
      <xdr:row>9</xdr:row>
      <xdr:rowOff>388620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9</xdr:row>
      <xdr:rowOff>114300</xdr:rowOff>
    </xdr:from>
    <xdr:to>
      <xdr:col>2</xdr:col>
      <xdr:colOff>403943</xdr:colOff>
      <xdr:row>9</xdr:row>
      <xdr:rowOff>388620</xdr:rowOff>
    </xdr:to>
    <xdr:pic>
      <xdr:nvPicPr>
        <xdr:cNvPr id="16" name="Image 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9</xdr:row>
      <xdr:rowOff>114300</xdr:rowOff>
    </xdr:from>
    <xdr:to>
      <xdr:col>3</xdr:col>
      <xdr:colOff>404495</xdr:colOff>
      <xdr:row>9</xdr:row>
      <xdr:rowOff>388620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9</xdr:row>
      <xdr:rowOff>114300</xdr:rowOff>
    </xdr:from>
    <xdr:to>
      <xdr:col>4</xdr:col>
      <xdr:colOff>404495</xdr:colOff>
      <xdr:row>9</xdr:row>
      <xdr:rowOff>388620</xdr:rowOff>
    </xdr:to>
    <xdr:pic>
      <xdr:nvPicPr>
        <xdr:cNvPr id="18" name="Image 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9</xdr:row>
      <xdr:rowOff>114300</xdr:rowOff>
    </xdr:from>
    <xdr:to>
      <xdr:col>5</xdr:col>
      <xdr:colOff>404495</xdr:colOff>
      <xdr:row>9</xdr:row>
      <xdr:rowOff>388620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9</xdr:row>
      <xdr:rowOff>114300</xdr:rowOff>
    </xdr:from>
    <xdr:to>
      <xdr:col>6</xdr:col>
      <xdr:colOff>404495</xdr:colOff>
      <xdr:row>9</xdr:row>
      <xdr:rowOff>388620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9</xdr:row>
      <xdr:rowOff>104775</xdr:rowOff>
    </xdr:from>
    <xdr:to>
      <xdr:col>7</xdr:col>
      <xdr:colOff>394970</xdr:colOff>
      <xdr:row>9</xdr:row>
      <xdr:rowOff>379095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438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10</xdr:row>
      <xdr:rowOff>114300</xdr:rowOff>
    </xdr:from>
    <xdr:to>
      <xdr:col>1</xdr:col>
      <xdr:colOff>404495</xdr:colOff>
      <xdr:row>10</xdr:row>
      <xdr:rowOff>388620</xdr:rowOff>
    </xdr:to>
    <xdr:pic>
      <xdr:nvPicPr>
        <xdr:cNvPr id="22" name="Image 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10</xdr:row>
      <xdr:rowOff>114300</xdr:rowOff>
    </xdr:from>
    <xdr:to>
      <xdr:col>2</xdr:col>
      <xdr:colOff>403943</xdr:colOff>
      <xdr:row>10</xdr:row>
      <xdr:rowOff>388620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10</xdr:row>
      <xdr:rowOff>114300</xdr:rowOff>
    </xdr:from>
    <xdr:to>
      <xdr:col>3</xdr:col>
      <xdr:colOff>403943</xdr:colOff>
      <xdr:row>10</xdr:row>
      <xdr:rowOff>388620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10</xdr:row>
      <xdr:rowOff>114300</xdr:rowOff>
    </xdr:from>
    <xdr:to>
      <xdr:col>4</xdr:col>
      <xdr:colOff>404495</xdr:colOff>
      <xdr:row>10</xdr:row>
      <xdr:rowOff>388620</xdr:rowOff>
    </xdr:to>
    <xdr:pic>
      <xdr:nvPicPr>
        <xdr:cNvPr id="25" name="Image 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10</xdr:row>
      <xdr:rowOff>114300</xdr:rowOff>
    </xdr:from>
    <xdr:to>
      <xdr:col>5</xdr:col>
      <xdr:colOff>404495</xdr:colOff>
      <xdr:row>10</xdr:row>
      <xdr:rowOff>388620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130175</xdr:colOff>
      <xdr:row>10</xdr:row>
      <xdr:rowOff>114300</xdr:rowOff>
    </xdr:from>
    <xdr:to>
      <xdr:col>6</xdr:col>
      <xdr:colOff>404495</xdr:colOff>
      <xdr:row>10</xdr:row>
      <xdr:rowOff>388620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10</xdr:row>
      <xdr:rowOff>104775</xdr:rowOff>
    </xdr:from>
    <xdr:to>
      <xdr:col>7</xdr:col>
      <xdr:colOff>394970</xdr:colOff>
      <xdr:row>10</xdr:row>
      <xdr:rowOff>379095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4895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11</xdr:row>
      <xdr:rowOff>114300</xdr:rowOff>
    </xdr:from>
    <xdr:to>
      <xdr:col>1</xdr:col>
      <xdr:colOff>404495</xdr:colOff>
      <xdr:row>11</xdr:row>
      <xdr:rowOff>388620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</xdr:colOff>
      <xdr:row>11</xdr:row>
      <xdr:rowOff>114300</xdr:rowOff>
    </xdr:from>
    <xdr:to>
      <xdr:col>2</xdr:col>
      <xdr:colOff>404495</xdr:colOff>
      <xdr:row>11</xdr:row>
      <xdr:rowOff>388620</xdr:rowOff>
    </xdr:to>
    <xdr:pic>
      <xdr:nvPicPr>
        <xdr:cNvPr id="30" name="Image 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11</xdr:row>
      <xdr:rowOff>114300</xdr:rowOff>
    </xdr:from>
    <xdr:to>
      <xdr:col>3</xdr:col>
      <xdr:colOff>404495</xdr:colOff>
      <xdr:row>11</xdr:row>
      <xdr:rowOff>388620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130175</xdr:colOff>
      <xdr:row>11</xdr:row>
      <xdr:rowOff>114300</xdr:rowOff>
    </xdr:from>
    <xdr:to>
      <xdr:col>4</xdr:col>
      <xdr:colOff>404495</xdr:colOff>
      <xdr:row>11</xdr:row>
      <xdr:rowOff>388620</xdr:rowOff>
    </xdr:to>
    <xdr:pic>
      <xdr:nvPicPr>
        <xdr:cNvPr id="32" name="Image 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130175</xdr:colOff>
      <xdr:row>11</xdr:row>
      <xdr:rowOff>114300</xdr:rowOff>
    </xdr:from>
    <xdr:to>
      <xdr:col>5</xdr:col>
      <xdr:colOff>404495</xdr:colOff>
      <xdr:row>11</xdr:row>
      <xdr:rowOff>379095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75" y="53625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7</xdr:row>
      <xdr:rowOff>114300</xdr:rowOff>
    </xdr:from>
    <xdr:to>
      <xdr:col>14</xdr:col>
      <xdr:colOff>394970</xdr:colOff>
      <xdr:row>7</xdr:row>
      <xdr:rowOff>388620</xdr:rowOff>
    </xdr:to>
    <xdr:pic>
      <xdr:nvPicPr>
        <xdr:cNvPr id="34" name="Image 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7</xdr:row>
      <xdr:rowOff>123825</xdr:rowOff>
    </xdr:from>
    <xdr:to>
      <xdr:col>15</xdr:col>
      <xdr:colOff>385445</xdr:colOff>
      <xdr:row>7</xdr:row>
      <xdr:rowOff>398145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8</xdr:row>
      <xdr:rowOff>114300</xdr:rowOff>
    </xdr:from>
    <xdr:to>
      <xdr:col>9</xdr:col>
      <xdr:colOff>394970</xdr:colOff>
      <xdr:row>8</xdr:row>
      <xdr:rowOff>388620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8</xdr:row>
      <xdr:rowOff>114300</xdr:rowOff>
    </xdr:from>
    <xdr:to>
      <xdr:col>10</xdr:col>
      <xdr:colOff>394970</xdr:colOff>
      <xdr:row>8</xdr:row>
      <xdr:rowOff>388620</xdr:rowOff>
    </xdr:to>
    <xdr:pic>
      <xdr:nvPicPr>
        <xdr:cNvPr id="37" name="Image 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8</xdr:row>
      <xdr:rowOff>114300</xdr:rowOff>
    </xdr:from>
    <xdr:to>
      <xdr:col>11</xdr:col>
      <xdr:colOff>394418</xdr:colOff>
      <xdr:row>8</xdr:row>
      <xdr:rowOff>388620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8</xdr:row>
      <xdr:rowOff>114300</xdr:rowOff>
    </xdr:from>
    <xdr:to>
      <xdr:col>12</xdr:col>
      <xdr:colOff>394418</xdr:colOff>
      <xdr:row>8</xdr:row>
      <xdr:rowOff>388620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8</xdr:row>
      <xdr:rowOff>114300</xdr:rowOff>
    </xdr:from>
    <xdr:to>
      <xdr:col>13</xdr:col>
      <xdr:colOff>394970</xdr:colOff>
      <xdr:row>8</xdr:row>
      <xdr:rowOff>388620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8</xdr:row>
      <xdr:rowOff>114300</xdr:rowOff>
    </xdr:from>
    <xdr:to>
      <xdr:col>14</xdr:col>
      <xdr:colOff>394970</xdr:colOff>
      <xdr:row>8</xdr:row>
      <xdr:rowOff>388620</xdr:rowOff>
    </xdr:to>
    <xdr:pic>
      <xdr:nvPicPr>
        <xdr:cNvPr id="41" name="Image 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8</xdr:row>
      <xdr:rowOff>123825</xdr:rowOff>
    </xdr:from>
    <xdr:to>
      <xdr:col>15</xdr:col>
      <xdr:colOff>385445</xdr:colOff>
      <xdr:row>8</xdr:row>
      <xdr:rowOff>398145</xdr:rowOff>
    </xdr:to>
    <xdr:pic>
      <xdr:nvPicPr>
        <xdr:cNvPr id="42" name="Image 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9</xdr:row>
      <xdr:rowOff>114300</xdr:rowOff>
    </xdr:from>
    <xdr:to>
      <xdr:col>9</xdr:col>
      <xdr:colOff>394970</xdr:colOff>
      <xdr:row>9</xdr:row>
      <xdr:rowOff>388620</xdr:rowOff>
    </xdr:to>
    <xdr:pic>
      <xdr:nvPicPr>
        <xdr:cNvPr id="43" name="Image 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9</xdr:row>
      <xdr:rowOff>114300</xdr:rowOff>
    </xdr:from>
    <xdr:to>
      <xdr:col>10</xdr:col>
      <xdr:colOff>394970</xdr:colOff>
      <xdr:row>9</xdr:row>
      <xdr:rowOff>388620</xdr:rowOff>
    </xdr:to>
    <xdr:pic>
      <xdr:nvPicPr>
        <xdr:cNvPr id="44" name="Image 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9</xdr:row>
      <xdr:rowOff>114300</xdr:rowOff>
    </xdr:from>
    <xdr:to>
      <xdr:col>11</xdr:col>
      <xdr:colOff>394418</xdr:colOff>
      <xdr:row>9</xdr:row>
      <xdr:rowOff>388620</xdr:rowOff>
    </xdr:to>
    <xdr:pic>
      <xdr:nvPicPr>
        <xdr:cNvPr id="45" name="Image 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9</xdr:row>
      <xdr:rowOff>114300</xdr:rowOff>
    </xdr:from>
    <xdr:to>
      <xdr:col>12</xdr:col>
      <xdr:colOff>394418</xdr:colOff>
      <xdr:row>9</xdr:row>
      <xdr:rowOff>388620</xdr:rowOff>
    </xdr:to>
    <xdr:pic>
      <xdr:nvPicPr>
        <xdr:cNvPr id="46" name="Image 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9</xdr:row>
      <xdr:rowOff>114300</xdr:rowOff>
    </xdr:from>
    <xdr:to>
      <xdr:col>13</xdr:col>
      <xdr:colOff>394970</xdr:colOff>
      <xdr:row>9</xdr:row>
      <xdr:rowOff>388620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9</xdr:row>
      <xdr:rowOff>114300</xdr:rowOff>
    </xdr:from>
    <xdr:to>
      <xdr:col>14</xdr:col>
      <xdr:colOff>394970</xdr:colOff>
      <xdr:row>9</xdr:row>
      <xdr:rowOff>388620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9</xdr:row>
      <xdr:rowOff>123825</xdr:rowOff>
    </xdr:from>
    <xdr:to>
      <xdr:col>15</xdr:col>
      <xdr:colOff>385445</xdr:colOff>
      <xdr:row>9</xdr:row>
      <xdr:rowOff>398145</xdr:rowOff>
    </xdr:to>
    <xdr:pic>
      <xdr:nvPicPr>
        <xdr:cNvPr id="49" name="Image 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10</xdr:row>
      <xdr:rowOff>114300</xdr:rowOff>
    </xdr:from>
    <xdr:to>
      <xdr:col>9</xdr:col>
      <xdr:colOff>394970</xdr:colOff>
      <xdr:row>10</xdr:row>
      <xdr:rowOff>388620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10</xdr:row>
      <xdr:rowOff>114300</xdr:rowOff>
    </xdr:from>
    <xdr:to>
      <xdr:col>10</xdr:col>
      <xdr:colOff>394970</xdr:colOff>
      <xdr:row>10</xdr:row>
      <xdr:rowOff>388620</xdr:rowOff>
    </xdr:to>
    <xdr:pic>
      <xdr:nvPicPr>
        <xdr:cNvPr id="51" name="Image 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10</xdr:row>
      <xdr:rowOff>114300</xdr:rowOff>
    </xdr:from>
    <xdr:to>
      <xdr:col>11</xdr:col>
      <xdr:colOff>394970</xdr:colOff>
      <xdr:row>10</xdr:row>
      <xdr:rowOff>388620</xdr:rowOff>
    </xdr:to>
    <xdr:pic>
      <xdr:nvPicPr>
        <xdr:cNvPr id="52" name="Image 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10</xdr:row>
      <xdr:rowOff>114300</xdr:rowOff>
    </xdr:from>
    <xdr:to>
      <xdr:col>12</xdr:col>
      <xdr:colOff>394418</xdr:colOff>
      <xdr:row>10</xdr:row>
      <xdr:rowOff>388620</xdr:rowOff>
    </xdr:to>
    <xdr:pic>
      <xdr:nvPicPr>
        <xdr:cNvPr id="53" name="Image 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10</xdr:row>
      <xdr:rowOff>114300</xdr:rowOff>
    </xdr:from>
    <xdr:to>
      <xdr:col>13</xdr:col>
      <xdr:colOff>394418</xdr:colOff>
      <xdr:row>10</xdr:row>
      <xdr:rowOff>388620</xdr:rowOff>
    </xdr:to>
    <xdr:pic>
      <xdr:nvPicPr>
        <xdr:cNvPr id="54" name="Image 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120650</xdr:colOff>
      <xdr:row>10</xdr:row>
      <xdr:rowOff>114300</xdr:rowOff>
    </xdr:from>
    <xdr:to>
      <xdr:col>14</xdr:col>
      <xdr:colOff>394970</xdr:colOff>
      <xdr:row>10</xdr:row>
      <xdr:rowOff>388620</xdr:rowOff>
    </xdr:to>
    <xdr:pic>
      <xdr:nvPicPr>
        <xdr:cNvPr id="55" name="Image 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10</xdr:row>
      <xdr:rowOff>123825</xdr:rowOff>
    </xdr:from>
    <xdr:to>
      <xdr:col>15</xdr:col>
      <xdr:colOff>385445</xdr:colOff>
      <xdr:row>10</xdr:row>
      <xdr:rowOff>398145</xdr:rowOff>
    </xdr:to>
    <xdr:pic>
      <xdr:nvPicPr>
        <xdr:cNvPr id="56" name="Image 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491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11</xdr:row>
      <xdr:rowOff>114300</xdr:rowOff>
    </xdr:from>
    <xdr:to>
      <xdr:col>9</xdr:col>
      <xdr:colOff>394970</xdr:colOff>
      <xdr:row>11</xdr:row>
      <xdr:rowOff>388620</xdr:rowOff>
    </xdr:to>
    <xdr:pic>
      <xdr:nvPicPr>
        <xdr:cNvPr id="57" name="Image 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</xdr:colOff>
      <xdr:row>11</xdr:row>
      <xdr:rowOff>114300</xdr:rowOff>
    </xdr:from>
    <xdr:to>
      <xdr:col>10</xdr:col>
      <xdr:colOff>394970</xdr:colOff>
      <xdr:row>11</xdr:row>
      <xdr:rowOff>388620</xdr:rowOff>
    </xdr:to>
    <xdr:pic>
      <xdr:nvPicPr>
        <xdr:cNvPr id="58" name="Image 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5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11</xdr:row>
      <xdr:rowOff>114300</xdr:rowOff>
    </xdr:from>
    <xdr:to>
      <xdr:col>11</xdr:col>
      <xdr:colOff>394970</xdr:colOff>
      <xdr:row>11</xdr:row>
      <xdr:rowOff>388620</xdr:rowOff>
    </xdr:to>
    <xdr:pic>
      <xdr:nvPicPr>
        <xdr:cNvPr id="59" name="Image 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3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120650</xdr:colOff>
      <xdr:row>11</xdr:row>
      <xdr:rowOff>114300</xdr:rowOff>
    </xdr:from>
    <xdr:to>
      <xdr:col>12</xdr:col>
      <xdr:colOff>394970</xdr:colOff>
      <xdr:row>11</xdr:row>
      <xdr:rowOff>388620</xdr:rowOff>
    </xdr:to>
    <xdr:pic>
      <xdr:nvPicPr>
        <xdr:cNvPr id="60" name="Image 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120650</xdr:colOff>
      <xdr:row>11</xdr:row>
      <xdr:rowOff>114300</xdr:rowOff>
    </xdr:from>
    <xdr:to>
      <xdr:col>13</xdr:col>
      <xdr:colOff>394970</xdr:colOff>
      <xdr:row>11</xdr:row>
      <xdr:rowOff>388620</xdr:rowOff>
    </xdr:to>
    <xdr:pic>
      <xdr:nvPicPr>
        <xdr:cNvPr id="61" name="Image 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7</xdr:row>
      <xdr:rowOff>114300</xdr:rowOff>
    </xdr:from>
    <xdr:to>
      <xdr:col>22</xdr:col>
      <xdr:colOff>375920</xdr:colOff>
      <xdr:row>7</xdr:row>
      <xdr:rowOff>379095</xdr:rowOff>
    </xdr:to>
    <xdr:pic>
      <xdr:nvPicPr>
        <xdr:cNvPr id="62" name="Image 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533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7</xdr:row>
      <xdr:rowOff>123825</xdr:rowOff>
    </xdr:from>
    <xdr:to>
      <xdr:col>23</xdr:col>
      <xdr:colOff>404495</xdr:colOff>
      <xdr:row>7</xdr:row>
      <xdr:rowOff>398145</xdr:rowOff>
    </xdr:to>
    <xdr:pic>
      <xdr:nvPicPr>
        <xdr:cNvPr id="63" name="Image 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3543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8</xdr:row>
      <xdr:rowOff>114300</xdr:rowOff>
    </xdr:from>
    <xdr:to>
      <xdr:col>17</xdr:col>
      <xdr:colOff>375920</xdr:colOff>
      <xdr:row>8</xdr:row>
      <xdr:rowOff>388620</xdr:rowOff>
    </xdr:to>
    <xdr:pic>
      <xdr:nvPicPr>
        <xdr:cNvPr id="64" name="Image 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8</xdr:row>
      <xdr:rowOff>114300</xdr:rowOff>
    </xdr:from>
    <xdr:to>
      <xdr:col>18</xdr:col>
      <xdr:colOff>375920</xdr:colOff>
      <xdr:row>8</xdr:row>
      <xdr:rowOff>388620</xdr:rowOff>
    </xdr:to>
    <xdr:pic>
      <xdr:nvPicPr>
        <xdr:cNvPr id="65" name="Image 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8</xdr:row>
      <xdr:rowOff>114300</xdr:rowOff>
    </xdr:from>
    <xdr:to>
      <xdr:col>19</xdr:col>
      <xdr:colOff>375920</xdr:colOff>
      <xdr:row>8</xdr:row>
      <xdr:rowOff>388620</xdr:rowOff>
    </xdr:to>
    <xdr:pic>
      <xdr:nvPicPr>
        <xdr:cNvPr id="66" name="Image 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8</xdr:row>
      <xdr:rowOff>114300</xdr:rowOff>
    </xdr:from>
    <xdr:to>
      <xdr:col>20</xdr:col>
      <xdr:colOff>375368</xdr:colOff>
      <xdr:row>8</xdr:row>
      <xdr:rowOff>388620</xdr:rowOff>
    </xdr:to>
    <xdr:pic>
      <xdr:nvPicPr>
        <xdr:cNvPr id="67" name="Image 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8</xdr:row>
      <xdr:rowOff>114300</xdr:rowOff>
    </xdr:from>
    <xdr:to>
      <xdr:col>21</xdr:col>
      <xdr:colOff>375368</xdr:colOff>
      <xdr:row>8</xdr:row>
      <xdr:rowOff>388620</xdr:rowOff>
    </xdr:to>
    <xdr:pic>
      <xdr:nvPicPr>
        <xdr:cNvPr id="68" name="Image 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8</xdr:row>
      <xdr:rowOff>114300</xdr:rowOff>
    </xdr:from>
    <xdr:to>
      <xdr:col>22</xdr:col>
      <xdr:colOff>375920</xdr:colOff>
      <xdr:row>8</xdr:row>
      <xdr:rowOff>388620</xdr:rowOff>
    </xdr:to>
    <xdr:pic>
      <xdr:nvPicPr>
        <xdr:cNvPr id="69" name="Image 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39909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8</xdr:row>
      <xdr:rowOff>123825</xdr:rowOff>
    </xdr:from>
    <xdr:to>
      <xdr:col>23</xdr:col>
      <xdr:colOff>404495</xdr:colOff>
      <xdr:row>8</xdr:row>
      <xdr:rowOff>398145</xdr:rowOff>
    </xdr:to>
    <xdr:pic>
      <xdr:nvPicPr>
        <xdr:cNvPr id="70" name="Image 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00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9</xdr:row>
      <xdr:rowOff>114300</xdr:rowOff>
    </xdr:from>
    <xdr:to>
      <xdr:col>17</xdr:col>
      <xdr:colOff>375920</xdr:colOff>
      <xdr:row>9</xdr:row>
      <xdr:rowOff>388620</xdr:rowOff>
    </xdr:to>
    <xdr:pic>
      <xdr:nvPicPr>
        <xdr:cNvPr id="71" name="Image 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9</xdr:row>
      <xdr:rowOff>114300</xdr:rowOff>
    </xdr:from>
    <xdr:to>
      <xdr:col>18</xdr:col>
      <xdr:colOff>375920</xdr:colOff>
      <xdr:row>9</xdr:row>
      <xdr:rowOff>388620</xdr:rowOff>
    </xdr:to>
    <xdr:pic>
      <xdr:nvPicPr>
        <xdr:cNvPr id="72" name="Image 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9</xdr:row>
      <xdr:rowOff>114300</xdr:rowOff>
    </xdr:from>
    <xdr:to>
      <xdr:col>19</xdr:col>
      <xdr:colOff>375920</xdr:colOff>
      <xdr:row>9</xdr:row>
      <xdr:rowOff>388620</xdr:rowOff>
    </xdr:to>
    <xdr:pic>
      <xdr:nvPicPr>
        <xdr:cNvPr id="73" name="Image 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9</xdr:row>
      <xdr:rowOff>114300</xdr:rowOff>
    </xdr:from>
    <xdr:to>
      <xdr:col>20</xdr:col>
      <xdr:colOff>375368</xdr:colOff>
      <xdr:row>9</xdr:row>
      <xdr:rowOff>388620</xdr:rowOff>
    </xdr:to>
    <xdr:pic>
      <xdr:nvPicPr>
        <xdr:cNvPr id="74" name="Image 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9</xdr:row>
      <xdr:rowOff>114300</xdr:rowOff>
    </xdr:from>
    <xdr:to>
      <xdr:col>21</xdr:col>
      <xdr:colOff>375368</xdr:colOff>
      <xdr:row>9</xdr:row>
      <xdr:rowOff>388620</xdr:rowOff>
    </xdr:to>
    <xdr:pic>
      <xdr:nvPicPr>
        <xdr:cNvPr id="75" name="Image 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9</xdr:row>
      <xdr:rowOff>114300</xdr:rowOff>
    </xdr:from>
    <xdr:to>
      <xdr:col>22</xdr:col>
      <xdr:colOff>375920</xdr:colOff>
      <xdr:row>9</xdr:row>
      <xdr:rowOff>388620</xdr:rowOff>
    </xdr:to>
    <xdr:pic>
      <xdr:nvPicPr>
        <xdr:cNvPr id="76" name="Image 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4481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9</xdr:row>
      <xdr:rowOff>123825</xdr:rowOff>
    </xdr:from>
    <xdr:to>
      <xdr:col>23</xdr:col>
      <xdr:colOff>404495</xdr:colOff>
      <xdr:row>9</xdr:row>
      <xdr:rowOff>398145</xdr:rowOff>
    </xdr:to>
    <xdr:pic>
      <xdr:nvPicPr>
        <xdr:cNvPr id="77" name="Image 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45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114300</xdr:rowOff>
    </xdr:from>
    <xdr:to>
      <xdr:col>17</xdr:col>
      <xdr:colOff>375920</xdr:colOff>
      <xdr:row>10</xdr:row>
      <xdr:rowOff>388620</xdr:rowOff>
    </xdr:to>
    <xdr:pic>
      <xdr:nvPicPr>
        <xdr:cNvPr id="78" name="Image 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10</xdr:row>
      <xdr:rowOff>114300</xdr:rowOff>
    </xdr:from>
    <xdr:to>
      <xdr:col>18</xdr:col>
      <xdr:colOff>375920</xdr:colOff>
      <xdr:row>10</xdr:row>
      <xdr:rowOff>388620</xdr:rowOff>
    </xdr:to>
    <xdr:pic>
      <xdr:nvPicPr>
        <xdr:cNvPr id="79" name="Image 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10</xdr:row>
      <xdr:rowOff>114300</xdr:rowOff>
    </xdr:from>
    <xdr:to>
      <xdr:col>19</xdr:col>
      <xdr:colOff>375920</xdr:colOff>
      <xdr:row>10</xdr:row>
      <xdr:rowOff>388620</xdr:rowOff>
    </xdr:to>
    <xdr:pic>
      <xdr:nvPicPr>
        <xdr:cNvPr id="80" name="Image 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10</xdr:row>
      <xdr:rowOff>114300</xdr:rowOff>
    </xdr:from>
    <xdr:to>
      <xdr:col>20</xdr:col>
      <xdr:colOff>375920</xdr:colOff>
      <xdr:row>10</xdr:row>
      <xdr:rowOff>388620</xdr:rowOff>
    </xdr:to>
    <xdr:pic>
      <xdr:nvPicPr>
        <xdr:cNvPr id="81" name="Image 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49053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10</xdr:row>
      <xdr:rowOff>114300</xdr:rowOff>
    </xdr:from>
    <xdr:to>
      <xdr:col>21</xdr:col>
      <xdr:colOff>375368</xdr:colOff>
      <xdr:row>10</xdr:row>
      <xdr:rowOff>388620</xdr:rowOff>
    </xdr:to>
    <xdr:pic>
      <xdr:nvPicPr>
        <xdr:cNvPr id="82" name="Image 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10</xdr:row>
      <xdr:rowOff>114300</xdr:rowOff>
    </xdr:from>
    <xdr:to>
      <xdr:col>22</xdr:col>
      <xdr:colOff>375368</xdr:colOff>
      <xdr:row>10</xdr:row>
      <xdr:rowOff>388620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49053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10</xdr:row>
      <xdr:rowOff>123825</xdr:rowOff>
    </xdr:from>
    <xdr:to>
      <xdr:col>23</xdr:col>
      <xdr:colOff>403943</xdr:colOff>
      <xdr:row>10</xdr:row>
      <xdr:rowOff>398145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491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11</xdr:row>
      <xdr:rowOff>114300</xdr:rowOff>
    </xdr:from>
    <xdr:to>
      <xdr:col>17</xdr:col>
      <xdr:colOff>375920</xdr:colOff>
      <xdr:row>11</xdr:row>
      <xdr:rowOff>388620</xdr:rowOff>
    </xdr:to>
    <xdr:pic>
      <xdr:nvPicPr>
        <xdr:cNvPr id="85" name="Image 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101600</xdr:colOff>
      <xdr:row>11</xdr:row>
      <xdr:rowOff>114300</xdr:rowOff>
    </xdr:from>
    <xdr:to>
      <xdr:col>18</xdr:col>
      <xdr:colOff>375920</xdr:colOff>
      <xdr:row>11</xdr:row>
      <xdr:rowOff>388620</xdr:rowOff>
    </xdr:to>
    <xdr:pic>
      <xdr:nvPicPr>
        <xdr:cNvPr id="86" name="Image 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101600</xdr:colOff>
      <xdr:row>11</xdr:row>
      <xdr:rowOff>114300</xdr:rowOff>
    </xdr:from>
    <xdr:to>
      <xdr:col>19</xdr:col>
      <xdr:colOff>375920</xdr:colOff>
      <xdr:row>11</xdr:row>
      <xdr:rowOff>388620</xdr:rowOff>
    </xdr:to>
    <xdr:pic>
      <xdr:nvPicPr>
        <xdr:cNvPr id="87" name="Image 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05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101600</xdr:colOff>
      <xdr:row>11</xdr:row>
      <xdr:rowOff>114300</xdr:rowOff>
    </xdr:from>
    <xdr:to>
      <xdr:col>20</xdr:col>
      <xdr:colOff>375920</xdr:colOff>
      <xdr:row>11</xdr:row>
      <xdr:rowOff>388620</xdr:rowOff>
    </xdr:to>
    <xdr:pic>
      <xdr:nvPicPr>
        <xdr:cNvPr id="88" name="Image 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282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101600</xdr:colOff>
      <xdr:row>11</xdr:row>
      <xdr:rowOff>114300</xdr:rowOff>
    </xdr:from>
    <xdr:to>
      <xdr:col>21</xdr:col>
      <xdr:colOff>375920</xdr:colOff>
      <xdr:row>11</xdr:row>
      <xdr:rowOff>388620</xdr:rowOff>
    </xdr:to>
    <xdr:pic>
      <xdr:nvPicPr>
        <xdr:cNvPr id="89" name="Image 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101600</xdr:colOff>
      <xdr:row>11</xdr:row>
      <xdr:rowOff>114300</xdr:rowOff>
    </xdr:from>
    <xdr:to>
      <xdr:col>22</xdr:col>
      <xdr:colOff>375920</xdr:colOff>
      <xdr:row>11</xdr:row>
      <xdr:rowOff>388620</xdr:rowOff>
    </xdr:to>
    <xdr:pic>
      <xdr:nvPicPr>
        <xdr:cNvPr id="90" name="Image 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5" y="53625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11</xdr:row>
      <xdr:rowOff>123825</xdr:rowOff>
    </xdr:from>
    <xdr:to>
      <xdr:col>23</xdr:col>
      <xdr:colOff>404495</xdr:colOff>
      <xdr:row>11</xdr:row>
      <xdr:rowOff>398145</xdr:rowOff>
    </xdr:to>
    <xdr:pic>
      <xdr:nvPicPr>
        <xdr:cNvPr id="91" name="Image 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537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12</xdr:row>
      <xdr:rowOff>114300</xdr:rowOff>
    </xdr:from>
    <xdr:to>
      <xdr:col>17</xdr:col>
      <xdr:colOff>375920</xdr:colOff>
      <xdr:row>12</xdr:row>
      <xdr:rowOff>379095</xdr:rowOff>
    </xdr:to>
    <xdr:pic>
      <xdr:nvPicPr>
        <xdr:cNvPr id="92" name="Image 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8197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16</xdr:row>
      <xdr:rowOff>114300</xdr:rowOff>
    </xdr:from>
    <xdr:to>
      <xdr:col>2</xdr:col>
      <xdr:colOff>375920</xdr:colOff>
      <xdr:row>16</xdr:row>
      <xdr:rowOff>388620</xdr:rowOff>
    </xdr:to>
    <xdr:pic>
      <xdr:nvPicPr>
        <xdr:cNvPr id="93" name="Image 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16</xdr:row>
      <xdr:rowOff>114300</xdr:rowOff>
    </xdr:from>
    <xdr:to>
      <xdr:col>3</xdr:col>
      <xdr:colOff>375920</xdr:colOff>
      <xdr:row>16</xdr:row>
      <xdr:rowOff>388620</xdr:rowOff>
    </xdr:to>
    <xdr:pic>
      <xdr:nvPicPr>
        <xdr:cNvPr id="94" name="Image 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16</xdr:row>
      <xdr:rowOff>114300</xdr:rowOff>
    </xdr:from>
    <xdr:to>
      <xdr:col>4</xdr:col>
      <xdr:colOff>375920</xdr:colOff>
      <xdr:row>16</xdr:row>
      <xdr:rowOff>388620</xdr:rowOff>
    </xdr:to>
    <xdr:pic>
      <xdr:nvPicPr>
        <xdr:cNvPr id="95" name="Image 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114300</xdr:rowOff>
    </xdr:from>
    <xdr:to>
      <xdr:col>5</xdr:col>
      <xdr:colOff>375368</xdr:colOff>
      <xdr:row>16</xdr:row>
      <xdr:rowOff>388620</xdr:rowOff>
    </xdr:to>
    <xdr:pic>
      <xdr:nvPicPr>
        <xdr:cNvPr id="96" name="Image 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16</xdr:row>
      <xdr:rowOff>114300</xdr:rowOff>
    </xdr:from>
    <xdr:to>
      <xdr:col>6</xdr:col>
      <xdr:colOff>375368</xdr:colOff>
      <xdr:row>16</xdr:row>
      <xdr:rowOff>388620</xdr:rowOff>
    </xdr:to>
    <xdr:pic>
      <xdr:nvPicPr>
        <xdr:cNvPr id="97" name="Image 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3914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16</xdr:row>
      <xdr:rowOff>114300</xdr:rowOff>
    </xdr:from>
    <xdr:to>
      <xdr:col>7</xdr:col>
      <xdr:colOff>394970</xdr:colOff>
      <xdr:row>16</xdr:row>
      <xdr:rowOff>388620</xdr:rowOff>
    </xdr:to>
    <xdr:pic>
      <xdr:nvPicPr>
        <xdr:cNvPr id="98" name="Image 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114300</xdr:rowOff>
    </xdr:from>
    <xdr:to>
      <xdr:col>1</xdr:col>
      <xdr:colOff>375920</xdr:colOff>
      <xdr:row>17</xdr:row>
      <xdr:rowOff>388620</xdr:rowOff>
    </xdr:to>
    <xdr:pic>
      <xdr:nvPicPr>
        <xdr:cNvPr id="99" name="Image 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17</xdr:row>
      <xdr:rowOff>114300</xdr:rowOff>
    </xdr:from>
    <xdr:to>
      <xdr:col>2</xdr:col>
      <xdr:colOff>375920</xdr:colOff>
      <xdr:row>17</xdr:row>
      <xdr:rowOff>388620</xdr:rowOff>
    </xdr:to>
    <xdr:pic>
      <xdr:nvPicPr>
        <xdr:cNvPr id="100" name="Image 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17</xdr:row>
      <xdr:rowOff>114300</xdr:rowOff>
    </xdr:from>
    <xdr:to>
      <xdr:col>3</xdr:col>
      <xdr:colOff>375920</xdr:colOff>
      <xdr:row>17</xdr:row>
      <xdr:rowOff>388620</xdr:rowOff>
    </xdr:to>
    <xdr:pic>
      <xdr:nvPicPr>
        <xdr:cNvPr id="101" name="Image 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17</xdr:row>
      <xdr:rowOff>114300</xdr:rowOff>
    </xdr:from>
    <xdr:to>
      <xdr:col>4</xdr:col>
      <xdr:colOff>375920</xdr:colOff>
      <xdr:row>17</xdr:row>
      <xdr:rowOff>388620</xdr:rowOff>
    </xdr:to>
    <xdr:pic>
      <xdr:nvPicPr>
        <xdr:cNvPr id="102" name="Image 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17</xdr:row>
      <xdr:rowOff>114300</xdr:rowOff>
    </xdr:from>
    <xdr:to>
      <xdr:col>5</xdr:col>
      <xdr:colOff>375920</xdr:colOff>
      <xdr:row>17</xdr:row>
      <xdr:rowOff>388620</xdr:rowOff>
    </xdr:to>
    <xdr:pic>
      <xdr:nvPicPr>
        <xdr:cNvPr id="103" name="Image 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17</xdr:row>
      <xdr:rowOff>114300</xdr:rowOff>
    </xdr:from>
    <xdr:to>
      <xdr:col>6</xdr:col>
      <xdr:colOff>375368</xdr:colOff>
      <xdr:row>17</xdr:row>
      <xdr:rowOff>388620</xdr:rowOff>
    </xdr:to>
    <xdr:pic>
      <xdr:nvPicPr>
        <xdr:cNvPr id="104" name="Image 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17</xdr:row>
      <xdr:rowOff>114300</xdr:rowOff>
    </xdr:from>
    <xdr:to>
      <xdr:col>7</xdr:col>
      <xdr:colOff>394418</xdr:colOff>
      <xdr:row>17</xdr:row>
      <xdr:rowOff>388620</xdr:rowOff>
    </xdr:to>
    <xdr:pic>
      <xdr:nvPicPr>
        <xdr:cNvPr id="105" name="Image 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18</xdr:row>
      <xdr:rowOff>114300</xdr:rowOff>
    </xdr:from>
    <xdr:to>
      <xdr:col>1</xdr:col>
      <xdr:colOff>375920</xdr:colOff>
      <xdr:row>18</xdr:row>
      <xdr:rowOff>388620</xdr:rowOff>
    </xdr:to>
    <xdr:pic>
      <xdr:nvPicPr>
        <xdr:cNvPr id="106" name="Image 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114300</xdr:rowOff>
    </xdr:from>
    <xdr:to>
      <xdr:col>2</xdr:col>
      <xdr:colOff>375920</xdr:colOff>
      <xdr:row>18</xdr:row>
      <xdr:rowOff>388620</xdr:rowOff>
    </xdr:to>
    <xdr:pic>
      <xdr:nvPicPr>
        <xdr:cNvPr id="107" name="Image 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18</xdr:row>
      <xdr:rowOff>114300</xdr:rowOff>
    </xdr:from>
    <xdr:to>
      <xdr:col>3</xdr:col>
      <xdr:colOff>375920</xdr:colOff>
      <xdr:row>18</xdr:row>
      <xdr:rowOff>388620</xdr:rowOff>
    </xdr:to>
    <xdr:pic>
      <xdr:nvPicPr>
        <xdr:cNvPr id="108" name="Image 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18</xdr:row>
      <xdr:rowOff>114300</xdr:rowOff>
    </xdr:from>
    <xdr:to>
      <xdr:col>4</xdr:col>
      <xdr:colOff>375920</xdr:colOff>
      <xdr:row>18</xdr:row>
      <xdr:rowOff>388620</xdr:rowOff>
    </xdr:to>
    <xdr:pic>
      <xdr:nvPicPr>
        <xdr:cNvPr id="109" name="Image 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18</xdr:row>
      <xdr:rowOff>114300</xdr:rowOff>
    </xdr:from>
    <xdr:to>
      <xdr:col>5</xdr:col>
      <xdr:colOff>375920</xdr:colOff>
      <xdr:row>18</xdr:row>
      <xdr:rowOff>388620</xdr:rowOff>
    </xdr:to>
    <xdr:pic>
      <xdr:nvPicPr>
        <xdr:cNvPr id="110" name="Image 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18</xdr:row>
      <xdr:rowOff>114300</xdr:rowOff>
    </xdr:from>
    <xdr:to>
      <xdr:col>6</xdr:col>
      <xdr:colOff>375920</xdr:colOff>
      <xdr:row>18</xdr:row>
      <xdr:rowOff>388620</xdr:rowOff>
    </xdr:to>
    <xdr:pic>
      <xdr:nvPicPr>
        <xdr:cNvPr id="111" name="Image 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18</xdr:row>
      <xdr:rowOff>114300</xdr:rowOff>
    </xdr:from>
    <xdr:to>
      <xdr:col>7</xdr:col>
      <xdr:colOff>394418</xdr:colOff>
      <xdr:row>18</xdr:row>
      <xdr:rowOff>388620</xdr:rowOff>
    </xdr:to>
    <xdr:pic>
      <xdr:nvPicPr>
        <xdr:cNvPr id="112" name="Image 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</xdr:row>
      <xdr:rowOff>114300</xdr:rowOff>
    </xdr:from>
    <xdr:to>
      <xdr:col>1</xdr:col>
      <xdr:colOff>375368</xdr:colOff>
      <xdr:row>19</xdr:row>
      <xdr:rowOff>388620</xdr:rowOff>
    </xdr:to>
    <xdr:pic>
      <xdr:nvPicPr>
        <xdr:cNvPr id="113" name="Image 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19</xdr:row>
      <xdr:rowOff>114300</xdr:rowOff>
    </xdr:from>
    <xdr:to>
      <xdr:col>2</xdr:col>
      <xdr:colOff>375920</xdr:colOff>
      <xdr:row>19</xdr:row>
      <xdr:rowOff>388620</xdr:rowOff>
    </xdr:to>
    <xdr:pic>
      <xdr:nvPicPr>
        <xdr:cNvPr id="114" name="Image 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19</xdr:row>
      <xdr:rowOff>114300</xdr:rowOff>
    </xdr:from>
    <xdr:to>
      <xdr:col>3</xdr:col>
      <xdr:colOff>375920</xdr:colOff>
      <xdr:row>19</xdr:row>
      <xdr:rowOff>388620</xdr:rowOff>
    </xdr:to>
    <xdr:pic>
      <xdr:nvPicPr>
        <xdr:cNvPr id="115" name="Image 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19</xdr:row>
      <xdr:rowOff>114300</xdr:rowOff>
    </xdr:from>
    <xdr:to>
      <xdr:col>4</xdr:col>
      <xdr:colOff>375920</xdr:colOff>
      <xdr:row>19</xdr:row>
      <xdr:rowOff>388620</xdr:rowOff>
    </xdr:to>
    <xdr:pic>
      <xdr:nvPicPr>
        <xdr:cNvPr id="116" name="Image 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19</xdr:row>
      <xdr:rowOff>114300</xdr:rowOff>
    </xdr:from>
    <xdr:to>
      <xdr:col>5</xdr:col>
      <xdr:colOff>375920</xdr:colOff>
      <xdr:row>19</xdr:row>
      <xdr:rowOff>388620</xdr:rowOff>
    </xdr:to>
    <xdr:pic>
      <xdr:nvPicPr>
        <xdr:cNvPr id="117" name="Image 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19</xdr:row>
      <xdr:rowOff>114300</xdr:rowOff>
    </xdr:from>
    <xdr:to>
      <xdr:col>6</xdr:col>
      <xdr:colOff>375920</xdr:colOff>
      <xdr:row>19</xdr:row>
      <xdr:rowOff>388620</xdr:rowOff>
    </xdr:to>
    <xdr:pic>
      <xdr:nvPicPr>
        <xdr:cNvPr id="118" name="Image 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114300</xdr:rowOff>
    </xdr:from>
    <xdr:to>
      <xdr:col>7</xdr:col>
      <xdr:colOff>394970</xdr:colOff>
      <xdr:row>19</xdr:row>
      <xdr:rowOff>388620</xdr:rowOff>
    </xdr:to>
    <xdr:pic>
      <xdr:nvPicPr>
        <xdr:cNvPr id="119" name="Image 118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114300</xdr:rowOff>
    </xdr:from>
    <xdr:to>
      <xdr:col>1</xdr:col>
      <xdr:colOff>375920</xdr:colOff>
      <xdr:row>20</xdr:row>
      <xdr:rowOff>388620</xdr:rowOff>
    </xdr:to>
    <xdr:pic>
      <xdr:nvPicPr>
        <xdr:cNvPr id="120" name="Image 119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20</xdr:row>
      <xdr:rowOff>114300</xdr:rowOff>
    </xdr:from>
    <xdr:to>
      <xdr:col>2</xdr:col>
      <xdr:colOff>375920</xdr:colOff>
      <xdr:row>20</xdr:row>
      <xdr:rowOff>379095</xdr:rowOff>
    </xdr:to>
    <xdr:pic>
      <xdr:nvPicPr>
        <xdr:cNvPr id="121" name="Image 120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20</xdr:row>
      <xdr:rowOff>114300</xdr:rowOff>
    </xdr:from>
    <xdr:to>
      <xdr:col>3</xdr:col>
      <xdr:colOff>375920</xdr:colOff>
      <xdr:row>20</xdr:row>
      <xdr:rowOff>388620</xdr:rowOff>
    </xdr:to>
    <xdr:pic>
      <xdr:nvPicPr>
        <xdr:cNvPr id="122" name="Image 121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16</xdr:row>
      <xdr:rowOff>114300</xdr:rowOff>
    </xdr:from>
    <xdr:to>
      <xdr:col>12</xdr:col>
      <xdr:colOff>375920</xdr:colOff>
      <xdr:row>16</xdr:row>
      <xdr:rowOff>388620</xdr:rowOff>
    </xdr:to>
    <xdr:pic>
      <xdr:nvPicPr>
        <xdr:cNvPr id="123" name="Image 122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16</xdr:row>
      <xdr:rowOff>114300</xdr:rowOff>
    </xdr:from>
    <xdr:to>
      <xdr:col>13</xdr:col>
      <xdr:colOff>375920</xdr:colOff>
      <xdr:row>16</xdr:row>
      <xdr:rowOff>388620</xdr:rowOff>
    </xdr:to>
    <xdr:pic>
      <xdr:nvPicPr>
        <xdr:cNvPr id="124" name="Image 123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16</xdr:row>
      <xdr:rowOff>114300</xdr:rowOff>
    </xdr:from>
    <xdr:to>
      <xdr:col>14</xdr:col>
      <xdr:colOff>375920</xdr:colOff>
      <xdr:row>16</xdr:row>
      <xdr:rowOff>388620</xdr:rowOff>
    </xdr:to>
    <xdr:pic>
      <xdr:nvPicPr>
        <xdr:cNvPr id="125" name="Image 124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16</xdr:row>
      <xdr:rowOff>104775</xdr:rowOff>
    </xdr:from>
    <xdr:to>
      <xdr:col>15</xdr:col>
      <xdr:colOff>394418</xdr:colOff>
      <xdr:row>16</xdr:row>
      <xdr:rowOff>379095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381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17</xdr:row>
      <xdr:rowOff>114300</xdr:rowOff>
    </xdr:from>
    <xdr:to>
      <xdr:col>9</xdr:col>
      <xdr:colOff>375368</xdr:colOff>
      <xdr:row>17</xdr:row>
      <xdr:rowOff>388620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78486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17</xdr:row>
      <xdr:rowOff>114300</xdr:rowOff>
    </xdr:from>
    <xdr:to>
      <xdr:col>10</xdr:col>
      <xdr:colOff>375920</xdr:colOff>
      <xdr:row>17</xdr:row>
      <xdr:rowOff>388620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17</xdr:row>
      <xdr:rowOff>114300</xdr:rowOff>
    </xdr:from>
    <xdr:to>
      <xdr:col>11</xdr:col>
      <xdr:colOff>375920</xdr:colOff>
      <xdr:row>17</xdr:row>
      <xdr:rowOff>388620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17</xdr:row>
      <xdr:rowOff>114300</xdr:rowOff>
    </xdr:from>
    <xdr:to>
      <xdr:col>12</xdr:col>
      <xdr:colOff>375920</xdr:colOff>
      <xdr:row>17</xdr:row>
      <xdr:rowOff>388620</xdr:rowOff>
    </xdr:to>
    <xdr:pic>
      <xdr:nvPicPr>
        <xdr:cNvPr id="130" name="Image 129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17</xdr:row>
      <xdr:rowOff>114300</xdr:rowOff>
    </xdr:from>
    <xdr:to>
      <xdr:col>13</xdr:col>
      <xdr:colOff>375920</xdr:colOff>
      <xdr:row>17</xdr:row>
      <xdr:rowOff>388620</xdr:rowOff>
    </xdr:to>
    <xdr:pic>
      <xdr:nvPicPr>
        <xdr:cNvPr id="131" name="Image 130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17</xdr:row>
      <xdr:rowOff>114300</xdr:rowOff>
    </xdr:from>
    <xdr:to>
      <xdr:col>14</xdr:col>
      <xdr:colOff>375920</xdr:colOff>
      <xdr:row>17</xdr:row>
      <xdr:rowOff>388620</xdr:rowOff>
    </xdr:to>
    <xdr:pic>
      <xdr:nvPicPr>
        <xdr:cNvPr id="132" name="Image 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17</xdr:row>
      <xdr:rowOff>104775</xdr:rowOff>
    </xdr:from>
    <xdr:to>
      <xdr:col>15</xdr:col>
      <xdr:colOff>394970</xdr:colOff>
      <xdr:row>17</xdr:row>
      <xdr:rowOff>379095</xdr:rowOff>
    </xdr:to>
    <xdr:pic>
      <xdr:nvPicPr>
        <xdr:cNvPr id="133" name="Image 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839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18</xdr:row>
      <xdr:rowOff>114300</xdr:rowOff>
    </xdr:from>
    <xdr:to>
      <xdr:col>9</xdr:col>
      <xdr:colOff>375368</xdr:colOff>
      <xdr:row>18</xdr:row>
      <xdr:rowOff>388620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18</xdr:row>
      <xdr:rowOff>114300</xdr:rowOff>
    </xdr:from>
    <xdr:to>
      <xdr:col>10</xdr:col>
      <xdr:colOff>375368</xdr:colOff>
      <xdr:row>18</xdr:row>
      <xdr:rowOff>388620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83058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18</xdr:row>
      <xdr:rowOff>114300</xdr:rowOff>
    </xdr:from>
    <xdr:to>
      <xdr:col>11</xdr:col>
      <xdr:colOff>375920</xdr:colOff>
      <xdr:row>18</xdr:row>
      <xdr:rowOff>388620</xdr:rowOff>
    </xdr:to>
    <xdr:pic>
      <xdr:nvPicPr>
        <xdr:cNvPr id="136" name="Image 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18</xdr:row>
      <xdr:rowOff>114300</xdr:rowOff>
    </xdr:from>
    <xdr:to>
      <xdr:col>12</xdr:col>
      <xdr:colOff>375920</xdr:colOff>
      <xdr:row>18</xdr:row>
      <xdr:rowOff>388620</xdr:rowOff>
    </xdr:to>
    <xdr:pic>
      <xdr:nvPicPr>
        <xdr:cNvPr id="137" name="Image 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18</xdr:row>
      <xdr:rowOff>114300</xdr:rowOff>
    </xdr:from>
    <xdr:to>
      <xdr:col>13</xdr:col>
      <xdr:colOff>375920</xdr:colOff>
      <xdr:row>18</xdr:row>
      <xdr:rowOff>388620</xdr:rowOff>
    </xdr:to>
    <xdr:pic>
      <xdr:nvPicPr>
        <xdr:cNvPr id="138" name="Image 137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18</xdr:row>
      <xdr:rowOff>114300</xdr:rowOff>
    </xdr:from>
    <xdr:to>
      <xdr:col>14</xdr:col>
      <xdr:colOff>375920</xdr:colOff>
      <xdr:row>18</xdr:row>
      <xdr:rowOff>388620</xdr:rowOff>
    </xdr:to>
    <xdr:pic>
      <xdr:nvPicPr>
        <xdr:cNvPr id="139" name="Image 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18</xdr:row>
      <xdr:rowOff>104775</xdr:rowOff>
    </xdr:from>
    <xdr:to>
      <xdr:col>15</xdr:col>
      <xdr:colOff>394970</xdr:colOff>
      <xdr:row>18</xdr:row>
      <xdr:rowOff>379095</xdr:rowOff>
    </xdr:to>
    <xdr:pic>
      <xdr:nvPicPr>
        <xdr:cNvPr id="140" name="Image 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296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19</xdr:row>
      <xdr:rowOff>114300</xdr:rowOff>
    </xdr:from>
    <xdr:to>
      <xdr:col>9</xdr:col>
      <xdr:colOff>375920</xdr:colOff>
      <xdr:row>19</xdr:row>
      <xdr:rowOff>388620</xdr:rowOff>
    </xdr:to>
    <xdr:pic>
      <xdr:nvPicPr>
        <xdr:cNvPr id="141" name="Image 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19</xdr:row>
      <xdr:rowOff>114300</xdr:rowOff>
    </xdr:from>
    <xdr:to>
      <xdr:col>10</xdr:col>
      <xdr:colOff>375368</xdr:colOff>
      <xdr:row>19</xdr:row>
      <xdr:rowOff>388620</xdr:rowOff>
    </xdr:to>
    <xdr:pic>
      <xdr:nvPicPr>
        <xdr:cNvPr id="142" name="Image 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19</xdr:row>
      <xdr:rowOff>114300</xdr:rowOff>
    </xdr:from>
    <xdr:to>
      <xdr:col>11</xdr:col>
      <xdr:colOff>375368</xdr:colOff>
      <xdr:row>19</xdr:row>
      <xdr:rowOff>388620</xdr:rowOff>
    </xdr:to>
    <xdr:pic>
      <xdr:nvPicPr>
        <xdr:cNvPr id="143" name="Image 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87630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19</xdr:row>
      <xdr:rowOff>114300</xdr:rowOff>
    </xdr:from>
    <xdr:to>
      <xdr:col>12</xdr:col>
      <xdr:colOff>375920</xdr:colOff>
      <xdr:row>19</xdr:row>
      <xdr:rowOff>388620</xdr:rowOff>
    </xdr:to>
    <xdr:pic>
      <xdr:nvPicPr>
        <xdr:cNvPr id="144" name="Image 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19</xdr:row>
      <xdr:rowOff>114300</xdr:rowOff>
    </xdr:from>
    <xdr:to>
      <xdr:col>13</xdr:col>
      <xdr:colOff>375920</xdr:colOff>
      <xdr:row>19</xdr:row>
      <xdr:rowOff>388620</xdr:rowOff>
    </xdr:to>
    <xdr:pic>
      <xdr:nvPicPr>
        <xdr:cNvPr id="145" name="Image 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19</xdr:row>
      <xdr:rowOff>114300</xdr:rowOff>
    </xdr:from>
    <xdr:to>
      <xdr:col>14</xdr:col>
      <xdr:colOff>375920</xdr:colOff>
      <xdr:row>19</xdr:row>
      <xdr:rowOff>388620</xdr:rowOff>
    </xdr:to>
    <xdr:pic>
      <xdr:nvPicPr>
        <xdr:cNvPr id="146" name="Image 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19</xdr:row>
      <xdr:rowOff>104775</xdr:rowOff>
    </xdr:from>
    <xdr:to>
      <xdr:col>15</xdr:col>
      <xdr:colOff>394970</xdr:colOff>
      <xdr:row>19</xdr:row>
      <xdr:rowOff>379095</xdr:rowOff>
    </xdr:to>
    <xdr:pic>
      <xdr:nvPicPr>
        <xdr:cNvPr id="147" name="Image 146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8753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20</xdr:row>
      <xdr:rowOff>114300</xdr:rowOff>
    </xdr:from>
    <xdr:to>
      <xdr:col>9</xdr:col>
      <xdr:colOff>375920</xdr:colOff>
      <xdr:row>20</xdr:row>
      <xdr:rowOff>388620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20</xdr:row>
      <xdr:rowOff>114300</xdr:rowOff>
    </xdr:from>
    <xdr:to>
      <xdr:col>10</xdr:col>
      <xdr:colOff>375920</xdr:colOff>
      <xdr:row>20</xdr:row>
      <xdr:rowOff>388620</xdr:rowOff>
    </xdr:to>
    <xdr:pic>
      <xdr:nvPicPr>
        <xdr:cNvPr id="149" name="Image 148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20</xdr:row>
      <xdr:rowOff>114300</xdr:rowOff>
    </xdr:from>
    <xdr:to>
      <xdr:col>11</xdr:col>
      <xdr:colOff>375920</xdr:colOff>
      <xdr:row>20</xdr:row>
      <xdr:rowOff>379095</xdr:rowOff>
    </xdr:to>
    <xdr:pic>
      <xdr:nvPicPr>
        <xdr:cNvPr id="150" name="Image 149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92202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20</xdr:row>
      <xdr:rowOff>114300</xdr:rowOff>
    </xdr:from>
    <xdr:to>
      <xdr:col>12</xdr:col>
      <xdr:colOff>375920</xdr:colOff>
      <xdr:row>20</xdr:row>
      <xdr:rowOff>388620</xdr:rowOff>
    </xdr:to>
    <xdr:pic>
      <xdr:nvPicPr>
        <xdr:cNvPr id="151" name="Image 150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20</xdr:row>
      <xdr:rowOff>114300</xdr:rowOff>
    </xdr:from>
    <xdr:to>
      <xdr:col>13</xdr:col>
      <xdr:colOff>375920</xdr:colOff>
      <xdr:row>20</xdr:row>
      <xdr:rowOff>388620</xdr:rowOff>
    </xdr:to>
    <xdr:pic>
      <xdr:nvPicPr>
        <xdr:cNvPr id="152" name="Image 151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20</xdr:row>
      <xdr:rowOff>114300</xdr:rowOff>
    </xdr:from>
    <xdr:to>
      <xdr:col>14</xdr:col>
      <xdr:colOff>375920</xdr:colOff>
      <xdr:row>20</xdr:row>
      <xdr:rowOff>388620</xdr:rowOff>
    </xdr:to>
    <xdr:pic>
      <xdr:nvPicPr>
        <xdr:cNvPr id="153" name="Image 152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16</xdr:row>
      <xdr:rowOff>114300</xdr:rowOff>
    </xdr:from>
    <xdr:to>
      <xdr:col>23</xdr:col>
      <xdr:colOff>394970</xdr:colOff>
      <xdr:row>16</xdr:row>
      <xdr:rowOff>388620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3914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111125</xdr:colOff>
      <xdr:row>17</xdr:row>
      <xdr:rowOff>95250</xdr:rowOff>
    </xdr:from>
    <xdr:to>
      <xdr:col>17</xdr:col>
      <xdr:colOff>384893</xdr:colOff>
      <xdr:row>17</xdr:row>
      <xdr:rowOff>369570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025" y="7829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111125</xdr:colOff>
      <xdr:row>17</xdr:row>
      <xdr:rowOff>95250</xdr:rowOff>
    </xdr:from>
    <xdr:to>
      <xdr:col>18</xdr:col>
      <xdr:colOff>384893</xdr:colOff>
      <xdr:row>17</xdr:row>
      <xdr:rowOff>369570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78295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111125</xdr:colOff>
      <xdr:row>17</xdr:row>
      <xdr:rowOff>95250</xdr:rowOff>
    </xdr:from>
    <xdr:to>
      <xdr:col>19</xdr:col>
      <xdr:colOff>385445</xdr:colOff>
      <xdr:row>17</xdr:row>
      <xdr:rowOff>369570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575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111125</xdr:colOff>
      <xdr:row>17</xdr:row>
      <xdr:rowOff>95250</xdr:rowOff>
    </xdr:from>
    <xdr:to>
      <xdr:col>20</xdr:col>
      <xdr:colOff>385445</xdr:colOff>
      <xdr:row>17</xdr:row>
      <xdr:rowOff>369570</xdr:rowOff>
    </xdr:to>
    <xdr:pic>
      <xdr:nvPicPr>
        <xdr:cNvPr id="158" name="Image 157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35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111125</xdr:colOff>
      <xdr:row>17</xdr:row>
      <xdr:rowOff>95250</xdr:rowOff>
    </xdr:from>
    <xdr:to>
      <xdr:col>21</xdr:col>
      <xdr:colOff>385445</xdr:colOff>
      <xdr:row>17</xdr:row>
      <xdr:rowOff>369570</xdr:rowOff>
    </xdr:to>
    <xdr:pic>
      <xdr:nvPicPr>
        <xdr:cNvPr id="159" name="Image 158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111125</xdr:colOff>
      <xdr:row>17</xdr:row>
      <xdr:rowOff>95250</xdr:rowOff>
    </xdr:from>
    <xdr:to>
      <xdr:col>22</xdr:col>
      <xdr:colOff>385445</xdr:colOff>
      <xdr:row>17</xdr:row>
      <xdr:rowOff>369570</xdr:rowOff>
    </xdr:to>
    <xdr:pic>
      <xdr:nvPicPr>
        <xdr:cNvPr id="160" name="Image 159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900" y="78295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17</xdr:row>
      <xdr:rowOff>114300</xdr:rowOff>
    </xdr:from>
    <xdr:to>
      <xdr:col>23</xdr:col>
      <xdr:colOff>394970</xdr:colOff>
      <xdr:row>17</xdr:row>
      <xdr:rowOff>388620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78486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18</xdr:row>
      <xdr:rowOff>123825</xdr:rowOff>
    </xdr:from>
    <xdr:to>
      <xdr:col>17</xdr:col>
      <xdr:colOff>394970</xdr:colOff>
      <xdr:row>18</xdr:row>
      <xdr:rowOff>398145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18</xdr:row>
      <xdr:rowOff>123825</xdr:rowOff>
    </xdr:from>
    <xdr:to>
      <xdr:col>18</xdr:col>
      <xdr:colOff>394418</xdr:colOff>
      <xdr:row>18</xdr:row>
      <xdr:rowOff>398145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18</xdr:row>
      <xdr:rowOff>123825</xdr:rowOff>
    </xdr:from>
    <xdr:to>
      <xdr:col>19</xdr:col>
      <xdr:colOff>394418</xdr:colOff>
      <xdr:row>18</xdr:row>
      <xdr:rowOff>398145</xdr:rowOff>
    </xdr:to>
    <xdr:pic>
      <xdr:nvPicPr>
        <xdr:cNvPr id="164" name="Image 163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18</xdr:row>
      <xdr:rowOff>123825</xdr:rowOff>
    </xdr:from>
    <xdr:to>
      <xdr:col>20</xdr:col>
      <xdr:colOff>394418</xdr:colOff>
      <xdr:row>18</xdr:row>
      <xdr:rowOff>398145</xdr:rowOff>
    </xdr:to>
    <xdr:pic>
      <xdr:nvPicPr>
        <xdr:cNvPr id="165" name="Image 164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315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18</xdr:row>
      <xdr:rowOff>123825</xdr:rowOff>
    </xdr:from>
    <xdr:to>
      <xdr:col>21</xdr:col>
      <xdr:colOff>394970</xdr:colOff>
      <xdr:row>18</xdr:row>
      <xdr:rowOff>398145</xdr:rowOff>
    </xdr:to>
    <xdr:pic>
      <xdr:nvPicPr>
        <xdr:cNvPr id="166" name="Image 165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18</xdr:row>
      <xdr:rowOff>123825</xdr:rowOff>
    </xdr:from>
    <xdr:to>
      <xdr:col>22</xdr:col>
      <xdr:colOff>394970</xdr:colOff>
      <xdr:row>18</xdr:row>
      <xdr:rowOff>398145</xdr:rowOff>
    </xdr:to>
    <xdr:pic>
      <xdr:nvPicPr>
        <xdr:cNvPr id="167" name="Image 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315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18</xdr:row>
      <xdr:rowOff>114300</xdr:rowOff>
    </xdr:from>
    <xdr:to>
      <xdr:col>23</xdr:col>
      <xdr:colOff>394970</xdr:colOff>
      <xdr:row>18</xdr:row>
      <xdr:rowOff>388620</xdr:rowOff>
    </xdr:to>
    <xdr:pic>
      <xdr:nvPicPr>
        <xdr:cNvPr id="168" name="Image 167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3058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19</xdr:row>
      <xdr:rowOff>123825</xdr:rowOff>
    </xdr:from>
    <xdr:to>
      <xdr:col>17</xdr:col>
      <xdr:colOff>394970</xdr:colOff>
      <xdr:row>19</xdr:row>
      <xdr:rowOff>398145</xdr:rowOff>
    </xdr:to>
    <xdr:pic>
      <xdr:nvPicPr>
        <xdr:cNvPr id="169" name="Image 168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19</xdr:row>
      <xdr:rowOff>123825</xdr:rowOff>
    </xdr:from>
    <xdr:to>
      <xdr:col>18</xdr:col>
      <xdr:colOff>394970</xdr:colOff>
      <xdr:row>19</xdr:row>
      <xdr:rowOff>398145</xdr:rowOff>
    </xdr:to>
    <xdr:pic>
      <xdr:nvPicPr>
        <xdr:cNvPr id="170" name="Image 169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19</xdr:row>
      <xdr:rowOff>123825</xdr:rowOff>
    </xdr:from>
    <xdr:to>
      <xdr:col>19</xdr:col>
      <xdr:colOff>394418</xdr:colOff>
      <xdr:row>19</xdr:row>
      <xdr:rowOff>398145</xdr:rowOff>
    </xdr:to>
    <xdr:pic>
      <xdr:nvPicPr>
        <xdr:cNvPr id="171" name="Image 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19</xdr:row>
      <xdr:rowOff>123825</xdr:rowOff>
    </xdr:from>
    <xdr:to>
      <xdr:col>20</xdr:col>
      <xdr:colOff>394418</xdr:colOff>
      <xdr:row>19</xdr:row>
      <xdr:rowOff>398145</xdr:rowOff>
    </xdr:to>
    <xdr:pic>
      <xdr:nvPicPr>
        <xdr:cNvPr id="172" name="Image 171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772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19</xdr:row>
      <xdr:rowOff>123825</xdr:rowOff>
    </xdr:from>
    <xdr:to>
      <xdr:col>21</xdr:col>
      <xdr:colOff>394970</xdr:colOff>
      <xdr:row>19</xdr:row>
      <xdr:rowOff>398145</xdr:rowOff>
    </xdr:to>
    <xdr:pic>
      <xdr:nvPicPr>
        <xdr:cNvPr id="173" name="Image 172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19</xdr:row>
      <xdr:rowOff>123825</xdr:rowOff>
    </xdr:from>
    <xdr:to>
      <xdr:col>22</xdr:col>
      <xdr:colOff>394970</xdr:colOff>
      <xdr:row>19</xdr:row>
      <xdr:rowOff>398145</xdr:rowOff>
    </xdr:to>
    <xdr:pic>
      <xdr:nvPicPr>
        <xdr:cNvPr id="174" name="Image 173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8772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19</xdr:row>
      <xdr:rowOff>114300</xdr:rowOff>
    </xdr:from>
    <xdr:to>
      <xdr:col>23</xdr:col>
      <xdr:colOff>394970</xdr:colOff>
      <xdr:row>19</xdr:row>
      <xdr:rowOff>388620</xdr:rowOff>
    </xdr:to>
    <xdr:pic>
      <xdr:nvPicPr>
        <xdr:cNvPr id="175" name="Image 174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87630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20</xdr:row>
      <xdr:rowOff>123825</xdr:rowOff>
    </xdr:from>
    <xdr:to>
      <xdr:col>17</xdr:col>
      <xdr:colOff>394970</xdr:colOff>
      <xdr:row>20</xdr:row>
      <xdr:rowOff>398145</xdr:rowOff>
    </xdr:to>
    <xdr:pic>
      <xdr:nvPicPr>
        <xdr:cNvPr id="176" name="Image 175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20</xdr:row>
      <xdr:rowOff>123825</xdr:rowOff>
    </xdr:from>
    <xdr:to>
      <xdr:col>18</xdr:col>
      <xdr:colOff>394970</xdr:colOff>
      <xdr:row>20</xdr:row>
      <xdr:rowOff>398145</xdr:rowOff>
    </xdr:to>
    <xdr:pic>
      <xdr:nvPicPr>
        <xdr:cNvPr id="177" name="Image 176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20</xdr:row>
      <xdr:rowOff>123825</xdr:rowOff>
    </xdr:from>
    <xdr:to>
      <xdr:col>19</xdr:col>
      <xdr:colOff>394970</xdr:colOff>
      <xdr:row>20</xdr:row>
      <xdr:rowOff>398145</xdr:rowOff>
    </xdr:to>
    <xdr:pic>
      <xdr:nvPicPr>
        <xdr:cNvPr id="178" name="Image 177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20</xdr:row>
      <xdr:rowOff>123825</xdr:rowOff>
    </xdr:from>
    <xdr:to>
      <xdr:col>20</xdr:col>
      <xdr:colOff>394970</xdr:colOff>
      <xdr:row>20</xdr:row>
      <xdr:rowOff>398145</xdr:rowOff>
    </xdr:to>
    <xdr:pic>
      <xdr:nvPicPr>
        <xdr:cNvPr id="179" name="Image 178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20</xdr:row>
      <xdr:rowOff>123825</xdr:rowOff>
    </xdr:from>
    <xdr:to>
      <xdr:col>21</xdr:col>
      <xdr:colOff>394970</xdr:colOff>
      <xdr:row>20</xdr:row>
      <xdr:rowOff>388620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9229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20</xdr:row>
      <xdr:rowOff>123825</xdr:rowOff>
    </xdr:from>
    <xdr:to>
      <xdr:col>22</xdr:col>
      <xdr:colOff>394970</xdr:colOff>
      <xdr:row>20</xdr:row>
      <xdr:rowOff>398145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9229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120650</xdr:colOff>
      <xdr:row>20</xdr:row>
      <xdr:rowOff>114300</xdr:rowOff>
    </xdr:from>
    <xdr:to>
      <xdr:col>23</xdr:col>
      <xdr:colOff>394970</xdr:colOff>
      <xdr:row>20</xdr:row>
      <xdr:rowOff>388620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202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21</xdr:row>
      <xdr:rowOff>123825</xdr:rowOff>
    </xdr:from>
    <xdr:to>
      <xdr:col>17</xdr:col>
      <xdr:colOff>394970</xdr:colOff>
      <xdr:row>21</xdr:row>
      <xdr:rowOff>398145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9686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25</xdr:row>
      <xdr:rowOff>114300</xdr:rowOff>
    </xdr:from>
    <xdr:to>
      <xdr:col>2</xdr:col>
      <xdr:colOff>375920</xdr:colOff>
      <xdr:row>25</xdr:row>
      <xdr:rowOff>388620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25</xdr:row>
      <xdr:rowOff>114300</xdr:rowOff>
    </xdr:from>
    <xdr:to>
      <xdr:col>3</xdr:col>
      <xdr:colOff>375368</xdr:colOff>
      <xdr:row>25</xdr:row>
      <xdr:rowOff>388620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</xdr:row>
      <xdr:rowOff>114300</xdr:rowOff>
    </xdr:from>
    <xdr:to>
      <xdr:col>4</xdr:col>
      <xdr:colOff>375368</xdr:colOff>
      <xdr:row>25</xdr:row>
      <xdr:rowOff>388620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25</xdr:row>
      <xdr:rowOff>114300</xdr:rowOff>
    </xdr:from>
    <xdr:to>
      <xdr:col>5</xdr:col>
      <xdr:colOff>375920</xdr:colOff>
      <xdr:row>25</xdr:row>
      <xdr:rowOff>388620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25</xdr:row>
      <xdr:rowOff>114300</xdr:rowOff>
    </xdr:from>
    <xdr:to>
      <xdr:col>6</xdr:col>
      <xdr:colOff>375920</xdr:colOff>
      <xdr:row>25</xdr:row>
      <xdr:rowOff>388620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25</xdr:row>
      <xdr:rowOff>104775</xdr:rowOff>
    </xdr:from>
    <xdr:to>
      <xdr:col>7</xdr:col>
      <xdr:colOff>394970</xdr:colOff>
      <xdr:row>25</xdr:row>
      <xdr:rowOff>379095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239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26</xdr:row>
      <xdr:rowOff>114300</xdr:rowOff>
    </xdr:from>
    <xdr:to>
      <xdr:col>1</xdr:col>
      <xdr:colOff>375920</xdr:colOff>
      <xdr:row>26</xdr:row>
      <xdr:rowOff>388620</xdr:rowOff>
    </xdr:to>
    <xdr:pic>
      <xdr:nvPicPr>
        <xdr:cNvPr id="190" name="Image 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26</xdr:row>
      <xdr:rowOff>114300</xdr:rowOff>
    </xdr:from>
    <xdr:to>
      <xdr:col>2</xdr:col>
      <xdr:colOff>375920</xdr:colOff>
      <xdr:row>26</xdr:row>
      <xdr:rowOff>388620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26</xdr:row>
      <xdr:rowOff>114300</xdr:rowOff>
    </xdr:from>
    <xdr:to>
      <xdr:col>3</xdr:col>
      <xdr:colOff>375920</xdr:colOff>
      <xdr:row>26</xdr:row>
      <xdr:rowOff>388620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26</xdr:row>
      <xdr:rowOff>114300</xdr:rowOff>
    </xdr:from>
    <xdr:to>
      <xdr:col>4</xdr:col>
      <xdr:colOff>375368</xdr:colOff>
      <xdr:row>26</xdr:row>
      <xdr:rowOff>388620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26</xdr:row>
      <xdr:rowOff>114300</xdr:rowOff>
    </xdr:from>
    <xdr:to>
      <xdr:col>5</xdr:col>
      <xdr:colOff>375368</xdr:colOff>
      <xdr:row>26</xdr:row>
      <xdr:rowOff>388620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26</xdr:row>
      <xdr:rowOff>114300</xdr:rowOff>
    </xdr:from>
    <xdr:to>
      <xdr:col>6</xdr:col>
      <xdr:colOff>375920</xdr:colOff>
      <xdr:row>26</xdr:row>
      <xdr:rowOff>388620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26</xdr:row>
      <xdr:rowOff>104775</xdr:rowOff>
    </xdr:from>
    <xdr:to>
      <xdr:col>7</xdr:col>
      <xdr:colOff>394970</xdr:colOff>
      <xdr:row>26</xdr:row>
      <xdr:rowOff>379095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1696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27</xdr:row>
      <xdr:rowOff>114300</xdr:rowOff>
    </xdr:from>
    <xdr:to>
      <xdr:col>1</xdr:col>
      <xdr:colOff>375920</xdr:colOff>
      <xdr:row>27</xdr:row>
      <xdr:rowOff>388620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114300</xdr:rowOff>
    </xdr:from>
    <xdr:to>
      <xdr:col>2</xdr:col>
      <xdr:colOff>375920</xdr:colOff>
      <xdr:row>27</xdr:row>
      <xdr:rowOff>388620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27</xdr:row>
      <xdr:rowOff>114300</xdr:rowOff>
    </xdr:from>
    <xdr:to>
      <xdr:col>3</xdr:col>
      <xdr:colOff>375920</xdr:colOff>
      <xdr:row>27</xdr:row>
      <xdr:rowOff>388620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27</xdr:row>
      <xdr:rowOff>114300</xdr:rowOff>
    </xdr:from>
    <xdr:to>
      <xdr:col>4</xdr:col>
      <xdr:colOff>375368</xdr:colOff>
      <xdr:row>27</xdr:row>
      <xdr:rowOff>388620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27</xdr:row>
      <xdr:rowOff>114300</xdr:rowOff>
    </xdr:from>
    <xdr:to>
      <xdr:col>5</xdr:col>
      <xdr:colOff>375368</xdr:colOff>
      <xdr:row>27</xdr:row>
      <xdr:rowOff>388620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27</xdr:row>
      <xdr:rowOff>114300</xdr:rowOff>
    </xdr:from>
    <xdr:to>
      <xdr:col>6</xdr:col>
      <xdr:colOff>375920</xdr:colOff>
      <xdr:row>27</xdr:row>
      <xdr:rowOff>388620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27</xdr:row>
      <xdr:rowOff>104775</xdr:rowOff>
    </xdr:from>
    <xdr:to>
      <xdr:col>7</xdr:col>
      <xdr:colOff>394970</xdr:colOff>
      <xdr:row>27</xdr:row>
      <xdr:rowOff>379095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28</xdr:row>
      <xdr:rowOff>114300</xdr:rowOff>
    </xdr:from>
    <xdr:to>
      <xdr:col>1</xdr:col>
      <xdr:colOff>375920</xdr:colOff>
      <xdr:row>28</xdr:row>
      <xdr:rowOff>388620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28</xdr:row>
      <xdr:rowOff>114300</xdr:rowOff>
    </xdr:from>
    <xdr:to>
      <xdr:col>2</xdr:col>
      <xdr:colOff>375920</xdr:colOff>
      <xdr:row>28</xdr:row>
      <xdr:rowOff>388620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28</xdr:row>
      <xdr:rowOff>114300</xdr:rowOff>
    </xdr:from>
    <xdr:to>
      <xdr:col>3</xdr:col>
      <xdr:colOff>375920</xdr:colOff>
      <xdr:row>28</xdr:row>
      <xdr:rowOff>388620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28</xdr:row>
      <xdr:rowOff>114300</xdr:rowOff>
    </xdr:from>
    <xdr:to>
      <xdr:col>4</xdr:col>
      <xdr:colOff>375920</xdr:colOff>
      <xdr:row>28</xdr:row>
      <xdr:rowOff>388620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28</xdr:row>
      <xdr:rowOff>114300</xdr:rowOff>
    </xdr:from>
    <xdr:to>
      <xdr:col>5</xdr:col>
      <xdr:colOff>375920</xdr:colOff>
      <xdr:row>28</xdr:row>
      <xdr:rowOff>388620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28</xdr:row>
      <xdr:rowOff>114300</xdr:rowOff>
    </xdr:from>
    <xdr:to>
      <xdr:col>6</xdr:col>
      <xdr:colOff>375920</xdr:colOff>
      <xdr:row>28</xdr:row>
      <xdr:rowOff>379095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7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28</xdr:row>
      <xdr:rowOff>104775</xdr:rowOff>
    </xdr:from>
    <xdr:to>
      <xdr:col>7</xdr:col>
      <xdr:colOff>394970</xdr:colOff>
      <xdr:row>28</xdr:row>
      <xdr:rowOff>379095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29</xdr:row>
      <xdr:rowOff>114300</xdr:rowOff>
    </xdr:from>
    <xdr:to>
      <xdr:col>1</xdr:col>
      <xdr:colOff>375920</xdr:colOff>
      <xdr:row>29</xdr:row>
      <xdr:rowOff>388620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29</xdr:row>
      <xdr:rowOff>114300</xdr:rowOff>
    </xdr:from>
    <xdr:to>
      <xdr:col>2</xdr:col>
      <xdr:colOff>375920</xdr:colOff>
      <xdr:row>29</xdr:row>
      <xdr:rowOff>388620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29</xdr:row>
      <xdr:rowOff>114300</xdr:rowOff>
    </xdr:from>
    <xdr:to>
      <xdr:col>3</xdr:col>
      <xdr:colOff>375920</xdr:colOff>
      <xdr:row>29</xdr:row>
      <xdr:rowOff>388620</xdr:rowOff>
    </xdr:to>
    <xdr:pic>
      <xdr:nvPicPr>
        <xdr:cNvPr id="213" name="Image 212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29</xdr:row>
      <xdr:rowOff>114300</xdr:rowOff>
    </xdr:from>
    <xdr:to>
      <xdr:col>4</xdr:col>
      <xdr:colOff>375920</xdr:colOff>
      <xdr:row>29</xdr:row>
      <xdr:rowOff>388620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2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25</xdr:row>
      <xdr:rowOff>114300</xdr:rowOff>
    </xdr:from>
    <xdr:to>
      <xdr:col>13</xdr:col>
      <xdr:colOff>375368</xdr:colOff>
      <xdr:row>25</xdr:row>
      <xdr:rowOff>388620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25</xdr:row>
      <xdr:rowOff>114300</xdr:rowOff>
    </xdr:from>
    <xdr:to>
      <xdr:col>14</xdr:col>
      <xdr:colOff>375368</xdr:colOff>
      <xdr:row>25</xdr:row>
      <xdr:rowOff>388620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2490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25</xdr:row>
      <xdr:rowOff>114300</xdr:rowOff>
    </xdr:from>
    <xdr:to>
      <xdr:col>15</xdr:col>
      <xdr:colOff>385445</xdr:colOff>
      <xdr:row>25</xdr:row>
      <xdr:rowOff>388620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26</xdr:row>
      <xdr:rowOff>114300</xdr:rowOff>
    </xdr:from>
    <xdr:to>
      <xdr:col>9</xdr:col>
      <xdr:colOff>375920</xdr:colOff>
      <xdr:row>26</xdr:row>
      <xdr:rowOff>388620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26</xdr:row>
      <xdr:rowOff>114300</xdr:rowOff>
    </xdr:from>
    <xdr:to>
      <xdr:col>10</xdr:col>
      <xdr:colOff>375920</xdr:colOff>
      <xdr:row>26</xdr:row>
      <xdr:rowOff>388620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26</xdr:row>
      <xdr:rowOff>114300</xdr:rowOff>
    </xdr:from>
    <xdr:to>
      <xdr:col>11</xdr:col>
      <xdr:colOff>375920</xdr:colOff>
      <xdr:row>26</xdr:row>
      <xdr:rowOff>388620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26</xdr:row>
      <xdr:rowOff>114300</xdr:rowOff>
    </xdr:from>
    <xdr:to>
      <xdr:col>12</xdr:col>
      <xdr:colOff>375920</xdr:colOff>
      <xdr:row>26</xdr:row>
      <xdr:rowOff>388620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26</xdr:row>
      <xdr:rowOff>114300</xdr:rowOff>
    </xdr:from>
    <xdr:to>
      <xdr:col>13</xdr:col>
      <xdr:colOff>375920</xdr:colOff>
      <xdr:row>26</xdr:row>
      <xdr:rowOff>388620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26</xdr:row>
      <xdr:rowOff>114300</xdr:rowOff>
    </xdr:from>
    <xdr:to>
      <xdr:col>14</xdr:col>
      <xdr:colOff>375368</xdr:colOff>
      <xdr:row>26</xdr:row>
      <xdr:rowOff>388620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26</xdr:row>
      <xdr:rowOff>114300</xdr:rowOff>
    </xdr:from>
    <xdr:to>
      <xdr:col>15</xdr:col>
      <xdr:colOff>384893</xdr:colOff>
      <xdr:row>26</xdr:row>
      <xdr:rowOff>388620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27</xdr:row>
      <xdr:rowOff>114300</xdr:rowOff>
    </xdr:from>
    <xdr:to>
      <xdr:col>9</xdr:col>
      <xdr:colOff>375920</xdr:colOff>
      <xdr:row>27</xdr:row>
      <xdr:rowOff>388620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27</xdr:row>
      <xdr:rowOff>114300</xdr:rowOff>
    </xdr:from>
    <xdr:to>
      <xdr:col>10</xdr:col>
      <xdr:colOff>375920</xdr:colOff>
      <xdr:row>27</xdr:row>
      <xdr:rowOff>388620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27</xdr:row>
      <xdr:rowOff>114300</xdr:rowOff>
    </xdr:from>
    <xdr:to>
      <xdr:col>11</xdr:col>
      <xdr:colOff>375920</xdr:colOff>
      <xdr:row>27</xdr:row>
      <xdr:rowOff>388620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27</xdr:row>
      <xdr:rowOff>114300</xdr:rowOff>
    </xdr:from>
    <xdr:to>
      <xdr:col>12</xdr:col>
      <xdr:colOff>375920</xdr:colOff>
      <xdr:row>27</xdr:row>
      <xdr:rowOff>388620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27</xdr:row>
      <xdr:rowOff>114300</xdr:rowOff>
    </xdr:from>
    <xdr:to>
      <xdr:col>13</xdr:col>
      <xdr:colOff>375368</xdr:colOff>
      <xdr:row>27</xdr:row>
      <xdr:rowOff>388620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27</xdr:row>
      <xdr:rowOff>114300</xdr:rowOff>
    </xdr:from>
    <xdr:to>
      <xdr:col>14</xdr:col>
      <xdr:colOff>375368</xdr:colOff>
      <xdr:row>27</xdr:row>
      <xdr:rowOff>388620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27</xdr:row>
      <xdr:rowOff>114300</xdr:rowOff>
    </xdr:from>
    <xdr:to>
      <xdr:col>15</xdr:col>
      <xdr:colOff>385445</xdr:colOff>
      <xdr:row>27</xdr:row>
      <xdr:rowOff>388620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28</xdr:row>
      <xdr:rowOff>114300</xdr:rowOff>
    </xdr:from>
    <xdr:to>
      <xdr:col>9</xdr:col>
      <xdr:colOff>375920</xdr:colOff>
      <xdr:row>28</xdr:row>
      <xdr:rowOff>388620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28</xdr:row>
      <xdr:rowOff>114300</xdr:rowOff>
    </xdr:from>
    <xdr:to>
      <xdr:col>10</xdr:col>
      <xdr:colOff>375920</xdr:colOff>
      <xdr:row>28</xdr:row>
      <xdr:rowOff>388620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28</xdr:row>
      <xdr:rowOff>114300</xdr:rowOff>
    </xdr:from>
    <xdr:to>
      <xdr:col>11</xdr:col>
      <xdr:colOff>375920</xdr:colOff>
      <xdr:row>28</xdr:row>
      <xdr:rowOff>388620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28</xdr:row>
      <xdr:rowOff>114300</xdr:rowOff>
    </xdr:from>
    <xdr:to>
      <xdr:col>12</xdr:col>
      <xdr:colOff>375920</xdr:colOff>
      <xdr:row>28</xdr:row>
      <xdr:rowOff>388620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28</xdr:row>
      <xdr:rowOff>114300</xdr:rowOff>
    </xdr:from>
    <xdr:to>
      <xdr:col>13</xdr:col>
      <xdr:colOff>375920</xdr:colOff>
      <xdr:row>28</xdr:row>
      <xdr:rowOff>388620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28</xdr:row>
      <xdr:rowOff>114300</xdr:rowOff>
    </xdr:from>
    <xdr:to>
      <xdr:col>14</xdr:col>
      <xdr:colOff>375920</xdr:colOff>
      <xdr:row>28</xdr:row>
      <xdr:rowOff>388620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28</xdr:row>
      <xdr:rowOff>114300</xdr:rowOff>
    </xdr:from>
    <xdr:to>
      <xdr:col>15</xdr:col>
      <xdr:colOff>385445</xdr:colOff>
      <xdr:row>28</xdr:row>
      <xdr:rowOff>379095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29</xdr:row>
      <xdr:rowOff>114300</xdr:rowOff>
    </xdr:from>
    <xdr:to>
      <xdr:col>9</xdr:col>
      <xdr:colOff>375920</xdr:colOff>
      <xdr:row>29</xdr:row>
      <xdr:rowOff>388620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7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29</xdr:row>
      <xdr:rowOff>114300</xdr:rowOff>
    </xdr:from>
    <xdr:to>
      <xdr:col>10</xdr:col>
      <xdr:colOff>375920</xdr:colOff>
      <xdr:row>29</xdr:row>
      <xdr:rowOff>388620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29</xdr:row>
      <xdr:rowOff>114300</xdr:rowOff>
    </xdr:from>
    <xdr:to>
      <xdr:col>11</xdr:col>
      <xdr:colOff>375920</xdr:colOff>
      <xdr:row>29</xdr:row>
      <xdr:rowOff>388620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29</xdr:row>
      <xdr:rowOff>114300</xdr:rowOff>
    </xdr:from>
    <xdr:to>
      <xdr:col>12</xdr:col>
      <xdr:colOff>375920</xdr:colOff>
      <xdr:row>29</xdr:row>
      <xdr:rowOff>388620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025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29</xdr:row>
      <xdr:rowOff>114300</xdr:rowOff>
    </xdr:from>
    <xdr:to>
      <xdr:col>13</xdr:col>
      <xdr:colOff>375920</xdr:colOff>
      <xdr:row>29</xdr:row>
      <xdr:rowOff>388620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29</xdr:row>
      <xdr:rowOff>114300</xdr:rowOff>
    </xdr:from>
    <xdr:to>
      <xdr:col>14</xdr:col>
      <xdr:colOff>375368</xdr:colOff>
      <xdr:row>29</xdr:row>
      <xdr:rowOff>388620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5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111125</xdr:colOff>
      <xdr:row>29</xdr:row>
      <xdr:rowOff>114300</xdr:rowOff>
    </xdr:from>
    <xdr:to>
      <xdr:col>15</xdr:col>
      <xdr:colOff>384893</xdr:colOff>
      <xdr:row>29</xdr:row>
      <xdr:rowOff>388620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25</xdr:row>
      <xdr:rowOff>114300</xdr:rowOff>
    </xdr:from>
    <xdr:to>
      <xdr:col>17</xdr:col>
      <xdr:colOff>394970</xdr:colOff>
      <xdr:row>25</xdr:row>
      <xdr:rowOff>388620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25</xdr:row>
      <xdr:rowOff>114300</xdr:rowOff>
    </xdr:from>
    <xdr:to>
      <xdr:col>18</xdr:col>
      <xdr:colOff>394970</xdr:colOff>
      <xdr:row>25</xdr:row>
      <xdr:rowOff>388620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25</xdr:row>
      <xdr:rowOff>114300</xdr:rowOff>
    </xdr:from>
    <xdr:to>
      <xdr:col>19</xdr:col>
      <xdr:colOff>394970</xdr:colOff>
      <xdr:row>25</xdr:row>
      <xdr:rowOff>388620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25</xdr:row>
      <xdr:rowOff>114300</xdr:rowOff>
    </xdr:from>
    <xdr:to>
      <xdr:col>20</xdr:col>
      <xdr:colOff>394970</xdr:colOff>
      <xdr:row>25</xdr:row>
      <xdr:rowOff>388620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25</xdr:row>
      <xdr:rowOff>114300</xdr:rowOff>
    </xdr:from>
    <xdr:to>
      <xdr:col>21</xdr:col>
      <xdr:colOff>394970</xdr:colOff>
      <xdr:row>25</xdr:row>
      <xdr:rowOff>388620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25</xdr:row>
      <xdr:rowOff>114300</xdr:rowOff>
    </xdr:from>
    <xdr:to>
      <xdr:col>22</xdr:col>
      <xdr:colOff>394970</xdr:colOff>
      <xdr:row>25</xdr:row>
      <xdr:rowOff>388620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2490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25</xdr:row>
      <xdr:rowOff>104775</xdr:rowOff>
    </xdr:from>
    <xdr:to>
      <xdr:col>23</xdr:col>
      <xdr:colOff>403943</xdr:colOff>
      <xdr:row>25</xdr:row>
      <xdr:rowOff>379095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239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26</xdr:row>
      <xdr:rowOff>114300</xdr:rowOff>
    </xdr:from>
    <xdr:to>
      <xdr:col>17</xdr:col>
      <xdr:colOff>394418</xdr:colOff>
      <xdr:row>26</xdr:row>
      <xdr:rowOff>388620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17062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26</xdr:row>
      <xdr:rowOff>114300</xdr:rowOff>
    </xdr:from>
    <xdr:to>
      <xdr:col>18</xdr:col>
      <xdr:colOff>394970</xdr:colOff>
      <xdr:row>26</xdr:row>
      <xdr:rowOff>388620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26</xdr:row>
      <xdr:rowOff>114300</xdr:rowOff>
    </xdr:from>
    <xdr:to>
      <xdr:col>19</xdr:col>
      <xdr:colOff>394970</xdr:colOff>
      <xdr:row>26</xdr:row>
      <xdr:rowOff>388620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26</xdr:row>
      <xdr:rowOff>114300</xdr:rowOff>
    </xdr:from>
    <xdr:to>
      <xdr:col>20</xdr:col>
      <xdr:colOff>394970</xdr:colOff>
      <xdr:row>26</xdr:row>
      <xdr:rowOff>388620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26</xdr:row>
      <xdr:rowOff>114300</xdr:rowOff>
    </xdr:from>
    <xdr:to>
      <xdr:col>21</xdr:col>
      <xdr:colOff>394970</xdr:colOff>
      <xdr:row>26</xdr:row>
      <xdr:rowOff>388620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26</xdr:row>
      <xdr:rowOff>114300</xdr:rowOff>
    </xdr:from>
    <xdr:to>
      <xdr:col>22</xdr:col>
      <xdr:colOff>394970</xdr:colOff>
      <xdr:row>26</xdr:row>
      <xdr:rowOff>388620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17062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26</xdr:row>
      <xdr:rowOff>104775</xdr:rowOff>
    </xdr:from>
    <xdr:to>
      <xdr:col>23</xdr:col>
      <xdr:colOff>403943</xdr:colOff>
      <xdr:row>26</xdr:row>
      <xdr:rowOff>379095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1696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27</xdr:row>
      <xdr:rowOff>114300</xdr:rowOff>
    </xdr:from>
    <xdr:to>
      <xdr:col>17</xdr:col>
      <xdr:colOff>394418</xdr:colOff>
      <xdr:row>27</xdr:row>
      <xdr:rowOff>388620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1634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27</xdr:row>
      <xdr:rowOff>114300</xdr:rowOff>
    </xdr:from>
    <xdr:to>
      <xdr:col>18</xdr:col>
      <xdr:colOff>394970</xdr:colOff>
      <xdr:row>27</xdr:row>
      <xdr:rowOff>388620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27</xdr:row>
      <xdr:rowOff>114300</xdr:rowOff>
    </xdr:from>
    <xdr:to>
      <xdr:col>19</xdr:col>
      <xdr:colOff>394970</xdr:colOff>
      <xdr:row>27</xdr:row>
      <xdr:rowOff>388620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27</xdr:row>
      <xdr:rowOff>114300</xdr:rowOff>
    </xdr:from>
    <xdr:to>
      <xdr:col>20</xdr:col>
      <xdr:colOff>394970</xdr:colOff>
      <xdr:row>27</xdr:row>
      <xdr:rowOff>388620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27</xdr:row>
      <xdr:rowOff>114300</xdr:rowOff>
    </xdr:from>
    <xdr:to>
      <xdr:col>21</xdr:col>
      <xdr:colOff>394970</xdr:colOff>
      <xdr:row>27</xdr:row>
      <xdr:rowOff>388620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27</xdr:row>
      <xdr:rowOff>114300</xdr:rowOff>
    </xdr:from>
    <xdr:to>
      <xdr:col>22</xdr:col>
      <xdr:colOff>394970</xdr:colOff>
      <xdr:row>27</xdr:row>
      <xdr:rowOff>388620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1634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27</xdr:row>
      <xdr:rowOff>104775</xdr:rowOff>
    </xdr:from>
    <xdr:to>
      <xdr:col>23</xdr:col>
      <xdr:colOff>404495</xdr:colOff>
      <xdr:row>27</xdr:row>
      <xdr:rowOff>379095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153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28</xdr:row>
      <xdr:rowOff>114300</xdr:rowOff>
    </xdr:from>
    <xdr:to>
      <xdr:col>17</xdr:col>
      <xdr:colOff>394970</xdr:colOff>
      <xdr:row>28</xdr:row>
      <xdr:rowOff>388620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28</xdr:row>
      <xdr:rowOff>114300</xdr:rowOff>
    </xdr:from>
    <xdr:to>
      <xdr:col>18</xdr:col>
      <xdr:colOff>394970</xdr:colOff>
      <xdr:row>28</xdr:row>
      <xdr:rowOff>379095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26206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120650</xdr:colOff>
      <xdr:row>28</xdr:row>
      <xdr:rowOff>114300</xdr:rowOff>
    </xdr:from>
    <xdr:to>
      <xdr:col>19</xdr:col>
      <xdr:colOff>394970</xdr:colOff>
      <xdr:row>28</xdr:row>
      <xdr:rowOff>388620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10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120650</xdr:colOff>
      <xdr:row>28</xdr:row>
      <xdr:rowOff>114300</xdr:rowOff>
    </xdr:from>
    <xdr:to>
      <xdr:col>20</xdr:col>
      <xdr:colOff>394970</xdr:colOff>
      <xdr:row>28</xdr:row>
      <xdr:rowOff>388620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120650</xdr:colOff>
      <xdr:row>28</xdr:row>
      <xdr:rowOff>114300</xdr:rowOff>
    </xdr:from>
    <xdr:to>
      <xdr:col>21</xdr:col>
      <xdr:colOff>394970</xdr:colOff>
      <xdr:row>28</xdr:row>
      <xdr:rowOff>388620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120650</xdr:colOff>
      <xdr:row>28</xdr:row>
      <xdr:rowOff>114300</xdr:rowOff>
    </xdr:from>
    <xdr:to>
      <xdr:col>22</xdr:col>
      <xdr:colOff>394970</xdr:colOff>
      <xdr:row>28</xdr:row>
      <xdr:rowOff>388620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42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28</xdr:row>
      <xdr:rowOff>104775</xdr:rowOff>
    </xdr:from>
    <xdr:to>
      <xdr:col>23</xdr:col>
      <xdr:colOff>404495</xdr:colOff>
      <xdr:row>28</xdr:row>
      <xdr:rowOff>379095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2611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120650</xdr:colOff>
      <xdr:row>29</xdr:row>
      <xdr:rowOff>114300</xdr:rowOff>
    </xdr:from>
    <xdr:to>
      <xdr:col>17</xdr:col>
      <xdr:colOff>394418</xdr:colOff>
      <xdr:row>29</xdr:row>
      <xdr:rowOff>388620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550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120650</xdr:colOff>
      <xdr:row>29</xdr:row>
      <xdr:rowOff>114300</xdr:rowOff>
    </xdr:from>
    <xdr:to>
      <xdr:col>18</xdr:col>
      <xdr:colOff>394418</xdr:colOff>
      <xdr:row>29</xdr:row>
      <xdr:rowOff>388620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325" y="130778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34</xdr:row>
      <xdr:rowOff>114300</xdr:rowOff>
    </xdr:from>
    <xdr:to>
      <xdr:col>3</xdr:col>
      <xdr:colOff>394970</xdr:colOff>
      <xdr:row>34</xdr:row>
      <xdr:rowOff>388620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34</xdr:row>
      <xdr:rowOff>114300</xdr:rowOff>
    </xdr:from>
    <xdr:to>
      <xdr:col>4</xdr:col>
      <xdr:colOff>394970</xdr:colOff>
      <xdr:row>34</xdr:row>
      <xdr:rowOff>388620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34</xdr:row>
      <xdr:rowOff>114300</xdr:rowOff>
    </xdr:from>
    <xdr:to>
      <xdr:col>5</xdr:col>
      <xdr:colOff>394970</xdr:colOff>
      <xdr:row>34</xdr:row>
      <xdr:rowOff>388620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34</xdr:row>
      <xdr:rowOff>114300</xdr:rowOff>
    </xdr:from>
    <xdr:to>
      <xdr:col>6</xdr:col>
      <xdr:colOff>394970</xdr:colOff>
      <xdr:row>34</xdr:row>
      <xdr:rowOff>388620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34</xdr:row>
      <xdr:rowOff>114300</xdr:rowOff>
    </xdr:from>
    <xdr:to>
      <xdr:col>7</xdr:col>
      <xdr:colOff>404495</xdr:colOff>
      <xdr:row>34</xdr:row>
      <xdr:rowOff>388620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35</xdr:row>
      <xdr:rowOff>114300</xdr:rowOff>
    </xdr:from>
    <xdr:to>
      <xdr:col>1</xdr:col>
      <xdr:colOff>394418</xdr:colOff>
      <xdr:row>35</xdr:row>
      <xdr:rowOff>388620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35</xdr:row>
      <xdr:rowOff>114300</xdr:rowOff>
    </xdr:from>
    <xdr:to>
      <xdr:col>2</xdr:col>
      <xdr:colOff>394418</xdr:colOff>
      <xdr:row>35</xdr:row>
      <xdr:rowOff>388620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35</xdr:row>
      <xdr:rowOff>114300</xdr:rowOff>
    </xdr:from>
    <xdr:to>
      <xdr:col>3</xdr:col>
      <xdr:colOff>394970</xdr:colOff>
      <xdr:row>35</xdr:row>
      <xdr:rowOff>388620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35</xdr:row>
      <xdr:rowOff>114300</xdr:rowOff>
    </xdr:from>
    <xdr:to>
      <xdr:col>4</xdr:col>
      <xdr:colOff>394970</xdr:colOff>
      <xdr:row>35</xdr:row>
      <xdr:rowOff>388620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35</xdr:row>
      <xdr:rowOff>114300</xdr:rowOff>
    </xdr:from>
    <xdr:to>
      <xdr:col>5</xdr:col>
      <xdr:colOff>394970</xdr:colOff>
      <xdr:row>35</xdr:row>
      <xdr:rowOff>388620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35</xdr:row>
      <xdr:rowOff>114300</xdr:rowOff>
    </xdr:from>
    <xdr:to>
      <xdr:col>6</xdr:col>
      <xdr:colOff>394970</xdr:colOff>
      <xdr:row>35</xdr:row>
      <xdr:rowOff>388620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35</xdr:row>
      <xdr:rowOff>114300</xdr:rowOff>
    </xdr:from>
    <xdr:to>
      <xdr:col>7</xdr:col>
      <xdr:colOff>404495</xdr:colOff>
      <xdr:row>35</xdr:row>
      <xdr:rowOff>388620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114300</xdr:rowOff>
    </xdr:from>
    <xdr:to>
      <xdr:col>1</xdr:col>
      <xdr:colOff>394418</xdr:colOff>
      <xdr:row>36</xdr:row>
      <xdr:rowOff>388620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114300</xdr:rowOff>
    </xdr:from>
    <xdr:to>
      <xdr:col>2</xdr:col>
      <xdr:colOff>394418</xdr:colOff>
      <xdr:row>36</xdr:row>
      <xdr:rowOff>388620</xdr:rowOff>
    </xdr:to>
    <xdr:pic>
      <xdr:nvPicPr>
        <xdr:cNvPr id="289" name="Image 288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36</xdr:row>
      <xdr:rowOff>114300</xdr:rowOff>
    </xdr:from>
    <xdr:to>
      <xdr:col>3</xdr:col>
      <xdr:colOff>394970</xdr:colOff>
      <xdr:row>36</xdr:row>
      <xdr:rowOff>388620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36</xdr:row>
      <xdr:rowOff>114300</xdr:rowOff>
    </xdr:from>
    <xdr:to>
      <xdr:col>4</xdr:col>
      <xdr:colOff>394970</xdr:colOff>
      <xdr:row>36</xdr:row>
      <xdr:rowOff>388620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36</xdr:row>
      <xdr:rowOff>114300</xdr:rowOff>
    </xdr:from>
    <xdr:to>
      <xdr:col>5</xdr:col>
      <xdr:colOff>394970</xdr:colOff>
      <xdr:row>36</xdr:row>
      <xdr:rowOff>388620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36</xdr:row>
      <xdr:rowOff>114300</xdr:rowOff>
    </xdr:from>
    <xdr:to>
      <xdr:col>6</xdr:col>
      <xdr:colOff>394970</xdr:colOff>
      <xdr:row>36</xdr:row>
      <xdr:rowOff>388620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36</xdr:row>
      <xdr:rowOff>114300</xdr:rowOff>
    </xdr:from>
    <xdr:to>
      <xdr:col>7</xdr:col>
      <xdr:colOff>404495</xdr:colOff>
      <xdr:row>36</xdr:row>
      <xdr:rowOff>388620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37</xdr:row>
      <xdr:rowOff>114300</xdr:rowOff>
    </xdr:from>
    <xdr:to>
      <xdr:col>1</xdr:col>
      <xdr:colOff>394970</xdr:colOff>
      <xdr:row>37</xdr:row>
      <xdr:rowOff>388620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37</xdr:row>
      <xdr:rowOff>114300</xdr:rowOff>
    </xdr:from>
    <xdr:to>
      <xdr:col>2</xdr:col>
      <xdr:colOff>394970</xdr:colOff>
      <xdr:row>37</xdr:row>
      <xdr:rowOff>388620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37</xdr:row>
      <xdr:rowOff>114300</xdr:rowOff>
    </xdr:from>
    <xdr:to>
      <xdr:col>3</xdr:col>
      <xdr:colOff>394970</xdr:colOff>
      <xdr:row>37</xdr:row>
      <xdr:rowOff>388620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37</xdr:row>
      <xdr:rowOff>114300</xdr:rowOff>
    </xdr:from>
    <xdr:to>
      <xdr:col>4</xdr:col>
      <xdr:colOff>394970</xdr:colOff>
      <xdr:row>37</xdr:row>
      <xdr:rowOff>379095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37</xdr:row>
      <xdr:rowOff>114300</xdr:rowOff>
    </xdr:from>
    <xdr:to>
      <xdr:col>5</xdr:col>
      <xdr:colOff>394970</xdr:colOff>
      <xdr:row>37</xdr:row>
      <xdr:rowOff>388620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37</xdr:row>
      <xdr:rowOff>114300</xdr:rowOff>
    </xdr:from>
    <xdr:to>
      <xdr:col>6</xdr:col>
      <xdr:colOff>394970</xdr:colOff>
      <xdr:row>37</xdr:row>
      <xdr:rowOff>388620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37</xdr:row>
      <xdr:rowOff>114300</xdr:rowOff>
    </xdr:from>
    <xdr:to>
      <xdr:col>7</xdr:col>
      <xdr:colOff>404495</xdr:colOff>
      <xdr:row>37</xdr:row>
      <xdr:rowOff>388620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114300</xdr:rowOff>
    </xdr:from>
    <xdr:to>
      <xdr:col>1</xdr:col>
      <xdr:colOff>394970</xdr:colOff>
      <xdr:row>38</xdr:row>
      <xdr:rowOff>388620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38</xdr:row>
      <xdr:rowOff>114300</xdr:rowOff>
    </xdr:from>
    <xdr:to>
      <xdr:col>2</xdr:col>
      <xdr:colOff>394970</xdr:colOff>
      <xdr:row>38</xdr:row>
      <xdr:rowOff>388620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38</xdr:row>
      <xdr:rowOff>114300</xdr:rowOff>
    </xdr:from>
    <xdr:to>
      <xdr:col>3</xdr:col>
      <xdr:colOff>394418</xdr:colOff>
      <xdr:row>38</xdr:row>
      <xdr:rowOff>388620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38</xdr:row>
      <xdr:rowOff>114300</xdr:rowOff>
    </xdr:from>
    <xdr:to>
      <xdr:col>4</xdr:col>
      <xdr:colOff>394418</xdr:colOff>
      <xdr:row>38</xdr:row>
      <xdr:rowOff>388620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27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38</xdr:row>
      <xdr:rowOff>114300</xdr:rowOff>
    </xdr:from>
    <xdr:to>
      <xdr:col>5</xdr:col>
      <xdr:colOff>394970</xdr:colOff>
      <xdr:row>38</xdr:row>
      <xdr:rowOff>388620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34</xdr:row>
      <xdr:rowOff>114300</xdr:rowOff>
    </xdr:from>
    <xdr:to>
      <xdr:col>14</xdr:col>
      <xdr:colOff>385445</xdr:colOff>
      <xdr:row>34</xdr:row>
      <xdr:rowOff>388620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34</xdr:row>
      <xdr:rowOff>114300</xdr:rowOff>
    </xdr:from>
    <xdr:to>
      <xdr:col>15</xdr:col>
      <xdr:colOff>394970</xdr:colOff>
      <xdr:row>34</xdr:row>
      <xdr:rowOff>388620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35</xdr:row>
      <xdr:rowOff>114300</xdr:rowOff>
    </xdr:from>
    <xdr:to>
      <xdr:col>9</xdr:col>
      <xdr:colOff>385445</xdr:colOff>
      <xdr:row>35</xdr:row>
      <xdr:rowOff>388620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35</xdr:row>
      <xdr:rowOff>114300</xdr:rowOff>
    </xdr:from>
    <xdr:to>
      <xdr:col>10</xdr:col>
      <xdr:colOff>385445</xdr:colOff>
      <xdr:row>35</xdr:row>
      <xdr:rowOff>388620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35</xdr:row>
      <xdr:rowOff>114300</xdr:rowOff>
    </xdr:from>
    <xdr:to>
      <xdr:col>11</xdr:col>
      <xdr:colOff>384893</xdr:colOff>
      <xdr:row>35</xdr:row>
      <xdr:rowOff>388620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35</xdr:row>
      <xdr:rowOff>114300</xdr:rowOff>
    </xdr:from>
    <xdr:to>
      <xdr:col>12</xdr:col>
      <xdr:colOff>384893</xdr:colOff>
      <xdr:row>35</xdr:row>
      <xdr:rowOff>388620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35</xdr:row>
      <xdr:rowOff>114300</xdr:rowOff>
    </xdr:from>
    <xdr:to>
      <xdr:col>13</xdr:col>
      <xdr:colOff>385445</xdr:colOff>
      <xdr:row>35</xdr:row>
      <xdr:rowOff>388620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35</xdr:row>
      <xdr:rowOff>114300</xdr:rowOff>
    </xdr:from>
    <xdr:to>
      <xdr:col>14</xdr:col>
      <xdr:colOff>385445</xdr:colOff>
      <xdr:row>35</xdr:row>
      <xdr:rowOff>388620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35</xdr:row>
      <xdr:rowOff>114300</xdr:rowOff>
    </xdr:from>
    <xdr:to>
      <xdr:col>15</xdr:col>
      <xdr:colOff>394970</xdr:colOff>
      <xdr:row>35</xdr:row>
      <xdr:rowOff>388620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36</xdr:row>
      <xdr:rowOff>114300</xdr:rowOff>
    </xdr:from>
    <xdr:to>
      <xdr:col>9</xdr:col>
      <xdr:colOff>385445</xdr:colOff>
      <xdr:row>36</xdr:row>
      <xdr:rowOff>388620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36</xdr:row>
      <xdr:rowOff>114300</xdr:rowOff>
    </xdr:from>
    <xdr:to>
      <xdr:col>10</xdr:col>
      <xdr:colOff>384893</xdr:colOff>
      <xdr:row>36</xdr:row>
      <xdr:rowOff>388620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36</xdr:row>
      <xdr:rowOff>114300</xdr:rowOff>
    </xdr:from>
    <xdr:to>
      <xdr:col>11</xdr:col>
      <xdr:colOff>384893</xdr:colOff>
      <xdr:row>36</xdr:row>
      <xdr:rowOff>388620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021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36</xdr:row>
      <xdr:rowOff>114300</xdr:rowOff>
    </xdr:from>
    <xdr:to>
      <xdr:col>12</xdr:col>
      <xdr:colOff>385445</xdr:colOff>
      <xdr:row>36</xdr:row>
      <xdr:rowOff>388620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36</xdr:row>
      <xdr:rowOff>114300</xdr:rowOff>
    </xdr:from>
    <xdr:to>
      <xdr:col>13</xdr:col>
      <xdr:colOff>385445</xdr:colOff>
      <xdr:row>36</xdr:row>
      <xdr:rowOff>388620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36</xdr:row>
      <xdr:rowOff>114300</xdr:rowOff>
    </xdr:from>
    <xdr:to>
      <xdr:col>14</xdr:col>
      <xdr:colOff>385445</xdr:colOff>
      <xdr:row>36</xdr:row>
      <xdr:rowOff>388620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36</xdr:row>
      <xdr:rowOff>114300</xdr:rowOff>
    </xdr:from>
    <xdr:to>
      <xdr:col>15</xdr:col>
      <xdr:colOff>394970</xdr:colOff>
      <xdr:row>36</xdr:row>
      <xdr:rowOff>388620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37</xdr:row>
      <xdr:rowOff>114300</xdr:rowOff>
    </xdr:from>
    <xdr:to>
      <xdr:col>9</xdr:col>
      <xdr:colOff>385445</xdr:colOff>
      <xdr:row>37</xdr:row>
      <xdr:rowOff>388620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37</xdr:row>
      <xdr:rowOff>114300</xdr:rowOff>
    </xdr:from>
    <xdr:to>
      <xdr:col>10</xdr:col>
      <xdr:colOff>385445</xdr:colOff>
      <xdr:row>37</xdr:row>
      <xdr:rowOff>388620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37</xdr:row>
      <xdr:rowOff>114300</xdr:rowOff>
    </xdr:from>
    <xdr:to>
      <xdr:col>11</xdr:col>
      <xdr:colOff>385445</xdr:colOff>
      <xdr:row>37</xdr:row>
      <xdr:rowOff>388620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37</xdr:row>
      <xdr:rowOff>114300</xdr:rowOff>
    </xdr:from>
    <xdr:to>
      <xdr:col>12</xdr:col>
      <xdr:colOff>385445</xdr:colOff>
      <xdr:row>37</xdr:row>
      <xdr:rowOff>388620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37</xdr:row>
      <xdr:rowOff>114300</xdr:rowOff>
    </xdr:from>
    <xdr:to>
      <xdr:col>13</xdr:col>
      <xdr:colOff>385445</xdr:colOff>
      <xdr:row>37</xdr:row>
      <xdr:rowOff>379095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478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37</xdr:row>
      <xdr:rowOff>114300</xdr:rowOff>
    </xdr:from>
    <xdr:to>
      <xdr:col>14</xdr:col>
      <xdr:colOff>385445</xdr:colOff>
      <xdr:row>37</xdr:row>
      <xdr:rowOff>388620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37</xdr:row>
      <xdr:rowOff>114300</xdr:rowOff>
    </xdr:from>
    <xdr:to>
      <xdr:col>15</xdr:col>
      <xdr:colOff>394970</xdr:colOff>
      <xdr:row>37</xdr:row>
      <xdr:rowOff>388620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38</xdr:row>
      <xdr:rowOff>114300</xdr:rowOff>
    </xdr:from>
    <xdr:to>
      <xdr:col>9</xdr:col>
      <xdr:colOff>385445</xdr:colOff>
      <xdr:row>38</xdr:row>
      <xdr:rowOff>388620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22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38</xdr:row>
      <xdr:rowOff>114300</xdr:rowOff>
    </xdr:from>
    <xdr:to>
      <xdr:col>10</xdr:col>
      <xdr:colOff>385445</xdr:colOff>
      <xdr:row>38</xdr:row>
      <xdr:rowOff>388620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38</xdr:row>
      <xdr:rowOff>114300</xdr:rowOff>
    </xdr:from>
    <xdr:to>
      <xdr:col>11</xdr:col>
      <xdr:colOff>385445</xdr:colOff>
      <xdr:row>38</xdr:row>
      <xdr:rowOff>388620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7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</xdr:colOff>
      <xdr:row>38</xdr:row>
      <xdr:rowOff>114300</xdr:rowOff>
    </xdr:from>
    <xdr:to>
      <xdr:col>12</xdr:col>
      <xdr:colOff>384893</xdr:colOff>
      <xdr:row>38</xdr:row>
      <xdr:rowOff>388620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38</xdr:row>
      <xdr:rowOff>114300</xdr:rowOff>
    </xdr:from>
    <xdr:to>
      <xdr:col>13</xdr:col>
      <xdr:colOff>384893</xdr:colOff>
      <xdr:row>38</xdr:row>
      <xdr:rowOff>388620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325" y="16935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111125</xdr:colOff>
      <xdr:row>38</xdr:row>
      <xdr:rowOff>114300</xdr:rowOff>
    </xdr:from>
    <xdr:to>
      <xdr:col>14</xdr:col>
      <xdr:colOff>385445</xdr:colOff>
      <xdr:row>38</xdr:row>
      <xdr:rowOff>388620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120650</xdr:colOff>
      <xdr:row>38</xdr:row>
      <xdr:rowOff>114300</xdr:rowOff>
    </xdr:from>
    <xdr:to>
      <xdr:col>15</xdr:col>
      <xdr:colOff>394970</xdr:colOff>
      <xdr:row>38</xdr:row>
      <xdr:rowOff>388620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34</xdr:row>
      <xdr:rowOff>114300</xdr:rowOff>
    </xdr:from>
    <xdr:to>
      <xdr:col>17</xdr:col>
      <xdr:colOff>404495</xdr:colOff>
      <xdr:row>34</xdr:row>
      <xdr:rowOff>388620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34</xdr:row>
      <xdr:rowOff>114300</xdr:rowOff>
    </xdr:from>
    <xdr:to>
      <xdr:col>18</xdr:col>
      <xdr:colOff>404495</xdr:colOff>
      <xdr:row>34</xdr:row>
      <xdr:rowOff>388620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34</xdr:row>
      <xdr:rowOff>114300</xdr:rowOff>
    </xdr:from>
    <xdr:to>
      <xdr:col>19</xdr:col>
      <xdr:colOff>404495</xdr:colOff>
      <xdr:row>34</xdr:row>
      <xdr:rowOff>388620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34</xdr:row>
      <xdr:rowOff>114300</xdr:rowOff>
    </xdr:from>
    <xdr:to>
      <xdr:col>20</xdr:col>
      <xdr:colOff>403943</xdr:colOff>
      <xdr:row>34</xdr:row>
      <xdr:rowOff>388620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8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34</xdr:row>
      <xdr:rowOff>114300</xdr:rowOff>
    </xdr:from>
    <xdr:to>
      <xdr:col>21</xdr:col>
      <xdr:colOff>403943</xdr:colOff>
      <xdr:row>34</xdr:row>
      <xdr:rowOff>388620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106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34</xdr:row>
      <xdr:rowOff>114300</xdr:rowOff>
    </xdr:from>
    <xdr:to>
      <xdr:col>22</xdr:col>
      <xdr:colOff>404495</xdr:colOff>
      <xdr:row>34</xdr:row>
      <xdr:rowOff>388620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8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106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34</xdr:row>
      <xdr:rowOff>104775</xdr:rowOff>
    </xdr:from>
    <xdr:to>
      <xdr:col>23</xdr:col>
      <xdr:colOff>404495</xdr:colOff>
      <xdr:row>34</xdr:row>
      <xdr:rowOff>379095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097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35</xdr:row>
      <xdr:rowOff>114300</xdr:rowOff>
    </xdr:from>
    <xdr:to>
      <xdr:col>17</xdr:col>
      <xdr:colOff>404495</xdr:colOff>
      <xdr:row>35</xdr:row>
      <xdr:rowOff>388620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35</xdr:row>
      <xdr:rowOff>114300</xdr:rowOff>
    </xdr:from>
    <xdr:to>
      <xdr:col>18</xdr:col>
      <xdr:colOff>404495</xdr:colOff>
      <xdr:row>35</xdr:row>
      <xdr:rowOff>388620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35</xdr:row>
      <xdr:rowOff>114300</xdr:rowOff>
    </xdr:from>
    <xdr:to>
      <xdr:col>19</xdr:col>
      <xdr:colOff>404495</xdr:colOff>
      <xdr:row>35</xdr:row>
      <xdr:rowOff>388620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8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35</xdr:row>
      <xdr:rowOff>114300</xdr:rowOff>
    </xdr:from>
    <xdr:to>
      <xdr:col>20</xdr:col>
      <xdr:colOff>403943</xdr:colOff>
      <xdr:row>35</xdr:row>
      <xdr:rowOff>388620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35</xdr:row>
      <xdr:rowOff>114300</xdr:rowOff>
    </xdr:from>
    <xdr:to>
      <xdr:col>21</xdr:col>
      <xdr:colOff>403943</xdr:colOff>
      <xdr:row>35</xdr:row>
      <xdr:rowOff>388620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8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5563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35</xdr:row>
      <xdr:rowOff>114300</xdr:rowOff>
    </xdr:from>
    <xdr:to>
      <xdr:col>22</xdr:col>
      <xdr:colOff>404495</xdr:colOff>
      <xdr:row>35</xdr:row>
      <xdr:rowOff>388620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8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5563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35</xdr:row>
      <xdr:rowOff>104775</xdr:rowOff>
    </xdr:from>
    <xdr:to>
      <xdr:col>23</xdr:col>
      <xdr:colOff>404495</xdr:colOff>
      <xdr:row>35</xdr:row>
      <xdr:rowOff>379095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5554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36</xdr:row>
      <xdr:rowOff>114300</xdr:rowOff>
    </xdr:from>
    <xdr:to>
      <xdr:col>17</xdr:col>
      <xdr:colOff>404495</xdr:colOff>
      <xdr:row>36</xdr:row>
      <xdr:rowOff>388620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8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36</xdr:row>
      <xdr:rowOff>114300</xdr:rowOff>
    </xdr:from>
    <xdr:to>
      <xdr:col>18</xdr:col>
      <xdr:colOff>404495</xdr:colOff>
      <xdr:row>36</xdr:row>
      <xdr:rowOff>388620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8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36</xdr:row>
      <xdr:rowOff>114300</xdr:rowOff>
    </xdr:from>
    <xdr:to>
      <xdr:col>19</xdr:col>
      <xdr:colOff>404495</xdr:colOff>
      <xdr:row>36</xdr:row>
      <xdr:rowOff>388620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36</xdr:row>
      <xdr:rowOff>114300</xdr:rowOff>
    </xdr:from>
    <xdr:to>
      <xdr:col>20</xdr:col>
      <xdr:colOff>404495</xdr:colOff>
      <xdr:row>36</xdr:row>
      <xdr:rowOff>388620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8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36</xdr:row>
      <xdr:rowOff>114300</xdr:rowOff>
    </xdr:from>
    <xdr:to>
      <xdr:col>21</xdr:col>
      <xdr:colOff>404495</xdr:colOff>
      <xdr:row>36</xdr:row>
      <xdr:rowOff>388620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8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36</xdr:row>
      <xdr:rowOff>114300</xdr:rowOff>
    </xdr:from>
    <xdr:to>
      <xdr:col>22</xdr:col>
      <xdr:colOff>404495</xdr:colOff>
      <xdr:row>36</xdr:row>
      <xdr:rowOff>388620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021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36</xdr:row>
      <xdr:rowOff>104775</xdr:rowOff>
    </xdr:from>
    <xdr:to>
      <xdr:col>23</xdr:col>
      <xdr:colOff>404495</xdr:colOff>
      <xdr:row>36</xdr:row>
      <xdr:rowOff>369570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011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37</xdr:row>
      <xdr:rowOff>114300</xdr:rowOff>
    </xdr:from>
    <xdr:to>
      <xdr:col>17</xdr:col>
      <xdr:colOff>404495</xdr:colOff>
      <xdr:row>37</xdr:row>
      <xdr:rowOff>388620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37</xdr:row>
      <xdr:rowOff>114300</xdr:rowOff>
    </xdr:from>
    <xdr:to>
      <xdr:col>18</xdr:col>
      <xdr:colOff>404495</xdr:colOff>
      <xdr:row>37</xdr:row>
      <xdr:rowOff>388620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37</xdr:row>
      <xdr:rowOff>114300</xdr:rowOff>
    </xdr:from>
    <xdr:to>
      <xdr:col>19</xdr:col>
      <xdr:colOff>404495</xdr:colOff>
      <xdr:row>37</xdr:row>
      <xdr:rowOff>388620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130175</xdr:colOff>
      <xdr:row>37</xdr:row>
      <xdr:rowOff>114300</xdr:rowOff>
    </xdr:from>
    <xdr:to>
      <xdr:col>20</xdr:col>
      <xdr:colOff>404495</xdr:colOff>
      <xdr:row>37</xdr:row>
      <xdr:rowOff>388620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130175</xdr:colOff>
      <xdr:row>37</xdr:row>
      <xdr:rowOff>114300</xdr:rowOff>
    </xdr:from>
    <xdr:to>
      <xdr:col>21</xdr:col>
      <xdr:colOff>404495</xdr:colOff>
      <xdr:row>37</xdr:row>
      <xdr:rowOff>388620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175" y="16478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130175</xdr:colOff>
      <xdr:row>37</xdr:row>
      <xdr:rowOff>114300</xdr:rowOff>
    </xdr:from>
    <xdr:to>
      <xdr:col>22</xdr:col>
      <xdr:colOff>403943</xdr:colOff>
      <xdr:row>37</xdr:row>
      <xdr:rowOff>388620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8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950" y="16478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130175</xdr:colOff>
      <xdr:row>37</xdr:row>
      <xdr:rowOff>104775</xdr:rowOff>
    </xdr:from>
    <xdr:to>
      <xdr:col>23</xdr:col>
      <xdr:colOff>403943</xdr:colOff>
      <xdr:row>37</xdr:row>
      <xdr:rowOff>379095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8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725" y="16468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130175</xdr:colOff>
      <xdr:row>38</xdr:row>
      <xdr:rowOff>114300</xdr:rowOff>
    </xdr:from>
    <xdr:to>
      <xdr:col>17</xdr:col>
      <xdr:colOff>404495</xdr:colOff>
      <xdr:row>38</xdr:row>
      <xdr:rowOff>388620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075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130175</xdr:colOff>
      <xdr:row>38</xdr:row>
      <xdr:rowOff>114300</xdr:rowOff>
    </xdr:from>
    <xdr:to>
      <xdr:col>18</xdr:col>
      <xdr:colOff>404495</xdr:colOff>
      <xdr:row>38</xdr:row>
      <xdr:rowOff>388620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8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935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130175</xdr:colOff>
      <xdr:row>38</xdr:row>
      <xdr:rowOff>114300</xdr:rowOff>
    </xdr:from>
    <xdr:to>
      <xdr:col>19</xdr:col>
      <xdr:colOff>404495</xdr:colOff>
      <xdr:row>38</xdr:row>
      <xdr:rowOff>388620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8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625" y="16935450"/>
          <a:ext cx="274320" cy="274320"/>
        </a:xfrm>
        <a:prstGeom prst="rect">
          <a:avLst/>
        </a:prstGeom>
      </xdr:spPr>
    </xdr:pic>
    <xdr:clientData/>
  </xdr:twoCellAnchor>
</xdr:wsDr>
</file>

<file path=xl/externalLinks/_rels/externalLink102.xml.rels>&#65279;<?xml version="1.0" encoding="utf-8"?><Relationships xmlns="http://schemas.openxmlformats.org/package/2006/relationships"><Relationship Type="http://schemas.microsoft.com/office/2006/relationships/xlExternalLinkPath/xlPathMissing" Target="2026'2026'2026'2026'2026'2026'2026'2026'2026'2026'2026'2026" TargetMode="External" Id="rId1" /></Relationships>
</file>

<file path=xl/externalLinks/_rels/externalLink1113.xml.rels>&#65279;<?xml version="1.0" encoding="utf-8"?><Relationships xmlns="http://schemas.openxmlformats.org/package/2006/relationships"><Relationship Type="http://schemas.microsoft.com/office/2006/relationships/xlExternalLinkPath/xlPathMissing" Target="2027'2027'2027'2027'2027'2027'2027'2027'2027'2027'2027'2027" TargetMode="External" Id="rId1" /></Relationships>
</file>

<file path=xl/externalLinks/_rels/externalLink1210.xml.rels>&#65279;<?xml version="1.0" encoding="utf-8"?><Relationships xmlns="http://schemas.openxmlformats.org/package/2006/relationships"><Relationship Type="http://schemas.microsoft.com/office/2006/relationships/xlExternalLinkPath/xlPathMissing" Target="2028'2028'2028'2028'2028'2028'2028'2028'2028'2028'2028'2028" TargetMode="External" Id="rId1" /></Relationships>
</file>

<file path=xl/externalLinks/_rels/externalLink137.xml.rels>&#65279;<?xml version="1.0" encoding="utf-8"?><Relationships xmlns="http://schemas.openxmlformats.org/package/2006/relationships"><Relationship Type="http://schemas.microsoft.com/office/2006/relationships/xlExternalLinkPath/xlPathMissing" Target="2029'2029'2029'2029'2029'2029'2029'2029'2029'2029'2029'2029" TargetMode="External" Id="rId1" /></Relationships>
</file>

<file path=xl/externalLinks/_rels/externalLink14.xml.rels>&#65279;<?xml version="1.0" encoding="utf-8"?><Relationships xmlns="http://schemas.openxmlformats.org/package/2006/relationships"><Relationship Type="http://schemas.microsoft.com/office/2006/relationships/xlExternalLinkPath/xlPathMissing" Target="2017'2017'2017'2017'2017'2017'2017'2017'2017'2017'2017'2017" TargetMode="External" Id="rId1" /></Relationships>
</file>

<file path=xl/externalLinks/_rels/externalLink1414.xml.rels>&#65279;<?xml version="1.0" encoding="utf-8"?><Relationships xmlns="http://schemas.openxmlformats.org/package/2006/relationships"><Relationship Type="http://schemas.microsoft.com/office/2006/relationships/xlExternalLinkPath/xlPathMissing" Target="2030'2030'2030'2030'2030'2030'2030'2030'2030'2030'2030'2030" TargetMode="External" Id="rId1" /></Relationships>
</file>

<file path=xl/externalLinks/_rels/externalLink21.xml.rels>&#65279;<?xml version="1.0" encoding="utf-8"?><Relationships xmlns="http://schemas.openxmlformats.org/package/2006/relationships"><Relationship Type="http://schemas.microsoft.com/office/2006/relationships/xlExternalLinkPath/xlPathMissing" Target="2018'2018'2018'2018'2018'2018'2018'2018'2018'2018'2018'2018" TargetMode="External" Id="rId1" /></Relationships>
</file>

<file path=xl/externalLinks/_rels/externalLink311.xml.rels>&#65279;<?xml version="1.0" encoding="utf-8"?><Relationships xmlns="http://schemas.openxmlformats.org/package/2006/relationships"><Relationship Type="http://schemas.microsoft.com/office/2006/relationships/xlExternalLinkPath/xlPathMissing" Target="2019'2019'2019'2019'2019'2019'2019'2019'2019'2019'2019'2019" TargetMode="External" Id="rId1" /></Relationships>
</file>

<file path=xl/externalLinks/_rels/externalLink46.xml.rels>&#65279;<?xml version="1.0" encoding="utf-8"?><Relationships xmlns="http://schemas.openxmlformats.org/package/2006/relationships"><Relationship Type="http://schemas.microsoft.com/office/2006/relationships/xlExternalLinkPath/xlPathMissing" Target="2020'2020'2020'2020'2020'2020'2020'2020'2020'2020'2020'2020" TargetMode="External" Id="rId1" /></Relationships>
</file>

<file path=xl/externalLinks/_rels/externalLink53.xml.rels>&#65279;<?xml version="1.0" encoding="utf-8"?><Relationships xmlns="http://schemas.openxmlformats.org/package/2006/relationships"><Relationship Type="http://schemas.microsoft.com/office/2006/relationships/xlExternalLinkPath/xlPathMissing" Target="2021'2021'2021'2021'2021'2021'2021'2021'2021'2021'2021'2021" TargetMode="External" Id="rId1" /></Relationships>
</file>

<file path=xl/externalLinks/_rels/externalLink612.xml.rels>&#65279;<?xml version="1.0" encoding="utf-8"?><Relationships xmlns="http://schemas.openxmlformats.org/package/2006/relationships"><Relationship Type="http://schemas.microsoft.com/office/2006/relationships/xlExternalLinkPath/xlPathMissing" Target="2022'2022'2022'2022'2022'2022'2022'2022'2022'2022'2022'2022" TargetMode="External" Id="rId1" /></Relationships>
</file>

<file path=xl/externalLinks/_rels/externalLink79.xml.rels>&#65279;<?xml version="1.0" encoding="utf-8"?><Relationships xmlns="http://schemas.openxmlformats.org/package/2006/relationships"><Relationship Type="http://schemas.microsoft.com/office/2006/relationships/xlExternalLinkPath/xlPathMissing" Target="2023'2023'2023'2023'2023'2023'2023'2023'2023'2023'2023'2023" TargetMode="External" Id="rId1" /></Relationships>
</file>

<file path=xl/externalLinks/_rels/externalLink88.xml.rels>&#65279;<?xml version="1.0" encoding="utf-8"?><Relationships xmlns="http://schemas.openxmlformats.org/package/2006/relationships"><Relationship Type="http://schemas.microsoft.com/office/2006/relationships/xlExternalLinkPath/xlPathMissing" Target="2024'2024'2024'2024'2024'2024'2024'2024'2024'2024'2024'2024" TargetMode="External" Id="rId1" /></Relationships>
</file>

<file path=xl/externalLinks/_rels/externalLink95.xml.rels>&#65279;<?xml version="1.0" encoding="utf-8"?><Relationships xmlns="http://schemas.openxmlformats.org/package/2006/relationships"><Relationship Type="http://schemas.microsoft.com/office/2006/relationships/xlExternalLinkPath/xlPathMissing" Target="2025'2025'2025'2025'2025'2025'2025'2025'2025'2025'2025'2025" TargetMode="External" Id="rId1" /></Relationships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6'2026'2026'2026'2026'2026'2"/>
    </sheetNames>
    <sheetDataSet>
      <sheetData sheetId="0" refreshError="1"/>
    </sheetDataSet>
  </externalBook>
</externalLink>
</file>

<file path=xl/externalLinks/externalLink1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7'2027'2027'2027'2027'2027'2"/>
    </sheetNames>
    <sheetDataSet>
      <sheetData sheetId="0" refreshError="1"/>
    </sheetDataSet>
  </externalBook>
</externalLink>
</file>

<file path=xl/externalLinks/externalLink1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8'2028'2028'2028'2028'2028'2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9'2029'2029'2029'2029'2029'2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'2017'2017'2017'2017'2017'2"/>
    </sheetNames>
    <sheetDataSet>
      <sheetData sheetId="0" refreshError="1"/>
    </sheetDataSet>
  </externalBook>
</externalLink>
</file>

<file path=xl/externalLinks/externalLink14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0'2030'2030'2030'2030'2030'2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'2018'2018'2018'2018'2018'2"/>
    </sheetNames>
    <sheetDataSet>
      <sheetData sheetId="0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'2019'2019'2019'2019'2019'2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'2020'2020'2020'2020'2020'2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'2021'2021'2021'2021'2021'2"/>
    </sheetNames>
    <sheetDataSet>
      <sheetData sheetId="0" refreshError="1"/>
    </sheetDataSet>
  </externalBook>
</externalLink>
</file>

<file path=xl/externalLinks/externalLink6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'2022'2022'2022'2022'2022'2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'2023'2023'2023'2023'2023'2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'2024'2024'2024'2024'2024'2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'2025'2025'2025'2025'2025'2"/>
    </sheetNames>
    <sheetDataSet>
      <sheetData sheetId="0" refreshError="1"/>
    </sheetDataSet>
  </externalBook>
</externalLink>
</file>

<file path=xl/tables/table100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63000000}" name="Avril176" displayName="Avril176" ref="B16:H22" totalsRowShown="0" headerRowDxfId="708" dataDxfId="707">
  <autoFilter ref="B16:H22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300-000001000000}" name="Lu" dataDxfId="706"/>
    <tableColumn id="2" xr3:uid="{00000000-0010-0000-6300-000002000000}" name="Ma" dataDxfId="705"/>
    <tableColumn id="3" xr3:uid="{00000000-0010-0000-6300-000003000000}" name="Me" dataDxfId="704"/>
    <tableColumn id="4" xr3:uid="{00000000-0010-0000-6300-000004000000}" name="Je" dataDxfId="703"/>
    <tableColumn id="5" xr3:uid="{00000000-0010-0000-6300-000005000000}" name="Ve" dataDxfId="702"/>
    <tableColumn id="6" xr3:uid="{00000000-0010-0000-6300-000006000000}" name="Sa" dataDxfId="701"/>
    <tableColumn id="7" xr3:uid="{00000000-0010-0000-6300-000007000000}" name="Di" dataDxfId="7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01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64000000}" name="Août177" displayName="Août177" ref="J25:P31" totalsRowShown="0" headerRowDxfId="699" dataDxfId="698">
  <autoFilter ref="J25:P31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400-000001000000}" name="Lu" dataDxfId="697"/>
    <tableColumn id="2" xr3:uid="{00000000-0010-0000-6400-000002000000}" name="Ma" dataDxfId="696"/>
    <tableColumn id="3" xr3:uid="{00000000-0010-0000-6400-000003000000}" name="Me" dataDxfId="695"/>
    <tableColumn id="4" xr3:uid="{00000000-0010-0000-6400-000004000000}" name="Je" dataDxfId="694"/>
    <tableColumn id="5" xr3:uid="{00000000-0010-0000-6400-000005000000}" name="Ve" dataDxfId="693"/>
    <tableColumn id="6" xr3:uid="{00000000-0010-0000-6400-000006000000}" name="Sa" dataDxfId="692"/>
    <tableColumn id="7" xr3:uid="{00000000-0010-0000-6400-000007000000}" name="Di" dataDxfId="6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02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65000000}" name="Décembre178" displayName="Décembre178" ref="R34:X40" totalsRowShown="0" headerRowDxfId="690" dataDxfId="689">
  <autoFilter ref="R34:X40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500-000001000000}" name="Lu" dataDxfId="688"/>
    <tableColumn id="2" xr3:uid="{00000000-0010-0000-6500-000002000000}" name="Ma" dataDxfId="687"/>
    <tableColumn id="3" xr3:uid="{00000000-0010-0000-6500-000003000000}" name="Me" dataDxfId="686"/>
    <tableColumn id="4" xr3:uid="{00000000-0010-0000-6500-000004000000}" name="Je" dataDxfId="685"/>
    <tableColumn id="5" xr3:uid="{00000000-0010-0000-6500-000005000000}" name="Ve" dataDxfId="684"/>
    <tableColumn id="6" xr3:uid="{00000000-0010-0000-6500-000006000000}" name="Sa" dataDxfId="683"/>
    <tableColumn id="7" xr3:uid="{00000000-0010-0000-6500-000007000000}" name="Di" dataDxfId="6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03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66000000}" name="Novembre179" displayName="Novembre179" ref="J34:P40" totalsRowShown="0" headerRowDxfId="681" dataDxfId="680">
  <autoFilter ref="J34:P40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600-000001000000}" name="Lu" dataDxfId="679"/>
    <tableColumn id="2" xr3:uid="{00000000-0010-0000-6600-000002000000}" name="Ma" dataDxfId="678"/>
    <tableColumn id="3" xr3:uid="{00000000-0010-0000-6600-000003000000}" name="Me" dataDxfId="677"/>
    <tableColumn id="4" xr3:uid="{00000000-0010-0000-6600-000004000000}" name="Je" dataDxfId="676"/>
    <tableColumn id="5" xr3:uid="{00000000-0010-0000-6600-000005000000}" name="Ve" dataDxfId="675"/>
    <tableColumn id="6" xr3:uid="{00000000-0010-0000-6600-000006000000}" name="Sa" dataDxfId="674"/>
    <tableColumn id="7" xr3:uid="{00000000-0010-0000-6600-000007000000}" name="Di" dataDxfId="6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04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67000000}" name="Octobre180" displayName="Octobre180" ref="B34:H40" totalsRowShown="0" headerRowDxfId="672" dataDxfId="671">
  <autoFilter ref="B34:H40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700-000001000000}" name="Lu" dataDxfId="670"/>
    <tableColumn id="2" xr3:uid="{00000000-0010-0000-6700-000002000000}" name="Ma" dataDxfId="669"/>
    <tableColumn id="3" xr3:uid="{00000000-0010-0000-6700-000003000000}" name="Me" dataDxfId="668"/>
    <tableColumn id="4" xr3:uid="{00000000-0010-0000-6700-000004000000}" name="Je" dataDxfId="667"/>
    <tableColumn id="5" xr3:uid="{00000000-0010-0000-6700-000005000000}" name="Ve" dataDxfId="666"/>
    <tableColumn id="6" xr3:uid="{00000000-0010-0000-6700-000006000000}" name="Sa" dataDxfId="665"/>
    <tableColumn id="7" xr3:uid="{00000000-0010-0000-6700-000007000000}" name="Di" dataDxfId="6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05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68000000}" name="Septembre181" displayName="Septembre181" ref="R25:X31" totalsRowShown="0" headerRowDxfId="663" dataDxfId="662">
  <autoFilter ref="R25:X31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800-000001000000}" name="Lu" dataDxfId="661"/>
    <tableColumn id="2" xr3:uid="{00000000-0010-0000-6800-000002000000}" name="Ma" dataDxfId="660"/>
    <tableColumn id="3" xr3:uid="{00000000-0010-0000-6800-000003000000}" name="Me" dataDxfId="659"/>
    <tableColumn id="4" xr3:uid="{00000000-0010-0000-6800-000004000000}" name="Je" dataDxfId="658"/>
    <tableColumn id="5" xr3:uid="{00000000-0010-0000-6800-000005000000}" name="Ve" dataDxfId="657"/>
    <tableColumn id="6" xr3:uid="{00000000-0010-0000-6800-000006000000}" name="Sa" dataDxfId="656"/>
    <tableColumn id="7" xr3:uid="{00000000-0010-0000-6800-000007000000}" name="Di" dataDxfId="65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0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09000000}" name="Mai_86" displayName="Mai_86" ref="J16:P22" totalsRowShown="0" headerRowDxfId="1638" dataDxfId="1637" tableBorderDxfId="1636">
  <autoFilter ref="J16:P22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900-000001000000}" name="Lu" dataDxfId="1635"/>
    <tableColumn id="2" xr3:uid="{00000000-0010-0000-0900-000002000000}" name="Ma" dataDxfId="1634"/>
    <tableColumn id="3" xr3:uid="{00000000-0010-0000-0900-000003000000}" name="Me" dataDxfId="1633"/>
    <tableColumn id="4" xr3:uid="{00000000-0010-0000-0900-000004000000}" name="Je" dataDxfId="1632"/>
    <tableColumn id="5" xr3:uid="{00000000-0010-0000-0900-000005000000}" name="Ve" dataDxfId="1631"/>
    <tableColumn id="6" xr3:uid="{00000000-0010-0000-0900-000006000000}" name="Sa" dataDxfId="1630"/>
    <tableColumn id="7" xr3:uid="{00000000-0010-0000-0900-000007000000}" name="Di" dataDxfId="162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06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69000000}" name="Mai_182" displayName="Mai_182" ref="J16:P22" totalsRowShown="0" headerRowDxfId="654" dataDxfId="653" tableBorderDxfId="652">
  <autoFilter ref="J16:P22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900-000001000000}" name="Lu" dataDxfId="651"/>
    <tableColumn id="2" xr3:uid="{00000000-0010-0000-6900-000002000000}" name="Ma" dataDxfId="650"/>
    <tableColumn id="3" xr3:uid="{00000000-0010-0000-6900-000003000000}" name="Me" dataDxfId="649"/>
    <tableColumn id="4" xr3:uid="{00000000-0010-0000-6900-000004000000}" name="Je" dataDxfId="648"/>
    <tableColumn id="5" xr3:uid="{00000000-0010-0000-6900-000005000000}" name="Ve" dataDxfId="647"/>
    <tableColumn id="6" xr3:uid="{00000000-0010-0000-6900-000006000000}" name="Sa" dataDxfId="646"/>
    <tableColumn id="7" xr3:uid="{00000000-0010-0000-6900-000007000000}" name="Di" dataDxfId="6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07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6A000000}" name="Juin183" displayName="Juin183" ref="R16:X22" totalsRowShown="0" headerRowDxfId="644" dataDxfId="643" tableBorderDxfId="642">
  <autoFilter ref="R16:X22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A00-000001000000}" name="Lu" dataDxfId="641"/>
    <tableColumn id="2" xr3:uid="{00000000-0010-0000-6A00-000002000000}" name="Ma" dataDxfId="640"/>
    <tableColumn id="3" xr3:uid="{00000000-0010-0000-6A00-000003000000}" name="Me" dataDxfId="639"/>
    <tableColumn id="4" xr3:uid="{00000000-0010-0000-6A00-000004000000}" name="Je" dataDxfId="638"/>
    <tableColumn id="5" xr3:uid="{00000000-0010-0000-6A00-000005000000}" name="Ve" dataDxfId="637"/>
    <tableColumn id="6" xr3:uid="{00000000-0010-0000-6A00-000006000000}" name="Sa" dataDxfId="636"/>
    <tableColumn id="7" xr3:uid="{00000000-0010-0000-6A00-000007000000}" name="Di" dataDxfId="63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08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6B000000}" name="Juillet184" displayName="Juillet184" ref="B25:H31" totalsRowShown="0" headerRowDxfId="634" dataDxfId="633">
  <autoFilter ref="B25:H31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B00-000001000000}" name="Lu" dataDxfId="632"/>
    <tableColumn id="2" xr3:uid="{00000000-0010-0000-6B00-000002000000}" name="Ma" dataDxfId="631"/>
    <tableColumn id="3" xr3:uid="{00000000-0010-0000-6B00-000003000000}" name="Me" dataDxfId="630"/>
    <tableColumn id="4" xr3:uid="{00000000-0010-0000-6B00-000004000000}" name="Je" dataDxfId="629"/>
    <tableColumn id="5" xr3:uid="{00000000-0010-0000-6B00-000005000000}" name="Ve" dataDxfId="628"/>
    <tableColumn id="6" xr3:uid="{00000000-0010-0000-6B00-000006000000}" name="Sa" dataDxfId="627"/>
    <tableColumn id="7" xr3:uid="{00000000-0010-0000-6B00-000007000000}" name="Di" dataDxfId="62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09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6C000000}" name="Janvier185" displayName="Janvier185" ref="B7:H13" totalsRowShown="0" headerRowDxfId="613" dataDxfId="612" tableBorderDxfId="611">
  <autoFilter ref="B7:H13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C00-000001000000}" name="Lu" dataDxfId="610"/>
    <tableColumn id="2" xr3:uid="{00000000-0010-0000-6C00-000002000000}" name="Ma" dataDxfId="609"/>
    <tableColumn id="3" xr3:uid="{00000000-0010-0000-6C00-000003000000}" name="Me" dataDxfId="608"/>
    <tableColumn id="4" xr3:uid="{00000000-0010-0000-6C00-000004000000}" name="Je" dataDxfId="607"/>
    <tableColumn id="5" xr3:uid="{00000000-0010-0000-6C00-000005000000}" name="Ve" dataDxfId="606"/>
    <tableColumn id="6" xr3:uid="{00000000-0010-0000-6C00-000006000000}" name="Sa" dataDxfId="605"/>
    <tableColumn id="7" xr3:uid="{00000000-0010-0000-6C00-000007000000}" name="Di" dataDxfId="60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10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6D000000}" name="Février186" displayName="Février186" ref="J7:P13" totalsRowShown="0" headerRowDxfId="603" dataDxfId="602">
  <autoFilter ref="J7:P13" xr:uid="{00000000-0009-0000-0100-0000B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D00-000001000000}" name="Lu" dataDxfId="601"/>
    <tableColumn id="2" xr3:uid="{00000000-0010-0000-6D00-000002000000}" name="Ma" dataDxfId="600"/>
    <tableColumn id="3" xr3:uid="{00000000-0010-0000-6D00-000003000000}" name="Me" dataDxfId="599"/>
    <tableColumn id="4" xr3:uid="{00000000-0010-0000-6D00-000004000000}" name="Je" dataDxfId="598"/>
    <tableColumn id="5" xr3:uid="{00000000-0010-0000-6D00-000005000000}" name="Ve" dataDxfId="597"/>
    <tableColumn id="6" xr3:uid="{00000000-0010-0000-6D00-000006000000}" name="Sa" dataDxfId="596"/>
    <tableColumn id="7" xr3:uid="{00000000-0010-0000-6D00-000007000000}" name="Di" dataDxfId="5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11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6E000000}" name="Mars187" displayName="Mars187" ref="R7:X13" totalsRowShown="0" headerRowDxfId="594" dataDxfId="593">
  <autoFilter ref="R7:X1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E00-000001000000}" name="Lu" dataDxfId="592"/>
    <tableColumn id="2" xr3:uid="{00000000-0010-0000-6E00-000002000000}" name="Ma" dataDxfId="591"/>
    <tableColumn id="3" xr3:uid="{00000000-0010-0000-6E00-000003000000}" name="Me" dataDxfId="590"/>
    <tableColumn id="4" xr3:uid="{00000000-0010-0000-6E00-000004000000}" name="Je" dataDxfId="589"/>
    <tableColumn id="5" xr3:uid="{00000000-0010-0000-6E00-000005000000}" name="Ve" dataDxfId="588"/>
    <tableColumn id="6" xr3:uid="{00000000-0010-0000-6E00-000006000000}" name="Sa" dataDxfId="587"/>
    <tableColumn id="7" xr3:uid="{00000000-0010-0000-6E00-000007000000}" name="Di" dataDxfId="58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12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6F000000}" name="Avril188" displayName="Avril188" ref="B16:H22" totalsRowShown="0" headerRowDxfId="585" dataDxfId="584">
  <autoFilter ref="B16:H22" xr:uid="{00000000-0009-0000-0100-0000B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F00-000001000000}" name="Lu" dataDxfId="583"/>
    <tableColumn id="2" xr3:uid="{00000000-0010-0000-6F00-000002000000}" name="Ma" dataDxfId="582"/>
    <tableColumn id="3" xr3:uid="{00000000-0010-0000-6F00-000003000000}" name="Me" dataDxfId="581"/>
    <tableColumn id="4" xr3:uid="{00000000-0010-0000-6F00-000004000000}" name="Je" dataDxfId="580"/>
    <tableColumn id="5" xr3:uid="{00000000-0010-0000-6F00-000005000000}" name="Ve" dataDxfId="579"/>
    <tableColumn id="6" xr3:uid="{00000000-0010-0000-6F00-000006000000}" name="Sa" dataDxfId="578"/>
    <tableColumn id="7" xr3:uid="{00000000-0010-0000-6F00-000007000000}" name="Di" dataDxfId="57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13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70000000}" name="Août189" displayName="Août189" ref="J25:P31" totalsRowShown="0" headerRowDxfId="576" dataDxfId="575">
  <autoFilter ref="J25:P31" xr:uid="{00000000-0009-0000-0100-0000B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000-000001000000}" name="Lu" dataDxfId="574"/>
    <tableColumn id="2" xr3:uid="{00000000-0010-0000-7000-000002000000}" name="Ma" dataDxfId="573"/>
    <tableColumn id="3" xr3:uid="{00000000-0010-0000-7000-000003000000}" name="Me" dataDxfId="572"/>
    <tableColumn id="4" xr3:uid="{00000000-0010-0000-7000-000004000000}" name="Je" dataDxfId="571"/>
    <tableColumn id="5" xr3:uid="{00000000-0010-0000-7000-000005000000}" name="Ve" dataDxfId="570"/>
    <tableColumn id="6" xr3:uid="{00000000-0010-0000-7000-000006000000}" name="Sa" dataDxfId="569"/>
    <tableColumn id="7" xr3:uid="{00000000-0010-0000-7000-000007000000}" name="Di" dataDxfId="5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1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71000000}" name="Décembre190" displayName="Décembre190" ref="R34:X40" totalsRowShown="0" headerRowDxfId="567" dataDxfId="566">
  <autoFilter ref="R34:X40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100-000001000000}" name="Lu" dataDxfId="565"/>
    <tableColumn id="2" xr3:uid="{00000000-0010-0000-7100-000002000000}" name="Ma" dataDxfId="564"/>
    <tableColumn id="3" xr3:uid="{00000000-0010-0000-7100-000003000000}" name="Me" dataDxfId="563"/>
    <tableColumn id="4" xr3:uid="{00000000-0010-0000-7100-000004000000}" name="Je" dataDxfId="562"/>
    <tableColumn id="5" xr3:uid="{00000000-0010-0000-7100-000005000000}" name="Ve" dataDxfId="561"/>
    <tableColumn id="6" xr3:uid="{00000000-0010-0000-7100-000006000000}" name="Sa" dataDxfId="560"/>
    <tableColumn id="7" xr3:uid="{00000000-0010-0000-7100-000007000000}" name="Di" dataDxfId="55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0A000000}" name="Juin87" displayName="Juin87" ref="R16:X22" totalsRowShown="0" headerRowDxfId="1628" dataDxfId="1627" tableBorderDxfId="1626">
  <autoFilter ref="R16:X22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A00-000001000000}" name="Lu" dataDxfId="1625"/>
    <tableColumn id="2" xr3:uid="{00000000-0010-0000-0A00-000002000000}" name="Ma" dataDxfId="1624"/>
    <tableColumn id="3" xr3:uid="{00000000-0010-0000-0A00-000003000000}" name="Me" dataDxfId="1623"/>
    <tableColumn id="4" xr3:uid="{00000000-0010-0000-0A00-000004000000}" name="Je" dataDxfId="1622"/>
    <tableColumn id="5" xr3:uid="{00000000-0010-0000-0A00-000005000000}" name="Ve" dataDxfId="1621"/>
    <tableColumn id="6" xr3:uid="{00000000-0010-0000-0A00-000006000000}" name="Sa" dataDxfId="1620"/>
    <tableColumn id="7" xr3:uid="{00000000-0010-0000-0A00-000007000000}" name="Di" dataDxfId="161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15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72000000}" name="Novembre191" displayName="Novembre191" ref="J34:P40" totalsRowShown="0" headerRowDxfId="558" dataDxfId="557">
  <autoFilter ref="J34:P40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200-000001000000}" name="Lu" dataDxfId="556"/>
    <tableColumn id="2" xr3:uid="{00000000-0010-0000-7200-000002000000}" name="Ma" dataDxfId="555"/>
    <tableColumn id="3" xr3:uid="{00000000-0010-0000-7200-000003000000}" name="Me" dataDxfId="554"/>
    <tableColumn id="4" xr3:uid="{00000000-0010-0000-7200-000004000000}" name="Je" dataDxfId="553"/>
    <tableColumn id="5" xr3:uid="{00000000-0010-0000-7200-000005000000}" name="Ve" dataDxfId="552"/>
    <tableColumn id="6" xr3:uid="{00000000-0010-0000-7200-000006000000}" name="Sa" dataDxfId="551"/>
    <tableColumn id="7" xr3:uid="{00000000-0010-0000-7200-000007000000}" name="Di" dataDxfId="55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16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73000000}" name="Octobre192" displayName="Octobre192" ref="B34:H40" totalsRowShown="0" headerRowDxfId="549" dataDxfId="548">
  <autoFilter ref="B34:H40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300-000001000000}" name="Lu" dataDxfId="547"/>
    <tableColumn id="2" xr3:uid="{00000000-0010-0000-7300-000002000000}" name="Ma" dataDxfId="546"/>
    <tableColumn id="3" xr3:uid="{00000000-0010-0000-7300-000003000000}" name="Me" dataDxfId="545"/>
    <tableColumn id="4" xr3:uid="{00000000-0010-0000-7300-000004000000}" name="Je" dataDxfId="544"/>
    <tableColumn id="5" xr3:uid="{00000000-0010-0000-7300-000005000000}" name="Ve" dataDxfId="543"/>
    <tableColumn id="6" xr3:uid="{00000000-0010-0000-7300-000006000000}" name="Sa" dataDxfId="542"/>
    <tableColumn id="7" xr3:uid="{00000000-0010-0000-7300-000007000000}" name="Di" dataDxfId="5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17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74000000}" name="Septembre193" displayName="Septembre193" ref="R25:X31" totalsRowShown="0" headerRowDxfId="540" dataDxfId="539">
  <autoFilter ref="R25:X31" xr:uid="{00000000-0009-0000-0100-0000C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400-000001000000}" name="Lu" dataDxfId="538"/>
    <tableColumn id="2" xr3:uid="{00000000-0010-0000-7400-000002000000}" name="Ma" dataDxfId="537"/>
    <tableColumn id="3" xr3:uid="{00000000-0010-0000-7400-000003000000}" name="Me" dataDxfId="536"/>
    <tableColumn id="4" xr3:uid="{00000000-0010-0000-7400-000004000000}" name="Je" dataDxfId="535"/>
    <tableColumn id="5" xr3:uid="{00000000-0010-0000-7400-000005000000}" name="Ve" dataDxfId="534"/>
    <tableColumn id="6" xr3:uid="{00000000-0010-0000-7400-000006000000}" name="Sa" dataDxfId="533"/>
    <tableColumn id="7" xr3:uid="{00000000-0010-0000-7400-000007000000}" name="Di" dataDxfId="5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18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75000000}" name="Mai_194" displayName="Mai_194" ref="J16:P22" totalsRowShown="0" headerRowDxfId="531" dataDxfId="530" tableBorderDxfId="529">
  <autoFilter ref="J16:P22" xr:uid="{00000000-0009-0000-0100-0000C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500-000001000000}" name="Lu" dataDxfId="528"/>
    <tableColumn id="2" xr3:uid="{00000000-0010-0000-7500-000002000000}" name="Ma" dataDxfId="527"/>
    <tableColumn id="3" xr3:uid="{00000000-0010-0000-7500-000003000000}" name="Me" dataDxfId="526"/>
    <tableColumn id="4" xr3:uid="{00000000-0010-0000-7500-000004000000}" name="Je" dataDxfId="525"/>
    <tableColumn id="5" xr3:uid="{00000000-0010-0000-7500-000005000000}" name="Ve" dataDxfId="524"/>
    <tableColumn id="6" xr3:uid="{00000000-0010-0000-7500-000006000000}" name="Sa" dataDxfId="523"/>
    <tableColumn id="7" xr3:uid="{00000000-0010-0000-7500-000007000000}" name="Di" dataDxfId="5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19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76000000}" name="Juin195" displayName="Juin195" ref="R16:X22" totalsRowShown="0" headerRowDxfId="521" dataDxfId="520" tableBorderDxfId="519">
  <autoFilter ref="R16:X22" xr:uid="{00000000-0009-0000-0100-0000C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600-000001000000}" name="Lu" dataDxfId="518"/>
    <tableColumn id="2" xr3:uid="{00000000-0010-0000-7600-000002000000}" name="Ma" dataDxfId="517"/>
    <tableColumn id="3" xr3:uid="{00000000-0010-0000-7600-000003000000}" name="Me" dataDxfId="516"/>
    <tableColumn id="4" xr3:uid="{00000000-0010-0000-7600-000004000000}" name="Je" dataDxfId="515"/>
    <tableColumn id="5" xr3:uid="{00000000-0010-0000-7600-000005000000}" name="Ve" dataDxfId="514"/>
    <tableColumn id="6" xr3:uid="{00000000-0010-0000-7600-000006000000}" name="Sa" dataDxfId="513"/>
    <tableColumn id="7" xr3:uid="{00000000-0010-0000-7600-000007000000}" name="Di" dataDxfId="51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20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77000000}" name="Juillet196" displayName="Juillet196" ref="B25:H31" totalsRowShown="0" headerRowDxfId="511" dataDxfId="510">
  <autoFilter ref="B25:H31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700-000001000000}" name="Lu" dataDxfId="509"/>
    <tableColumn id="2" xr3:uid="{00000000-0010-0000-7700-000002000000}" name="Ma" dataDxfId="508"/>
    <tableColumn id="3" xr3:uid="{00000000-0010-0000-7700-000003000000}" name="Me" dataDxfId="507"/>
    <tableColumn id="4" xr3:uid="{00000000-0010-0000-7700-000004000000}" name="Je" dataDxfId="506"/>
    <tableColumn id="5" xr3:uid="{00000000-0010-0000-7700-000005000000}" name="Ve" dataDxfId="505"/>
    <tableColumn id="6" xr3:uid="{00000000-0010-0000-7700-000006000000}" name="Sa" dataDxfId="504"/>
    <tableColumn id="7" xr3:uid="{00000000-0010-0000-7700-000007000000}" name="Di" dataDxfId="50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2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78000000}" name="Janvier197" displayName="Janvier197" ref="B7:H13" totalsRowShown="0" headerRowDxfId="490" dataDxfId="489" tableBorderDxfId="488">
  <autoFilter ref="B7:H13" xr:uid="{00000000-0009-0000-0100-0000C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800-000001000000}" name="Lu" dataDxfId="487"/>
    <tableColumn id="2" xr3:uid="{00000000-0010-0000-7800-000002000000}" name="Ma" dataDxfId="486"/>
    <tableColumn id="3" xr3:uid="{00000000-0010-0000-7800-000003000000}" name="Me" dataDxfId="485"/>
    <tableColumn id="4" xr3:uid="{00000000-0010-0000-7800-000004000000}" name="Je" dataDxfId="484"/>
    <tableColumn id="5" xr3:uid="{00000000-0010-0000-7800-000005000000}" name="Ve" dataDxfId="483"/>
    <tableColumn id="6" xr3:uid="{00000000-0010-0000-7800-000006000000}" name="Sa" dataDxfId="482"/>
    <tableColumn id="7" xr3:uid="{00000000-0010-0000-7800-000007000000}" name="Di" dataDxfId="48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2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79000000}" name="Février198" displayName="Février198" ref="J7:P13" totalsRowShown="0" headerRowDxfId="480" dataDxfId="479">
  <autoFilter ref="J7:P13" xr:uid="{00000000-0009-0000-0100-0000C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900-000001000000}" name="Lu" dataDxfId="478"/>
    <tableColumn id="2" xr3:uid="{00000000-0010-0000-7900-000002000000}" name="Ma" dataDxfId="477"/>
    <tableColumn id="3" xr3:uid="{00000000-0010-0000-7900-000003000000}" name="Me" dataDxfId="476"/>
    <tableColumn id="4" xr3:uid="{00000000-0010-0000-7900-000004000000}" name="Je" dataDxfId="475"/>
    <tableColumn id="5" xr3:uid="{00000000-0010-0000-7900-000005000000}" name="Ve" dataDxfId="474"/>
    <tableColumn id="6" xr3:uid="{00000000-0010-0000-7900-000006000000}" name="Sa" dataDxfId="473"/>
    <tableColumn id="7" xr3:uid="{00000000-0010-0000-7900-000007000000}" name="Di" dataDxfId="4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2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7A000000}" name="Mars199" displayName="Mars199" ref="R7:X13" totalsRowShown="0" headerRowDxfId="471" dataDxfId="470">
  <autoFilter ref="R7:X13" xr:uid="{00000000-0009-0000-0100-0000C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A00-000001000000}" name="Lu" dataDxfId="469"/>
    <tableColumn id="2" xr3:uid="{00000000-0010-0000-7A00-000002000000}" name="Ma" dataDxfId="468"/>
    <tableColumn id="3" xr3:uid="{00000000-0010-0000-7A00-000003000000}" name="Me" dataDxfId="467"/>
    <tableColumn id="4" xr3:uid="{00000000-0010-0000-7A00-000004000000}" name="Je" dataDxfId="466"/>
    <tableColumn id="5" xr3:uid="{00000000-0010-0000-7A00-000005000000}" name="Ve" dataDxfId="465"/>
    <tableColumn id="6" xr3:uid="{00000000-0010-0000-7A00-000006000000}" name="Sa" dataDxfId="464"/>
    <tableColumn id="7" xr3:uid="{00000000-0010-0000-7A00-000007000000}" name="Di" dataDxfId="46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2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7B000000}" name="Avril200" displayName="Avril200" ref="B16:H22" totalsRowShown="0" headerRowDxfId="462" dataDxfId="461">
  <autoFilter ref="B16:H22" xr:uid="{00000000-0009-0000-0100-0000C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B00-000001000000}" name="Lu" dataDxfId="460"/>
    <tableColumn id="2" xr3:uid="{00000000-0010-0000-7B00-000002000000}" name="Ma" dataDxfId="459"/>
    <tableColumn id="3" xr3:uid="{00000000-0010-0000-7B00-000003000000}" name="Me" dataDxfId="458"/>
    <tableColumn id="4" xr3:uid="{00000000-0010-0000-7B00-000004000000}" name="Je" dataDxfId="457"/>
    <tableColumn id="5" xr3:uid="{00000000-0010-0000-7B00-000005000000}" name="Ve" dataDxfId="456"/>
    <tableColumn id="6" xr3:uid="{00000000-0010-0000-7B00-000006000000}" name="Sa" dataDxfId="455"/>
    <tableColumn id="7" xr3:uid="{00000000-0010-0000-7B00-000007000000}" name="Di" dataDxfId="45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25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7C000000}" name="Août201" displayName="Août201" ref="J25:P31" totalsRowShown="0" headerRowDxfId="453" dataDxfId="452">
  <autoFilter ref="J25:P31" xr:uid="{00000000-0009-0000-0100-0000C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C00-000001000000}" name="Lu" dataDxfId="451"/>
    <tableColumn id="2" xr3:uid="{00000000-0010-0000-7C00-000002000000}" name="Ma" dataDxfId="450"/>
    <tableColumn id="3" xr3:uid="{00000000-0010-0000-7C00-000003000000}" name="Me" dataDxfId="449"/>
    <tableColumn id="4" xr3:uid="{00000000-0010-0000-7C00-000004000000}" name="Je" dataDxfId="448"/>
    <tableColumn id="5" xr3:uid="{00000000-0010-0000-7C00-000005000000}" name="Ve" dataDxfId="447"/>
    <tableColumn id="6" xr3:uid="{00000000-0010-0000-7C00-000006000000}" name="Sa" dataDxfId="446"/>
    <tableColumn id="7" xr3:uid="{00000000-0010-0000-7C00-000007000000}" name="Di" dataDxfId="4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0B000000}" name="Juillet88" displayName="Juillet88" ref="B25:H31" totalsRowShown="0" headerRowDxfId="1618" dataDxfId="1617">
  <autoFilter ref="B25:H31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B00-000001000000}" name="Lu" dataDxfId="1616"/>
    <tableColumn id="2" xr3:uid="{00000000-0010-0000-0B00-000002000000}" name="Ma" dataDxfId="1615"/>
    <tableColumn id="3" xr3:uid="{00000000-0010-0000-0B00-000003000000}" name="Me" dataDxfId="1614"/>
    <tableColumn id="4" xr3:uid="{00000000-0010-0000-0B00-000004000000}" name="Je" dataDxfId="1613"/>
    <tableColumn id="5" xr3:uid="{00000000-0010-0000-0B00-000005000000}" name="Ve" dataDxfId="1612"/>
    <tableColumn id="6" xr3:uid="{00000000-0010-0000-0B00-000006000000}" name="Sa" dataDxfId="1611"/>
    <tableColumn id="7" xr3:uid="{00000000-0010-0000-0B00-000007000000}" name="Di" dataDxfId="161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26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7D000000}" name="Décembre202" displayName="Décembre202" ref="R34:X40" totalsRowShown="0" headerRowDxfId="444" dataDxfId="443">
  <autoFilter ref="R34:X40" xr:uid="{00000000-0009-0000-0100-0000C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D00-000001000000}" name="Lu" dataDxfId="442"/>
    <tableColumn id="2" xr3:uid="{00000000-0010-0000-7D00-000002000000}" name="Ma" dataDxfId="441"/>
    <tableColumn id="3" xr3:uid="{00000000-0010-0000-7D00-000003000000}" name="Me" dataDxfId="440"/>
    <tableColumn id="4" xr3:uid="{00000000-0010-0000-7D00-000004000000}" name="Je" dataDxfId="439"/>
    <tableColumn id="5" xr3:uid="{00000000-0010-0000-7D00-000005000000}" name="Ve" dataDxfId="438"/>
    <tableColumn id="6" xr3:uid="{00000000-0010-0000-7D00-000006000000}" name="Sa" dataDxfId="437"/>
    <tableColumn id="7" xr3:uid="{00000000-0010-0000-7D00-000007000000}" name="Di" dataDxfId="43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27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7E000000}" name="Novembre203" displayName="Novembre203" ref="J34:P40" totalsRowShown="0" headerRowDxfId="435" dataDxfId="434">
  <autoFilter ref="J34:P40" xr:uid="{00000000-0009-0000-0100-0000C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E00-000001000000}" name="Lu" dataDxfId="433"/>
    <tableColumn id="2" xr3:uid="{00000000-0010-0000-7E00-000002000000}" name="Ma" dataDxfId="432"/>
    <tableColumn id="3" xr3:uid="{00000000-0010-0000-7E00-000003000000}" name="Me" dataDxfId="431"/>
    <tableColumn id="4" xr3:uid="{00000000-0010-0000-7E00-000004000000}" name="Je" dataDxfId="430"/>
    <tableColumn id="5" xr3:uid="{00000000-0010-0000-7E00-000005000000}" name="Ve" dataDxfId="429"/>
    <tableColumn id="6" xr3:uid="{00000000-0010-0000-7E00-000006000000}" name="Sa" dataDxfId="428"/>
    <tableColumn id="7" xr3:uid="{00000000-0010-0000-7E00-000007000000}" name="Di" dataDxfId="42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28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7F000000}" name="Octobre204" displayName="Octobre204" ref="B34:H40" totalsRowShown="0" headerRowDxfId="426" dataDxfId="425">
  <autoFilter ref="B34:H40" xr:uid="{00000000-0009-0000-0100-0000C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F00-000001000000}" name="Lu" dataDxfId="424"/>
    <tableColumn id="2" xr3:uid="{00000000-0010-0000-7F00-000002000000}" name="Ma" dataDxfId="423"/>
    <tableColumn id="3" xr3:uid="{00000000-0010-0000-7F00-000003000000}" name="Me" dataDxfId="422"/>
    <tableColumn id="4" xr3:uid="{00000000-0010-0000-7F00-000004000000}" name="Je" dataDxfId="421"/>
    <tableColumn id="5" xr3:uid="{00000000-0010-0000-7F00-000005000000}" name="Ve" dataDxfId="420"/>
    <tableColumn id="6" xr3:uid="{00000000-0010-0000-7F00-000006000000}" name="Sa" dataDxfId="419"/>
    <tableColumn id="7" xr3:uid="{00000000-0010-0000-7F00-000007000000}" name="Di" dataDxfId="4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29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80000000}" name="Septembre205" displayName="Septembre205" ref="R25:X31" totalsRowShown="0" headerRowDxfId="417" dataDxfId="416">
  <autoFilter ref="R25:X31" xr:uid="{00000000-0009-0000-0100-0000C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000-000001000000}" name="Lu" dataDxfId="415"/>
    <tableColumn id="2" xr3:uid="{00000000-0010-0000-8000-000002000000}" name="Ma" dataDxfId="414"/>
    <tableColumn id="3" xr3:uid="{00000000-0010-0000-8000-000003000000}" name="Me" dataDxfId="413"/>
    <tableColumn id="4" xr3:uid="{00000000-0010-0000-8000-000004000000}" name="Je" dataDxfId="412"/>
    <tableColumn id="5" xr3:uid="{00000000-0010-0000-8000-000005000000}" name="Ve" dataDxfId="411"/>
    <tableColumn id="6" xr3:uid="{00000000-0010-0000-8000-000006000000}" name="Sa" dataDxfId="410"/>
    <tableColumn id="7" xr3:uid="{00000000-0010-0000-8000-000007000000}" name="Di" dataDxfId="40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30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81000000}" name="Mai_206" displayName="Mai_206" ref="J16:P22" totalsRowShown="0" headerRowDxfId="408" dataDxfId="407" tableBorderDxfId="406">
  <autoFilter ref="J16:P22" xr:uid="{00000000-0009-0000-0100-0000C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100-000001000000}" name="Lu" dataDxfId="405"/>
    <tableColumn id="2" xr3:uid="{00000000-0010-0000-8100-000002000000}" name="Ma" dataDxfId="404"/>
    <tableColumn id="3" xr3:uid="{00000000-0010-0000-8100-000003000000}" name="Me" dataDxfId="403"/>
    <tableColumn id="4" xr3:uid="{00000000-0010-0000-8100-000004000000}" name="Je" dataDxfId="402"/>
    <tableColumn id="5" xr3:uid="{00000000-0010-0000-8100-000005000000}" name="Ve" dataDxfId="401"/>
    <tableColumn id="6" xr3:uid="{00000000-0010-0000-8100-000006000000}" name="Sa" dataDxfId="400"/>
    <tableColumn id="7" xr3:uid="{00000000-0010-0000-8100-000007000000}" name="Di" dataDxfId="3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3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82000000}" name="Juin207" displayName="Juin207" ref="R16:X22" totalsRowShown="0" headerRowDxfId="398" dataDxfId="397" tableBorderDxfId="396">
  <autoFilter ref="R16:X22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200-000001000000}" name="Lu" dataDxfId="395"/>
    <tableColumn id="2" xr3:uid="{00000000-0010-0000-8200-000002000000}" name="Ma" dataDxfId="394"/>
    <tableColumn id="3" xr3:uid="{00000000-0010-0000-8200-000003000000}" name="Me" dataDxfId="393"/>
    <tableColumn id="4" xr3:uid="{00000000-0010-0000-8200-000004000000}" name="Je" dataDxfId="392"/>
    <tableColumn id="5" xr3:uid="{00000000-0010-0000-8200-000005000000}" name="Ve" dataDxfId="391"/>
    <tableColumn id="6" xr3:uid="{00000000-0010-0000-8200-000006000000}" name="Sa" dataDxfId="390"/>
    <tableColumn id="7" xr3:uid="{00000000-0010-0000-8200-000007000000}" name="Di" dataDxfId="38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3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83000000}" name="Juillet208" displayName="Juillet208" ref="B25:H31" totalsRowShown="0" headerRowDxfId="388" dataDxfId="387">
  <autoFilter ref="B25:H31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300-000001000000}" name="Lu" dataDxfId="386"/>
    <tableColumn id="2" xr3:uid="{00000000-0010-0000-8300-000002000000}" name="Ma" dataDxfId="385"/>
    <tableColumn id="3" xr3:uid="{00000000-0010-0000-8300-000003000000}" name="Me" dataDxfId="384"/>
    <tableColumn id="4" xr3:uid="{00000000-0010-0000-8300-000004000000}" name="Je" dataDxfId="383"/>
    <tableColumn id="5" xr3:uid="{00000000-0010-0000-8300-000005000000}" name="Ve" dataDxfId="382"/>
    <tableColumn id="6" xr3:uid="{00000000-0010-0000-8300-000006000000}" name="Sa" dataDxfId="381"/>
    <tableColumn id="7" xr3:uid="{00000000-0010-0000-8300-000007000000}" name="Di" dataDxfId="38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3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84000000}" name="Janvier209" displayName="Janvier209" ref="B7:H13" totalsRowShown="0" headerRowDxfId="367" dataDxfId="366" tableBorderDxfId="365">
  <autoFilter ref="B7:H13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400-000001000000}" name="Lu" dataDxfId="364"/>
    <tableColumn id="2" xr3:uid="{00000000-0010-0000-8400-000002000000}" name="Ma" dataDxfId="363"/>
    <tableColumn id="3" xr3:uid="{00000000-0010-0000-8400-000003000000}" name="Me" dataDxfId="362"/>
    <tableColumn id="4" xr3:uid="{00000000-0010-0000-8400-000004000000}" name="Je" dataDxfId="361"/>
    <tableColumn id="5" xr3:uid="{00000000-0010-0000-8400-000005000000}" name="Ve" dataDxfId="360"/>
    <tableColumn id="6" xr3:uid="{00000000-0010-0000-8400-000006000000}" name="Sa" dataDxfId="359"/>
    <tableColumn id="7" xr3:uid="{00000000-0010-0000-8400-000007000000}" name="Di" dataDxfId="35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0C000000}" name="Janvier89" displayName="Janvier89" ref="B7:H13" totalsRowShown="0" headerRowDxfId="1597" dataDxfId="1596" tableBorderDxfId="1595">
  <autoFilter ref="B7:H13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C00-000001000000}" name="Lu" dataDxfId="1594"/>
    <tableColumn id="2" xr3:uid="{00000000-0010-0000-0C00-000002000000}" name="Ma" dataDxfId="1593"/>
    <tableColumn id="3" xr3:uid="{00000000-0010-0000-0C00-000003000000}" name="Me" dataDxfId="1592"/>
    <tableColumn id="4" xr3:uid="{00000000-0010-0000-0C00-000004000000}" name="Je" dataDxfId="1591"/>
    <tableColumn id="5" xr3:uid="{00000000-0010-0000-0C00-000005000000}" name="Ve" dataDxfId="1590"/>
    <tableColumn id="6" xr3:uid="{00000000-0010-0000-0C00-000006000000}" name="Sa" dataDxfId="1589"/>
    <tableColumn id="7" xr3:uid="{00000000-0010-0000-0C00-000007000000}" name="Di" dataDxfId="158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3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85000000}" name="Février210" displayName="Février210" ref="J7:P13" totalsRowShown="0" headerRowDxfId="357" dataDxfId="356">
  <autoFilter ref="J7:P13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500-000001000000}" name="Lu" dataDxfId="355"/>
    <tableColumn id="2" xr3:uid="{00000000-0010-0000-8500-000002000000}" name="Ma" dataDxfId="354"/>
    <tableColumn id="3" xr3:uid="{00000000-0010-0000-8500-000003000000}" name="Me" dataDxfId="353"/>
    <tableColumn id="4" xr3:uid="{00000000-0010-0000-8500-000004000000}" name="Je" dataDxfId="352"/>
    <tableColumn id="5" xr3:uid="{00000000-0010-0000-8500-000005000000}" name="Ve" dataDxfId="351"/>
    <tableColumn id="6" xr3:uid="{00000000-0010-0000-8500-000006000000}" name="Sa" dataDxfId="350"/>
    <tableColumn id="7" xr3:uid="{00000000-0010-0000-8500-000007000000}" name="Di" dataDxfId="34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3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86000000}" name="Mars211" displayName="Mars211" ref="R7:X13" totalsRowShown="0" headerRowDxfId="348" dataDxfId="347">
  <autoFilter ref="R7:X13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600-000001000000}" name="Lu" dataDxfId="346"/>
    <tableColumn id="2" xr3:uid="{00000000-0010-0000-8600-000002000000}" name="Ma" dataDxfId="345"/>
    <tableColumn id="3" xr3:uid="{00000000-0010-0000-8600-000003000000}" name="Me" dataDxfId="344"/>
    <tableColumn id="4" xr3:uid="{00000000-0010-0000-8600-000004000000}" name="Je" dataDxfId="343"/>
    <tableColumn id="5" xr3:uid="{00000000-0010-0000-8600-000005000000}" name="Ve" dataDxfId="342"/>
    <tableColumn id="6" xr3:uid="{00000000-0010-0000-8600-000006000000}" name="Sa" dataDxfId="341"/>
    <tableColumn id="7" xr3:uid="{00000000-0010-0000-8600-000007000000}" name="Di" dataDxfId="34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36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87000000}" name="Avril212" displayName="Avril212" ref="B16:H22" totalsRowShown="0" headerRowDxfId="339" dataDxfId="338">
  <autoFilter ref="B16:H22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700-000001000000}" name="Lu" dataDxfId="337"/>
    <tableColumn id="2" xr3:uid="{00000000-0010-0000-8700-000002000000}" name="Ma" dataDxfId="336"/>
    <tableColumn id="3" xr3:uid="{00000000-0010-0000-8700-000003000000}" name="Me" dataDxfId="335"/>
    <tableColumn id="4" xr3:uid="{00000000-0010-0000-8700-000004000000}" name="Je" dataDxfId="334"/>
    <tableColumn id="5" xr3:uid="{00000000-0010-0000-8700-000005000000}" name="Ve" dataDxfId="333"/>
    <tableColumn id="6" xr3:uid="{00000000-0010-0000-8700-000006000000}" name="Sa" dataDxfId="332"/>
    <tableColumn id="7" xr3:uid="{00000000-0010-0000-8700-000007000000}" name="Di" dataDxfId="33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37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88000000}" name="Août213" displayName="Août213" ref="J25:P31" totalsRowShown="0" headerRowDxfId="330" dataDxfId="329">
  <autoFilter ref="J25:P31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800-000001000000}" name="Lu" dataDxfId="328"/>
    <tableColumn id="2" xr3:uid="{00000000-0010-0000-8800-000002000000}" name="Ma" dataDxfId="327"/>
    <tableColumn id="3" xr3:uid="{00000000-0010-0000-8800-000003000000}" name="Me" dataDxfId="326"/>
    <tableColumn id="4" xr3:uid="{00000000-0010-0000-8800-000004000000}" name="Je" dataDxfId="325"/>
    <tableColumn id="5" xr3:uid="{00000000-0010-0000-8800-000005000000}" name="Ve" dataDxfId="324"/>
    <tableColumn id="6" xr3:uid="{00000000-0010-0000-8800-000006000000}" name="Sa" dataDxfId="323"/>
    <tableColumn id="7" xr3:uid="{00000000-0010-0000-8800-000007000000}" name="Di" dataDxfId="3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38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89000000}" name="Décembre214" displayName="Décembre214" ref="R34:X40" totalsRowShown="0" headerRowDxfId="321" dataDxfId="320">
  <autoFilter ref="R34:X40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900-000001000000}" name="Lu" dataDxfId="319"/>
    <tableColumn id="2" xr3:uid="{00000000-0010-0000-8900-000002000000}" name="Ma" dataDxfId="318"/>
    <tableColumn id="3" xr3:uid="{00000000-0010-0000-8900-000003000000}" name="Me" dataDxfId="317"/>
    <tableColumn id="4" xr3:uid="{00000000-0010-0000-8900-000004000000}" name="Je" dataDxfId="316"/>
    <tableColumn id="5" xr3:uid="{00000000-0010-0000-8900-000005000000}" name="Ve" dataDxfId="315"/>
    <tableColumn id="6" xr3:uid="{00000000-0010-0000-8900-000006000000}" name="Sa" dataDxfId="314"/>
    <tableColumn id="7" xr3:uid="{00000000-0010-0000-8900-000007000000}" name="Di" dataDxfId="31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39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8A000000}" name="Novembre215" displayName="Novembre215" ref="J34:P40" totalsRowShown="0" headerRowDxfId="312" dataDxfId="311">
  <autoFilter ref="J34:P40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A00-000001000000}" name="Lu" dataDxfId="310"/>
    <tableColumn id="2" xr3:uid="{00000000-0010-0000-8A00-000002000000}" name="Ma" dataDxfId="309"/>
    <tableColumn id="3" xr3:uid="{00000000-0010-0000-8A00-000003000000}" name="Me" dataDxfId="308"/>
    <tableColumn id="4" xr3:uid="{00000000-0010-0000-8A00-000004000000}" name="Je" dataDxfId="307"/>
    <tableColumn id="5" xr3:uid="{00000000-0010-0000-8A00-000005000000}" name="Ve" dataDxfId="306"/>
    <tableColumn id="6" xr3:uid="{00000000-0010-0000-8A00-000006000000}" name="Sa" dataDxfId="305"/>
    <tableColumn id="7" xr3:uid="{00000000-0010-0000-8A00-000007000000}" name="Di" dataDxfId="30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40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8B000000}" name="Octobre216" displayName="Octobre216" ref="B34:H40" totalsRowShown="0" headerRowDxfId="303" dataDxfId="302">
  <autoFilter ref="B34:H40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B00-000001000000}" name="Lu" dataDxfId="301"/>
    <tableColumn id="2" xr3:uid="{00000000-0010-0000-8B00-000002000000}" name="Ma" dataDxfId="300"/>
    <tableColumn id="3" xr3:uid="{00000000-0010-0000-8B00-000003000000}" name="Me" dataDxfId="299"/>
    <tableColumn id="4" xr3:uid="{00000000-0010-0000-8B00-000004000000}" name="Je" dataDxfId="298"/>
    <tableColumn id="5" xr3:uid="{00000000-0010-0000-8B00-000005000000}" name="Ve" dataDxfId="297"/>
    <tableColumn id="6" xr3:uid="{00000000-0010-0000-8B00-000006000000}" name="Sa" dataDxfId="296"/>
    <tableColumn id="7" xr3:uid="{00000000-0010-0000-8B00-000007000000}" name="Di" dataDxfId="2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4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8C000000}" name="Septembre217" displayName="Septembre217" ref="R25:X31" totalsRowShown="0" headerRowDxfId="294" dataDxfId="293">
  <autoFilter ref="R25:X31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C00-000001000000}" name="Lu" dataDxfId="292"/>
    <tableColumn id="2" xr3:uid="{00000000-0010-0000-8C00-000002000000}" name="Ma" dataDxfId="291"/>
    <tableColumn id="3" xr3:uid="{00000000-0010-0000-8C00-000003000000}" name="Me" dataDxfId="290"/>
    <tableColumn id="4" xr3:uid="{00000000-0010-0000-8C00-000004000000}" name="Je" dataDxfId="289"/>
    <tableColumn id="5" xr3:uid="{00000000-0010-0000-8C00-000005000000}" name="Ve" dataDxfId="288"/>
    <tableColumn id="6" xr3:uid="{00000000-0010-0000-8C00-000006000000}" name="Sa" dataDxfId="287"/>
    <tableColumn id="7" xr3:uid="{00000000-0010-0000-8C00-000007000000}" name="Di" dataDxfId="28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4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8D000000}" name="Mai_218" displayName="Mai_218" ref="J16:P22" totalsRowShown="0" headerRowDxfId="285" dataDxfId="284" tableBorderDxfId="283">
  <autoFilter ref="J16:P22" xr:uid="{00000000-0009-0000-0100-0000D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D00-000001000000}" name="Lu" dataDxfId="282"/>
    <tableColumn id="2" xr3:uid="{00000000-0010-0000-8D00-000002000000}" name="Ma" dataDxfId="281"/>
    <tableColumn id="3" xr3:uid="{00000000-0010-0000-8D00-000003000000}" name="Me" dataDxfId="280"/>
    <tableColumn id="4" xr3:uid="{00000000-0010-0000-8D00-000004000000}" name="Je" dataDxfId="279"/>
    <tableColumn id="5" xr3:uid="{00000000-0010-0000-8D00-000005000000}" name="Ve" dataDxfId="278"/>
    <tableColumn id="6" xr3:uid="{00000000-0010-0000-8D00-000006000000}" name="Sa" dataDxfId="277"/>
    <tableColumn id="7" xr3:uid="{00000000-0010-0000-8D00-000007000000}" name="Di" dataDxfId="2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4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8E000000}" name="Juin219" displayName="Juin219" ref="R16:X22" totalsRowShown="0" headerRowDxfId="275" dataDxfId="274" tableBorderDxfId="273">
  <autoFilter ref="R16:X22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E00-000001000000}" name="Lu" dataDxfId="272"/>
    <tableColumn id="2" xr3:uid="{00000000-0010-0000-8E00-000002000000}" name="Ma" dataDxfId="271"/>
    <tableColumn id="3" xr3:uid="{00000000-0010-0000-8E00-000003000000}" name="Me" dataDxfId="270"/>
    <tableColumn id="4" xr3:uid="{00000000-0010-0000-8E00-000004000000}" name="Je" dataDxfId="269"/>
    <tableColumn id="5" xr3:uid="{00000000-0010-0000-8E00-000005000000}" name="Ve" dataDxfId="268"/>
    <tableColumn id="6" xr3:uid="{00000000-0010-0000-8E00-000006000000}" name="Sa" dataDxfId="267"/>
    <tableColumn id="7" xr3:uid="{00000000-0010-0000-8E00-000007000000}" name="Di" dataDxfId="26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4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8F000000}" name="Juillet220" displayName="Juillet220" ref="B25:H31" totalsRowShown="0" headerRowDxfId="265" dataDxfId="264">
  <autoFilter ref="B25:H31" xr:uid="{00000000-0009-0000-0100-0000D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F00-000001000000}" name="Lu" dataDxfId="263"/>
    <tableColumn id="2" xr3:uid="{00000000-0010-0000-8F00-000002000000}" name="Ma" dataDxfId="262"/>
    <tableColumn id="3" xr3:uid="{00000000-0010-0000-8F00-000003000000}" name="Me" dataDxfId="261"/>
    <tableColumn id="4" xr3:uid="{00000000-0010-0000-8F00-000004000000}" name="Je" dataDxfId="260"/>
    <tableColumn id="5" xr3:uid="{00000000-0010-0000-8F00-000005000000}" name="Ve" dataDxfId="259"/>
    <tableColumn id="6" xr3:uid="{00000000-0010-0000-8F00-000006000000}" name="Sa" dataDxfId="258"/>
    <tableColumn id="7" xr3:uid="{00000000-0010-0000-8F00-000007000000}" name="Di" dataDxfId="25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0D000000}" name="Février90" displayName="Février90" ref="J7:P13" totalsRowShown="0" headerRowDxfId="1587" dataDxfId="1586">
  <autoFilter ref="J7:P13" xr:uid="{00000000-0009-0000-0100-00005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D00-000001000000}" name="Lu" dataDxfId="1585"/>
    <tableColumn id="2" xr3:uid="{00000000-0010-0000-0D00-000002000000}" name="Ma" dataDxfId="1584"/>
    <tableColumn id="3" xr3:uid="{00000000-0010-0000-0D00-000003000000}" name="Me" dataDxfId="1583"/>
    <tableColumn id="4" xr3:uid="{00000000-0010-0000-0D00-000004000000}" name="Je" dataDxfId="1582"/>
    <tableColumn id="5" xr3:uid="{00000000-0010-0000-0D00-000005000000}" name="Ve" dataDxfId="1581"/>
    <tableColumn id="6" xr3:uid="{00000000-0010-0000-0D00-000006000000}" name="Sa" dataDxfId="1580"/>
    <tableColumn id="7" xr3:uid="{00000000-0010-0000-0D00-000007000000}" name="Di" dataDxfId="157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90000000}" name="Janvier221" displayName="Janvier221" ref="B7:H13" totalsRowShown="0" headerRowDxfId="244" dataDxfId="243" tableBorderDxfId="242">
  <autoFilter ref="B7:H13" xr:uid="{00000000-0009-0000-0100-0000D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000-000001000000}" name="Lu" dataDxfId="241"/>
    <tableColumn id="2" xr3:uid="{00000000-0010-0000-9000-000002000000}" name="Ma" dataDxfId="240"/>
    <tableColumn id="3" xr3:uid="{00000000-0010-0000-9000-000003000000}" name="Me" dataDxfId="239"/>
    <tableColumn id="4" xr3:uid="{00000000-0010-0000-9000-000004000000}" name="Je" dataDxfId="238"/>
    <tableColumn id="5" xr3:uid="{00000000-0010-0000-9000-000005000000}" name="Ve" dataDxfId="237"/>
    <tableColumn id="6" xr3:uid="{00000000-0010-0000-9000-000006000000}" name="Sa" dataDxfId="236"/>
    <tableColumn id="7" xr3:uid="{00000000-0010-0000-9000-000007000000}" name="Di" dataDxfId="23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46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91000000}" name="Février222" displayName="Février222" ref="J7:P13" totalsRowShown="0" headerRowDxfId="234" dataDxfId="233">
  <autoFilter ref="J7:P13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100-000001000000}" name="Lu" dataDxfId="232"/>
    <tableColumn id="2" xr3:uid="{00000000-0010-0000-9100-000002000000}" name="Ma" dataDxfId="231"/>
    <tableColumn id="3" xr3:uid="{00000000-0010-0000-9100-000003000000}" name="Me" dataDxfId="230"/>
    <tableColumn id="4" xr3:uid="{00000000-0010-0000-9100-000004000000}" name="Je" dataDxfId="229"/>
    <tableColumn id="5" xr3:uid="{00000000-0010-0000-9100-000005000000}" name="Ve" dataDxfId="228"/>
    <tableColumn id="6" xr3:uid="{00000000-0010-0000-9100-000006000000}" name="Sa" dataDxfId="227"/>
    <tableColumn id="7" xr3:uid="{00000000-0010-0000-9100-000007000000}" name="Di" dataDxfId="22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92000000}" name="Mars223" displayName="Mars223" ref="R7:X13" totalsRowShown="0" headerRowDxfId="225" dataDxfId="224">
  <autoFilter ref="R7:X13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200-000001000000}" name="Lu" dataDxfId="223"/>
    <tableColumn id="2" xr3:uid="{00000000-0010-0000-9200-000002000000}" name="Ma" dataDxfId="222"/>
    <tableColumn id="3" xr3:uid="{00000000-0010-0000-9200-000003000000}" name="Me" dataDxfId="221"/>
    <tableColumn id="4" xr3:uid="{00000000-0010-0000-9200-000004000000}" name="Je" dataDxfId="220"/>
    <tableColumn id="5" xr3:uid="{00000000-0010-0000-9200-000005000000}" name="Ve" dataDxfId="219"/>
    <tableColumn id="6" xr3:uid="{00000000-0010-0000-9200-000006000000}" name="Sa" dataDxfId="218"/>
    <tableColumn id="7" xr3:uid="{00000000-0010-0000-9200-000007000000}" name="Di" dataDxfId="21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93000000}" name="Avril224" displayName="Avril224" ref="B16:H22" totalsRowShown="0" headerRowDxfId="216" dataDxfId="215">
  <autoFilter ref="B16:H2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300-000001000000}" name="Lu" dataDxfId="214"/>
    <tableColumn id="2" xr3:uid="{00000000-0010-0000-9300-000002000000}" name="Ma" dataDxfId="213"/>
    <tableColumn id="3" xr3:uid="{00000000-0010-0000-9300-000003000000}" name="Me" dataDxfId="212"/>
    <tableColumn id="4" xr3:uid="{00000000-0010-0000-9300-000004000000}" name="Je" dataDxfId="211"/>
    <tableColumn id="5" xr3:uid="{00000000-0010-0000-9300-000005000000}" name="Ve" dataDxfId="210"/>
    <tableColumn id="6" xr3:uid="{00000000-0010-0000-9300-000006000000}" name="Sa" dataDxfId="209"/>
    <tableColumn id="7" xr3:uid="{00000000-0010-0000-9300-000007000000}" name="Di" dataDxfId="20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94000000}" name="Août225" displayName="Août225" ref="J25:P31" totalsRowShown="0" headerRowDxfId="207" dataDxfId="206">
  <autoFilter ref="J25:P31" xr:uid="{00000000-0009-0000-0100-0000E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400-000001000000}" name="Lu" dataDxfId="205"/>
    <tableColumn id="2" xr3:uid="{00000000-0010-0000-9400-000002000000}" name="Ma" dataDxfId="204"/>
    <tableColumn id="3" xr3:uid="{00000000-0010-0000-9400-000003000000}" name="Me" dataDxfId="203"/>
    <tableColumn id="4" xr3:uid="{00000000-0010-0000-9400-000004000000}" name="Je" dataDxfId="202"/>
    <tableColumn id="5" xr3:uid="{00000000-0010-0000-9400-000005000000}" name="Ve" dataDxfId="201"/>
    <tableColumn id="6" xr3:uid="{00000000-0010-0000-9400-000006000000}" name="Sa" dataDxfId="200"/>
    <tableColumn id="7" xr3:uid="{00000000-0010-0000-9400-000007000000}" name="Di" dataDxfId="1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95000000}" name="Décembre226" displayName="Décembre226" ref="R34:X40" totalsRowShown="0" headerRowDxfId="198" dataDxfId="197">
  <autoFilter ref="R34:X40" xr:uid="{00000000-0009-0000-0100-0000E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500-000001000000}" name="Lu" dataDxfId="196"/>
    <tableColumn id="2" xr3:uid="{00000000-0010-0000-9500-000002000000}" name="Ma" dataDxfId="195"/>
    <tableColumn id="3" xr3:uid="{00000000-0010-0000-9500-000003000000}" name="Me" dataDxfId="194"/>
    <tableColumn id="4" xr3:uid="{00000000-0010-0000-9500-000004000000}" name="Je" dataDxfId="193"/>
    <tableColumn id="5" xr3:uid="{00000000-0010-0000-9500-000005000000}" name="Ve" dataDxfId="192"/>
    <tableColumn id="6" xr3:uid="{00000000-0010-0000-9500-000006000000}" name="Sa" dataDxfId="191"/>
    <tableColumn id="7" xr3:uid="{00000000-0010-0000-9500-000007000000}" name="Di" dataDxfId="19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00000000}" name="Janvier77" displayName="Janvier77" ref="B7:H13" totalsRowShown="0" headerRowDxfId="1720" dataDxfId="1719" tableBorderDxfId="1718">
  <autoFilter ref="B7:H13" xr:uid="{00000000-0009-0000-0100-00004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Lu" dataDxfId="1717"/>
    <tableColumn id="2" xr3:uid="{00000000-0010-0000-0000-000002000000}" name="Ma" dataDxfId="1716"/>
    <tableColumn id="3" xr3:uid="{00000000-0010-0000-0000-000003000000}" name="Me" dataDxfId="1715"/>
    <tableColumn id="4" xr3:uid="{00000000-0010-0000-0000-000004000000}" name="Je" dataDxfId="1714"/>
    <tableColumn id="5" xr3:uid="{00000000-0010-0000-0000-000005000000}" name="Ve" dataDxfId="1713"/>
    <tableColumn id="6" xr3:uid="{00000000-0010-0000-0000-000006000000}" name="Sa" dataDxfId="1712"/>
    <tableColumn id="7" xr3:uid="{00000000-0010-0000-0000-000007000000}" name="Di" dataDxfId="171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5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96000000}" name="Novembre227" displayName="Novembre227" ref="J34:P40" totalsRowShown="0" headerRowDxfId="189" dataDxfId="188">
  <autoFilter ref="J34:P40" xr:uid="{00000000-0009-0000-0100-0000E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600-000001000000}" name="Lu" dataDxfId="187"/>
    <tableColumn id="2" xr3:uid="{00000000-0010-0000-9600-000002000000}" name="Ma" dataDxfId="186"/>
    <tableColumn id="3" xr3:uid="{00000000-0010-0000-9600-000003000000}" name="Me" dataDxfId="185"/>
    <tableColumn id="4" xr3:uid="{00000000-0010-0000-9600-000004000000}" name="Je" dataDxfId="184"/>
    <tableColumn id="5" xr3:uid="{00000000-0010-0000-9600-000005000000}" name="Ve" dataDxfId="183"/>
    <tableColumn id="6" xr3:uid="{00000000-0010-0000-9600-000006000000}" name="Sa" dataDxfId="182"/>
    <tableColumn id="7" xr3:uid="{00000000-0010-0000-9600-000007000000}" name="Di" dataDxfId="18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97000000}" name="Octobre228" displayName="Octobre228" ref="B34:H40" totalsRowShown="0" headerRowDxfId="180" dataDxfId="179">
  <autoFilter ref="B34:H40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700-000001000000}" name="Lu" dataDxfId="178"/>
    <tableColumn id="2" xr3:uid="{00000000-0010-0000-9700-000002000000}" name="Ma" dataDxfId="177"/>
    <tableColumn id="3" xr3:uid="{00000000-0010-0000-9700-000003000000}" name="Me" dataDxfId="176"/>
    <tableColumn id="4" xr3:uid="{00000000-0010-0000-9700-000004000000}" name="Je" dataDxfId="175"/>
    <tableColumn id="5" xr3:uid="{00000000-0010-0000-9700-000005000000}" name="Ve" dataDxfId="174"/>
    <tableColumn id="6" xr3:uid="{00000000-0010-0000-9700-000006000000}" name="Sa" dataDxfId="173"/>
    <tableColumn id="7" xr3:uid="{00000000-0010-0000-9700-000007000000}" name="Di" dataDxfId="1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98000000}" name="Septembre229" displayName="Septembre229" ref="R25:X31" totalsRowShown="0" headerRowDxfId="171" dataDxfId="170">
  <autoFilter ref="R25:X31" xr:uid="{00000000-0009-0000-0100-0000E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800-000001000000}" name="Lu" dataDxfId="169"/>
    <tableColumn id="2" xr3:uid="{00000000-0010-0000-9800-000002000000}" name="Ma" dataDxfId="168"/>
    <tableColumn id="3" xr3:uid="{00000000-0010-0000-9800-000003000000}" name="Me" dataDxfId="167"/>
    <tableColumn id="4" xr3:uid="{00000000-0010-0000-9800-000004000000}" name="Je" dataDxfId="166"/>
    <tableColumn id="5" xr3:uid="{00000000-0010-0000-9800-000005000000}" name="Ve" dataDxfId="165"/>
    <tableColumn id="6" xr3:uid="{00000000-0010-0000-9800-000006000000}" name="Sa" dataDxfId="164"/>
    <tableColumn id="7" xr3:uid="{00000000-0010-0000-9800-000007000000}" name="Di" dataDxfId="16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0E000000}" name="Mars91" displayName="Mars91" ref="R7:X13" totalsRowShown="0" headerRowDxfId="1578" dataDxfId="1577">
  <autoFilter ref="R7:X1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E00-000001000000}" name="Lu" dataDxfId="1576"/>
    <tableColumn id="2" xr3:uid="{00000000-0010-0000-0E00-000002000000}" name="Ma" dataDxfId="1575"/>
    <tableColumn id="3" xr3:uid="{00000000-0010-0000-0E00-000003000000}" name="Me" dataDxfId="1574"/>
    <tableColumn id="4" xr3:uid="{00000000-0010-0000-0E00-000004000000}" name="Je" dataDxfId="1573"/>
    <tableColumn id="5" xr3:uid="{00000000-0010-0000-0E00-000005000000}" name="Ve" dataDxfId="1572"/>
    <tableColumn id="6" xr3:uid="{00000000-0010-0000-0E00-000006000000}" name="Sa" dataDxfId="1571"/>
    <tableColumn id="7" xr3:uid="{00000000-0010-0000-0E00-000007000000}" name="Di" dataDxfId="157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99000000}" name="Mai_230" displayName="Mai_230" ref="J16:P22" totalsRowShown="0" headerRowDxfId="162" dataDxfId="161" tableBorderDxfId="160">
  <autoFilter ref="J16:P22" xr:uid="{00000000-0009-0000-0100-0000E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900-000001000000}" name="Lu" dataDxfId="159"/>
    <tableColumn id="2" xr3:uid="{00000000-0010-0000-9900-000002000000}" name="Ma" dataDxfId="158"/>
    <tableColumn id="3" xr3:uid="{00000000-0010-0000-9900-000003000000}" name="Me" dataDxfId="157"/>
    <tableColumn id="4" xr3:uid="{00000000-0010-0000-9900-000004000000}" name="Je" dataDxfId="156"/>
    <tableColumn id="5" xr3:uid="{00000000-0010-0000-9900-000005000000}" name="Ve" dataDxfId="155"/>
    <tableColumn id="6" xr3:uid="{00000000-0010-0000-9900-000006000000}" name="Sa" dataDxfId="154"/>
    <tableColumn id="7" xr3:uid="{00000000-0010-0000-9900-000007000000}" name="Di" dataDxfId="15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9A000000}" name="Juin231" displayName="Juin231" ref="R16:X22" totalsRowShown="0" headerRowDxfId="152" dataDxfId="151" tableBorderDxfId="150">
  <autoFilter ref="R16:X22" xr:uid="{00000000-0009-0000-0100-0000E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A00-000001000000}" name="Lu" dataDxfId="149"/>
    <tableColumn id="2" xr3:uid="{00000000-0010-0000-9A00-000002000000}" name="Ma" dataDxfId="148"/>
    <tableColumn id="3" xr3:uid="{00000000-0010-0000-9A00-000003000000}" name="Me" dataDxfId="147"/>
    <tableColumn id="4" xr3:uid="{00000000-0010-0000-9A00-000004000000}" name="Je" dataDxfId="146"/>
    <tableColumn id="5" xr3:uid="{00000000-0010-0000-9A00-000005000000}" name="Ve" dataDxfId="145"/>
    <tableColumn id="6" xr3:uid="{00000000-0010-0000-9A00-000006000000}" name="Sa" dataDxfId="144"/>
    <tableColumn id="7" xr3:uid="{00000000-0010-0000-9A00-000007000000}" name="Di" dataDxfId="14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56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9B000000}" name="Juillet232" displayName="Juillet232" ref="B25:H31" totalsRowShown="0" headerRowDxfId="142" dataDxfId="141">
  <autoFilter ref="B25:H31" xr:uid="{00000000-0009-0000-0100-0000E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B00-000001000000}" name="Lu" dataDxfId="140"/>
    <tableColumn id="2" xr3:uid="{00000000-0010-0000-9B00-000002000000}" name="Ma" dataDxfId="139"/>
    <tableColumn id="3" xr3:uid="{00000000-0010-0000-9B00-000003000000}" name="Me" dataDxfId="138"/>
    <tableColumn id="4" xr3:uid="{00000000-0010-0000-9B00-000004000000}" name="Je" dataDxfId="137"/>
    <tableColumn id="5" xr3:uid="{00000000-0010-0000-9B00-000005000000}" name="Ve" dataDxfId="136"/>
    <tableColumn id="6" xr3:uid="{00000000-0010-0000-9B00-000006000000}" name="Sa" dataDxfId="135"/>
    <tableColumn id="7" xr3:uid="{00000000-0010-0000-9B00-000007000000}" name="Di" dataDxfId="13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57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9C000000}" name="Janvier233" displayName="Janvier233" ref="B7:H13" totalsRowShown="0" headerRowDxfId="121" dataDxfId="120" tableBorderDxfId="119">
  <autoFilter ref="B7:H13" xr:uid="{00000000-0009-0000-0100-0000E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C00-000001000000}" name="Lu" dataDxfId="118"/>
    <tableColumn id="2" xr3:uid="{00000000-0010-0000-9C00-000002000000}" name="Ma" dataDxfId="117"/>
    <tableColumn id="3" xr3:uid="{00000000-0010-0000-9C00-000003000000}" name="Me" dataDxfId="116"/>
    <tableColumn id="4" xr3:uid="{00000000-0010-0000-9C00-000004000000}" name="Je" dataDxfId="115"/>
    <tableColumn id="5" xr3:uid="{00000000-0010-0000-9C00-000005000000}" name="Ve" dataDxfId="114"/>
    <tableColumn id="6" xr3:uid="{00000000-0010-0000-9C00-000006000000}" name="Sa" dataDxfId="113"/>
    <tableColumn id="7" xr3:uid="{00000000-0010-0000-9C00-000007000000}" name="Di" dataDxfId="11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158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9D000000}" name="Février234" displayName="Février234" ref="J7:P13" totalsRowShown="0" headerRowDxfId="111" dataDxfId="110">
  <autoFilter ref="J7:P13" xr:uid="{00000000-0009-0000-0100-0000E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D00-000001000000}" name="Lu" dataDxfId="109"/>
    <tableColumn id="2" xr3:uid="{00000000-0010-0000-9D00-000002000000}" name="Ma" dataDxfId="108"/>
    <tableColumn id="3" xr3:uid="{00000000-0010-0000-9D00-000003000000}" name="Me" dataDxfId="107"/>
    <tableColumn id="4" xr3:uid="{00000000-0010-0000-9D00-000004000000}" name="Je" dataDxfId="106"/>
    <tableColumn id="5" xr3:uid="{00000000-0010-0000-9D00-000005000000}" name="Ve" dataDxfId="105"/>
    <tableColumn id="6" xr3:uid="{00000000-0010-0000-9D00-000006000000}" name="Sa" dataDxfId="104"/>
    <tableColumn id="7" xr3:uid="{00000000-0010-0000-9D00-000007000000}" name="Di" dataDxfId="10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159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9E000000}" name="Mars235" displayName="Mars235" ref="R7:X13" totalsRowShown="0" headerRowDxfId="102" dataDxfId="101">
  <autoFilter ref="R7:X13" xr:uid="{00000000-0009-0000-0100-0000E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E00-000001000000}" name="Lu" dataDxfId="100"/>
    <tableColumn id="2" xr3:uid="{00000000-0010-0000-9E00-000002000000}" name="Ma" dataDxfId="99"/>
    <tableColumn id="3" xr3:uid="{00000000-0010-0000-9E00-000003000000}" name="Me" dataDxfId="98"/>
    <tableColumn id="4" xr3:uid="{00000000-0010-0000-9E00-000004000000}" name="Je" dataDxfId="97"/>
    <tableColumn id="5" xr3:uid="{00000000-0010-0000-9E00-000005000000}" name="Ve" dataDxfId="96"/>
    <tableColumn id="6" xr3:uid="{00000000-0010-0000-9E00-000006000000}" name="Sa" dataDxfId="95"/>
    <tableColumn id="7" xr3:uid="{00000000-0010-0000-9E00-000007000000}" name="Di" dataDxfId="9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160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9F000000}" name="Avril236" displayName="Avril236" ref="B16:H22" totalsRowShown="0" headerRowDxfId="93" dataDxfId="92">
  <autoFilter ref="B16:H22" xr:uid="{00000000-0009-0000-0100-0000E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F00-000001000000}" name="Lu" dataDxfId="91"/>
    <tableColumn id="2" xr3:uid="{00000000-0010-0000-9F00-000002000000}" name="Ma" dataDxfId="90"/>
    <tableColumn id="3" xr3:uid="{00000000-0010-0000-9F00-000003000000}" name="Me" dataDxfId="89"/>
    <tableColumn id="4" xr3:uid="{00000000-0010-0000-9F00-000004000000}" name="Je" dataDxfId="88"/>
    <tableColumn id="5" xr3:uid="{00000000-0010-0000-9F00-000005000000}" name="Ve" dataDxfId="87"/>
    <tableColumn id="6" xr3:uid="{00000000-0010-0000-9F00-000006000000}" name="Sa" dataDxfId="86"/>
    <tableColumn id="7" xr3:uid="{00000000-0010-0000-9F00-000007000000}" name="Di" dataDxfId="8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61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A0000000}" name="Août237" displayName="Août237" ref="J25:P31" totalsRowShown="0" headerRowDxfId="84" dataDxfId="83">
  <autoFilter ref="J25:P31" xr:uid="{00000000-0009-0000-0100-0000E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000-000001000000}" name="Lu" dataDxfId="82"/>
    <tableColumn id="2" xr3:uid="{00000000-0010-0000-A000-000002000000}" name="Ma" dataDxfId="81"/>
    <tableColumn id="3" xr3:uid="{00000000-0010-0000-A000-000003000000}" name="Me" dataDxfId="80"/>
    <tableColumn id="4" xr3:uid="{00000000-0010-0000-A000-000004000000}" name="Je" dataDxfId="79"/>
    <tableColumn id="5" xr3:uid="{00000000-0010-0000-A000-000005000000}" name="Ve" dataDxfId="78"/>
    <tableColumn id="6" xr3:uid="{00000000-0010-0000-A000-000006000000}" name="Sa" dataDxfId="77"/>
    <tableColumn id="7" xr3:uid="{00000000-0010-0000-A000-000007000000}" name="Di" dataDxfId="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62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A1000000}" name="Décembre238" displayName="Décembre238" ref="R34:X40" totalsRowShown="0" headerRowDxfId="75" dataDxfId="74">
  <autoFilter ref="R34:X40" xr:uid="{00000000-0009-0000-0100-0000E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100-000001000000}" name="Lu" dataDxfId="73"/>
    <tableColumn id="2" xr3:uid="{00000000-0010-0000-A100-000002000000}" name="Ma" dataDxfId="72"/>
    <tableColumn id="3" xr3:uid="{00000000-0010-0000-A100-000003000000}" name="Me" dataDxfId="71"/>
    <tableColumn id="4" xr3:uid="{00000000-0010-0000-A100-000004000000}" name="Je" dataDxfId="70"/>
    <tableColumn id="5" xr3:uid="{00000000-0010-0000-A100-000005000000}" name="Ve" dataDxfId="69"/>
    <tableColumn id="6" xr3:uid="{00000000-0010-0000-A100-000006000000}" name="Sa" dataDxfId="68"/>
    <tableColumn id="7" xr3:uid="{00000000-0010-0000-A100-000007000000}" name="Di" dataDxfId="6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63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A2000000}" name="Novembre239" displayName="Novembre239" ref="J34:P40" totalsRowShown="0" headerRowDxfId="66" dataDxfId="65">
  <autoFilter ref="J34:P40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200-000001000000}" name="Lu" dataDxfId="64"/>
    <tableColumn id="2" xr3:uid="{00000000-0010-0000-A200-000002000000}" name="Ma" dataDxfId="63"/>
    <tableColumn id="3" xr3:uid="{00000000-0010-0000-A200-000003000000}" name="Me" dataDxfId="62"/>
    <tableColumn id="4" xr3:uid="{00000000-0010-0000-A200-000004000000}" name="Je" dataDxfId="61"/>
    <tableColumn id="5" xr3:uid="{00000000-0010-0000-A200-000005000000}" name="Ve" dataDxfId="60"/>
    <tableColumn id="6" xr3:uid="{00000000-0010-0000-A200-000006000000}" name="Sa" dataDxfId="59"/>
    <tableColumn id="7" xr3:uid="{00000000-0010-0000-A200-000007000000}" name="Di" dataDxfId="5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164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A3000000}" name="Octobre240" displayName="Octobre240" ref="B34:H40" totalsRowShown="0" headerRowDxfId="57" dataDxfId="56">
  <autoFilter ref="B34:H40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300-000001000000}" name="Lu" dataDxfId="55"/>
    <tableColumn id="2" xr3:uid="{00000000-0010-0000-A300-000002000000}" name="Ma" dataDxfId="54"/>
    <tableColumn id="3" xr3:uid="{00000000-0010-0000-A300-000003000000}" name="Me" dataDxfId="53"/>
    <tableColumn id="4" xr3:uid="{00000000-0010-0000-A300-000004000000}" name="Je" dataDxfId="52"/>
    <tableColumn id="5" xr3:uid="{00000000-0010-0000-A300-000005000000}" name="Ve" dataDxfId="51"/>
    <tableColumn id="6" xr3:uid="{00000000-0010-0000-A300-000006000000}" name="Sa" dataDxfId="50"/>
    <tableColumn id="7" xr3:uid="{00000000-0010-0000-A300-000007000000}" name="Di" dataDxfId="4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16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0F000000}" name="Avril92" displayName="Avril92" ref="B16:H22" totalsRowShown="0" headerRowDxfId="1569" dataDxfId="1568">
  <autoFilter ref="B16:H22" xr:uid="{00000000-0009-0000-0100-00005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F00-000001000000}" name="Lu" dataDxfId="1567"/>
    <tableColumn id="2" xr3:uid="{00000000-0010-0000-0F00-000002000000}" name="Ma" dataDxfId="1566"/>
    <tableColumn id="3" xr3:uid="{00000000-0010-0000-0F00-000003000000}" name="Me" dataDxfId="1565"/>
    <tableColumn id="4" xr3:uid="{00000000-0010-0000-0F00-000004000000}" name="Je" dataDxfId="1564"/>
    <tableColumn id="5" xr3:uid="{00000000-0010-0000-0F00-000005000000}" name="Ve" dataDxfId="1563"/>
    <tableColumn id="6" xr3:uid="{00000000-0010-0000-0F00-000006000000}" name="Sa" dataDxfId="1562"/>
    <tableColumn id="7" xr3:uid="{00000000-0010-0000-0F00-000007000000}" name="Di" dataDxfId="156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165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A4000000}" name="Septembre241" displayName="Septembre241" ref="R25:X31" totalsRowShown="0" headerRowDxfId="48" dataDxfId="47">
  <autoFilter ref="R25:X31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400-000001000000}" name="Lu" dataDxfId="46"/>
    <tableColumn id="2" xr3:uid="{00000000-0010-0000-A400-000002000000}" name="Ma" dataDxfId="45"/>
    <tableColumn id="3" xr3:uid="{00000000-0010-0000-A400-000003000000}" name="Me" dataDxfId="44"/>
    <tableColumn id="4" xr3:uid="{00000000-0010-0000-A400-000004000000}" name="Je" dataDxfId="43"/>
    <tableColumn id="5" xr3:uid="{00000000-0010-0000-A400-000005000000}" name="Ve" dataDxfId="42"/>
    <tableColumn id="6" xr3:uid="{00000000-0010-0000-A400-000006000000}" name="Sa" dataDxfId="41"/>
    <tableColumn id="7" xr3:uid="{00000000-0010-0000-A400-000007000000}" name="Di" dataDxfId="4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166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A5000000}" name="Mai_242" displayName="Mai_242" ref="J16:P22" totalsRowShown="0" headerRowDxfId="39" dataDxfId="38" tableBorderDxfId="37">
  <autoFilter ref="J16:P22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500-000001000000}" name="Lu" dataDxfId="36"/>
    <tableColumn id="2" xr3:uid="{00000000-0010-0000-A500-000002000000}" name="Ma" dataDxfId="35"/>
    <tableColumn id="3" xr3:uid="{00000000-0010-0000-A500-000003000000}" name="Me" dataDxfId="34"/>
    <tableColumn id="4" xr3:uid="{00000000-0010-0000-A500-000004000000}" name="Je" dataDxfId="33"/>
    <tableColumn id="5" xr3:uid="{00000000-0010-0000-A500-000005000000}" name="Ve" dataDxfId="32"/>
    <tableColumn id="6" xr3:uid="{00000000-0010-0000-A500-000006000000}" name="Sa" dataDxfId="31"/>
    <tableColumn id="7" xr3:uid="{00000000-0010-0000-A500-000007000000}" name="Di" dataDxfId="3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167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A6000000}" name="Juin243" displayName="Juin243" ref="R16:X22" totalsRowShown="0" headerRowDxfId="29" dataDxfId="28" tableBorderDxfId="27">
  <autoFilter ref="R16:X22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600-000001000000}" name="Lu" dataDxfId="26"/>
    <tableColumn id="2" xr3:uid="{00000000-0010-0000-A600-000002000000}" name="Ma" dataDxfId="25"/>
    <tableColumn id="3" xr3:uid="{00000000-0010-0000-A600-000003000000}" name="Me" dataDxfId="24"/>
    <tableColumn id="4" xr3:uid="{00000000-0010-0000-A600-000004000000}" name="Je" dataDxfId="23"/>
    <tableColumn id="5" xr3:uid="{00000000-0010-0000-A600-000005000000}" name="Ve" dataDxfId="22"/>
    <tableColumn id="6" xr3:uid="{00000000-0010-0000-A600-000006000000}" name="Sa" dataDxfId="21"/>
    <tableColumn id="7" xr3:uid="{00000000-0010-0000-A600-000007000000}" name="Di" dataDxfId="2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168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A7000000}" name="Juillet244" displayName="Juillet244" ref="B25:H31" totalsRowShown="0" headerRowDxfId="19" dataDxfId="18">
  <autoFilter ref="B25:H31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700-000001000000}" name="Lu" dataDxfId="17"/>
    <tableColumn id="2" xr3:uid="{00000000-0010-0000-A700-000002000000}" name="Ma" dataDxfId="16"/>
    <tableColumn id="3" xr3:uid="{00000000-0010-0000-A700-000003000000}" name="Me" dataDxfId="15"/>
    <tableColumn id="4" xr3:uid="{00000000-0010-0000-A700-000004000000}" name="Je" dataDxfId="14"/>
    <tableColumn id="5" xr3:uid="{00000000-0010-0000-A700-000005000000}" name="Ve" dataDxfId="13"/>
    <tableColumn id="6" xr3:uid="{00000000-0010-0000-A700-000006000000}" name="Sa" dataDxfId="12"/>
    <tableColumn id="7" xr3:uid="{00000000-0010-0000-A700-000007000000}" name="Di" dataDxfId="1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169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A8000000}" name="Tableau_Données_Lune" displayName="Tableau_Données_Lune" ref="B6:E699" headerRowDxfId="10" dataDxfId="8" headerRowBorderDxfId="9">
  <tableColumns count="4">
    <tableColumn id="2" xr3:uid="{00000000-0010-0000-A800-000002000000}" name="Jour et heure (UTC)*" totalsRowLabel="Total" dataDxfId="7" totalsRowDxfId="6"/>
    <tableColumn id="3" xr3:uid="{00000000-0010-0000-A800-000003000000}" name="Heure ajustée1" dataDxfId="5" totalsRowDxfId="4">
      <calculatedColumnFormula>Tableau_Données_Lune[[#This Row],[Jour et heure (UTC)*]]-7/24</calculatedColumnFormula>
    </tableColumn>
    <tableColumn id="4" xr3:uid="{00000000-0010-0000-A800-000004000000}" name="Date" dataDxfId="3" totalsRowDxfId="2">
      <calculatedColumnFormula>INT(Tableau_Données_Lune[[#This Row],[Heure ajustée1]])</calculatedColumnFormula>
    </tableColumn>
    <tableColumn id="5" xr3:uid="{00000000-0010-0000-A800-000005000000}" name="Phase de la lune2" totalsRowFunction="count" dataDxfId="1" totalsRowDxfId="0"/>
  </tableColumns>
  <tableStyleInfo name="TableStyleLight2 2" showFirstColumn="0" showLastColumn="0" showRowStripes="1" showColumnStripes="0"/>
</table>
</file>

<file path=xl/tables/table17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10000000}" name="Août93" displayName="Août93" ref="J25:P31" totalsRowShown="0" headerRowDxfId="1560" dataDxfId="1559">
  <autoFilter ref="J25:P31" xr:uid="{00000000-0009-0000-0100-00005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000-000001000000}" name="Lu" dataDxfId="1558"/>
    <tableColumn id="2" xr3:uid="{00000000-0010-0000-1000-000002000000}" name="Ma" dataDxfId="1557"/>
    <tableColumn id="3" xr3:uid="{00000000-0010-0000-1000-000003000000}" name="Me" dataDxfId="1556"/>
    <tableColumn id="4" xr3:uid="{00000000-0010-0000-1000-000004000000}" name="Je" dataDxfId="1555"/>
    <tableColumn id="5" xr3:uid="{00000000-0010-0000-1000-000005000000}" name="Ve" dataDxfId="1554"/>
    <tableColumn id="6" xr3:uid="{00000000-0010-0000-1000-000006000000}" name="Sa" dataDxfId="1553"/>
    <tableColumn id="7" xr3:uid="{00000000-0010-0000-1000-000007000000}" name="Di" dataDxfId="155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18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11000000}" name="Décembre94" displayName="Décembre94" ref="R34:X40" totalsRowShown="0" headerRowDxfId="1551" dataDxfId="1550">
  <autoFilter ref="R34:X40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100-000001000000}" name="Lu" dataDxfId="1549"/>
    <tableColumn id="2" xr3:uid="{00000000-0010-0000-1100-000002000000}" name="Ma" dataDxfId="1548"/>
    <tableColumn id="3" xr3:uid="{00000000-0010-0000-1100-000003000000}" name="Me" dataDxfId="1547"/>
    <tableColumn id="4" xr3:uid="{00000000-0010-0000-1100-000004000000}" name="Je" dataDxfId="1546"/>
    <tableColumn id="5" xr3:uid="{00000000-0010-0000-1100-000005000000}" name="Ve" dataDxfId="1545"/>
    <tableColumn id="6" xr3:uid="{00000000-0010-0000-1100-000006000000}" name="Sa" dataDxfId="1544"/>
    <tableColumn id="7" xr3:uid="{00000000-0010-0000-1100-000007000000}" name="Di" dataDxfId="154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19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12000000}" name="Novembre95" displayName="Novembre95" ref="J34:P40" totalsRowShown="0" headerRowDxfId="1542" dataDxfId="1541">
  <autoFilter ref="J34:P40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200-000001000000}" name="Lu" dataDxfId="1540"/>
    <tableColumn id="2" xr3:uid="{00000000-0010-0000-1200-000002000000}" name="Ma" dataDxfId="1539"/>
    <tableColumn id="3" xr3:uid="{00000000-0010-0000-1200-000003000000}" name="Me" dataDxfId="1538"/>
    <tableColumn id="4" xr3:uid="{00000000-0010-0000-1200-000004000000}" name="Je" dataDxfId="1537"/>
    <tableColumn id="5" xr3:uid="{00000000-0010-0000-1200-000005000000}" name="Ve" dataDxfId="1536"/>
    <tableColumn id="6" xr3:uid="{00000000-0010-0000-1200-000006000000}" name="Sa" dataDxfId="1535"/>
    <tableColumn id="7" xr3:uid="{00000000-0010-0000-1200-000007000000}" name="Di" dataDxfId="153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20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13000000}" name="Octobre96" displayName="Octobre96" ref="B34:H40" totalsRowShown="0" headerRowDxfId="1533" dataDxfId="1532">
  <autoFilter ref="B34:H40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300-000001000000}" name="Lu" dataDxfId="1531"/>
    <tableColumn id="2" xr3:uid="{00000000-0010-0000-1300-000002000000}" name="Ma" dataDxfId="1530"/>
    <tableColumn id="3" xr3:uid="{00000000-0010-0000-1300-000003000000}" name="Me" dataDxfId="1529"/>
    <tableColumn id="4" xr3:uid="{00000000-0010-0000-1300-000004000000}" name="Je" dataDxfId="1528"/>
    <tableColumn id="5" xr3:uid="{00000000-0010-0000-1300-000005000000}" name="Ve" dataDxfId="1527"/>
    <tableColumn id="6" xr3:uid="{00000000-0010-0000-1300-000006000000}" name="Sa" dataDxfId="1526"/>
    <tableColumn id="7" xr3:uid="{00000000-0010-0000-1300-000007000000}" name="Di" dataDxfId="152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2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14000000}" name="Septembre97" displayName="Septembre97" ref="R25:X31" totalsRowShown="0" headerRowDxfId="1524" dataDxfId="1523">
  <autoFilter ref="R25:X31" xr:uid="{00000000-0009-0000-0100-00006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400-000001000000}" name="Lu" dataDxfId="1522"/>
    <tableColumn id="2" xr3:uid="{00000000-0010-0000-1400-000002000000}" name="Ma" dataDxfId="1521"/>
    <tableColumn id="3" xr3:uid="{00000000-0010-0000-1400-000003000000}" name="Me" dataDxfId="1520"/>
    <tableColumn id="4" xr3:uid="{00000000-0010-0000-1400-000004000000}" name="Je" dataDxfId="1519"/>
    <tableColumn id="5" xr3:uid="{00000000-0010-0000-1400-000005000000}" name="Ve" dataDxfId="1518"/>
    <tableColumn id="6" xr3:uid="{00000000-0010-0000-1400-000006000000}" name="Sa" dataDxfId="1517"/>
    <tableColumn id="7" xr3:uid="{00000000-0010-0000-1400-000007000000}" name="Di" dataDxfId="151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2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15000000}" name="Mai_98" displayName="Mai_98" ref="J16:P22" totalsRowShown="0" headerRowDxfId="1515" dataDxfId="1514" tableBorderDxfId="1513">
  <autoFilter ref="J16:P22" xr:uid="{00000000-0009-0000-0100-00006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500-000001000000}" name="Lu" dataDxfId="1512"/>
    <tableColumn id="2" xr3:uid="{00000000-0010-0000-1500-000002000000}" name="Ma" dataDxfId="1511"/>
    <tableColumn id="3" xr3:uid="{00000000-0010-0000-1500-000003000000}" name="Me" dataDxfId="1510"/>
    <tableColumn id="4" xr3:uid="{00000000-0010-0000-1500-000004000000}" name="Je" dataDxfId="1509"/>
    <tableColumn id="5" xr3:uid="{00000000-0010-0000-1500-000005000000}" name="Ve" dataDxfId="1508"/>
    <tableColumn id="6" xr3:uid="{00000000-0010-0000-1500-000006000000}" name="Sa" dataDxfId="1507"/>
    <tableColumn id="7" xr3:uid="{00000000-0010-0000-1500-000007000000}" name="Di" dataDxfId="150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2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16000000}" name="Juin99" displayName="Juin99" ref="R16:X22" totalsRowShown="0" headerRowDxfId="1505" dataDxfId="1504" tableBorderDxfId="1503">
  <autoFilter ref="R16:X22" xr:uid="{00000000-0009-0000-0100-00006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600-000001000000}" name="Lu" dataDxfId="1502"/>
    <tableColumn id="2" xr3:uid="{00000000-0010-0000-1600-000002000000}" name="Ma" dataDxfId="1501"/>
    <tableColumn id="3" xr3:uid="{00000000-0010-0000-1600-000003000000}" name="Me" dataDxfId="1500"/>
    <tableColumn id="4" xr3:uid="{00000000-0010-0000-1600-000004000000}" name="Je" dataDxfId="1499"/>
    <tableColumn id="5" xr3:uid="{00000000-0010-0000-1600-000005000000}" name="Ve" dataDxfId="1498"/>
    <tableColumn id="6" xr3:uid="{00000000-0010-0000-1600-000006000000}" name="Sa" dataDxfId="1497"/>
    <tableColumn id="7" xr3:uid="{00000000-0010-0000-1600-000007000000}" name="Di" dataDxfId="149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2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17000000}" name="Juillet100" displayName="Juillet100" ref="B25:H31" totalsRowShown="0" headerRowDxfId="1495" dataDxfId="1494">
  <autoFilter ref="B25:H31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700-000001000000}" name="Lu" dataDxfId="1493"/>
    <tableColumn id="2" xr3:uid="{00000000-0010-0000-1700-000002000000}" name="Ma" dataDxfId="1492"/>
    <tableColumn id="3" xr3:uid="{00000000-0010-0000-1700-000003000000}" name="Me" dataDxfId="1491"/>
    <tableColumn id="4" xr3:uid="{00000000-0010-0000-1700-000004000000}" name="Je" dataDxfId="1490"/>
    <tableColumn id="5" xr3:uid="{00000000-0010-0000-1700-000005000000}" name="Ve" dataDxfId="1489"/>
    <tableColumn id="6" xr3:uid="{00000000-0010-0000-1700-000006000000}" name="Sa" dataDxfId="1488"/>
    <tableColumn id="7" xr3:uid="{00000000-0010-0000-1700-000007000000}" name="Di" dataDxfId="148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25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18000000}" name="Janvier101" displayName="Janvier101" ref="B7:H13" totalsRowShown="0" headerRowDxfId="1474" dataDxfId="1473" tableBorderDxfId="1472">
  <autoFilter ref="B7:H13" xr:uid="{00000000-0009-0000-0100-00006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800-000001000000}" name="Lu" dataDxfId="1471"/>
    <tableColumn id="2" xr3:uid="{00000000-0010-0000-1800-000002000000}" name="Ma" dataDxfId="1470"/>
    <tableColumn id="3" xr3:uid="{00000000-0010-0000-1800-000003000000}" name="Me" dataDxfId="1469"/>
    <tableColumn id="4" xr3:uid="{00000000-0010-0000-1800-000004000000}" name="Je" dataDxfId="1468"/>
    <tableColumn id="5" xr3:uid="{00000000-0010-0000-1800-000005000000}" name="Ve" dataDxfId="1467"/>
    <tableColumn id="6" xr3:uid="{00000000-0010-0000-1800-000006000000}" name="Sa" dataDxfId="1466"/>
    <tableColumn id="7" xr3:uid="{00000000-0010-0000-1800-000007000000}" name="Di" dataDxfId="146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01000000}" name="Février78" displayName="Février78" ref="J7:P13" totalsRowShown="0" headerRowDxfId="1710" dataDxfId="1709">
  <autoFilter ref="J7:P13" xr:uid="{00000000-0009-0000-0100-00004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100-000001000000}" name="Lu" dataDxfId="1708"/>
    <tableColumn id="2" xr3:uid="{00000000-0010-0000-0100-000002000000}" name="Ma" dataDxfId="1707"/>
    <tableColumn id="3" xr3:uid="{00000000-0010-0000-0100-000003000000}" name="Me" dataDxfId="1706"/>
    <tableColumn id="4" xr3:uid="{00000000-0010-0000-0100-000004000000}" name="Je" dataDxfId="1705"/>
    <tableColumn id="5" xr3:uid="{00000000-0010-0000-0100-000005000000}" name="Ve" dataDxfId="1704"/>
    <tableColumn id="6" xr3:uid="{00000000-0010-0000-0100-000006000000}" name="Sa" dataDxfId="1703"/>
    <tableColumn id="7" xr3:uid="{00000000-0010-0000-0100-000007000000}" name="Di" dataDxfId="170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26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19000000}" name="Février102" displayName="Février102" ref="J7:P13" totalsRowShown="0" headerRowDxfId="1464" dataDxfId="1463">
  <autoFilter ref="J7:P13" xr:uid="{00000000-0009-0000-0100-00006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900-000001000000}" name="Lu" dataDxfId="1462"/>
    <tableColumn id="2" xr3:uid="{00000000-0010-0000-1900-000002000000}" name="Ma" dataDxfId="1461"/>
    <tableColumn id="3" xr3:uid="{00000000-0010-0000-1900-000003000000}" name="Me" dataDxfId="1460"/>
    <tableColumn id="4" xr3:uid="{00000000-0010-0000-1900-000004000000}" name="Je" dataDxfId="1459"/>
    <tableColumn id="5" xr3:uid="{00000000-0010-0000-1900-000005000000}" name="Ve" dataDxfId="1458"/>
    <tableColumn id="6" xr3:uid="{00000000-0010-0000-1900-000006000000}" name="Sa" dataDxfId="1457"/>
    <tableColumn id="7" xr3:uid="{00000000-0010-0000-1900-000007000000}" name="Di" dataDxfId="145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27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1A000000}" name="Mars103" displayName="Mars103" ref="R7:X13" totalsRowShown="0" headerRowDxfId="1455" dataDxfId="1454">
  <autoFilter ref="R7:X13" xr:uid="{00000000-0009-0000-0100-00006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A00-000001000000}" name="Lu" dataDxfId="1453"/>
    <tableColumn id="2" xr3:uid="{00000000-0010-0000-1A00-000002000000}" name="Ma" dataDxfId="1452"/>
    <tableColumn id="3" xr3:uid="{00000000-0010-0000-1A00-000003000000}" name="Me" dataDxfId="1451"/>
    <tableColumn id="4" xr3:uid="{00000000-0010-0000-1A00-000004000000}" name="Je" dataDxfId="1450"/>
    <tableColumn id="5" xr3:uid="{00000000-0010-0000-1A00-000005000000}" name="Ve" dataDxfId="1449"/>
    <tableColumn id="6" xr3:uid="{00000000-0010-0000-1A00-000006000000}" name="Sa" dataDxfId="1448"/>
    <tableColumn id="7" xr3:uid="{00000000-0010-0000-1A00-000007000000}" name="Di" dataDxfId="144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28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1B000000}" name="Avril104" displayName="Avril104" ref="B16:H22" totalsRowShown="0" headerRowDxfId="1446" dataDxfId="1445">
  <autoFilter ref="B16:H22" xr:uid="{00000000-0009-0000-0100-00006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B00-000001000000}" name="Lu" dataDxfId="1444"/>
    <tableColumn id="2" xr3:uid="{00000000-0010-0000-1B00-000002000000}" name="Ma" dataDxfId="1443"/>
    <tableColumn id="3" xr3:uid="{00000000-0010-0000-1B00-000003000000}" name="Me" dataDxfId="1442"/>
    <tableColumn id="4" xr3:uid="{00000000-0010-0000-1B00-000004000000}" name="Je" dataDxfId="1441"/>
    <tableColumn id="5" xr3:uid="{00000000-0010-0000-1B00-000005000000}" name="Ve" dataDxfId="1440"/>
    <tableColumn id="6" xr3:uid="{00000000-0010-0000-1B00-000006000000}" name="Sa" dataDxfId="1439"/>
    <tableColumn id="7" xr3:uid="{00000000-0010-0000-1B00-000007000000}" name="Di" dataDxfId="143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29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1C000000}" name="Août105" displayName="Août105" ref="J25:P31" totalsRowShown="0" headerRowDxfId="1437" dataDxfId="1436">
  <autoFilter ref="J25:P31" xr:uid="{00000000-0009-0000-0100-00006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C00-000001000000}" name="Lu" dataDxfId="1435"/>
    <tableColumn id="2" xr3:uid="{00000000-0010-0000-1C00-000002000000}" name="Ma" dataDxfId="1434"/>
    <tableColumn id="3" xr3:uid="{00000000-0010-0000-1C00-000003000000}" name="Me" dataDxfId="1433"/>
    <tableColumn id="4" xr3:uid="{00000000-0010-0000-1C00-000004000000}" name="Je" dataDxfId="1432"/>
    <tableColumn id="5" xr3:uid="{00000000-0010-0000-1C00-000005000000}" name="Ve" dataDxfId="1431"/>
    <tableColumn id="6" xr3:uid="{00000000-0010-0000-1C00-000006000000}" name="Sa" dataDxfId="1430"/>
    <tableColumn id="7" xr3:uid="{00000000-0010-0000-1C00-000007000000}" name="Di" dataDxfId="142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30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1D000000}" name="Décembre106" displayName="Décembre106" ref="R34:X40" totalsRowShown="0" headerRowDxfId="1428" dataDxfId="1427">
  <autoFilter ref="R34:X40" xr:uid="{00000000-0009-0000-0100-00006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D00-000001000000}" name="Lu" dataDxfId="1426"/>
    <tableColumn id="2" xr3:uid="{00000000-0010-0000-1D00-000002000000}" name="Ma" dataDxfId="1425"/>
    <tableColumn id="3" xr3:uid="{00000000-0010-0000-1D00-000003000000}" name="Me" dataDxfId="1424"/>
    <tableColumn id="4" xr3:uid="{00000000-0010-0000-1D00-000004000000}" name="Je" dataDxfId="1423"/>
    <tableColumn id="5" xr3:uid="{00000000-0010-0000-1D00-000005000000}" name="Ve" dataDxfId="1422"/>
    <tableColumn id="6" xr3:uid="{00000000-0010-0000-1D00-000006000000}" name="Sa" dataDxfId="1421"/>
    <tableColumn id="7" xr3:uid="{00000000-0010-0000-1D00-000007000000}" name="Di" dataDxfId="142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31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1E000000}" name="Novembre107" displayName="Novembre107" ref="J34:P40" totalsRowShown="0" headerRowDxfId="1419" dataDxfId="1418">
  <autoFilter ref="J34:P40" xr:uid="{00000000-0009-0000-0100-00006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E00-000001000000}" name="Lu" dataDxfId="1417"/>
    <tableColumn id="2" xr3:uid="{00000000-0010-0000-1E00-000002000000}" name="Ma" dataDxfId="1416"/>
    <tableColumn id="3" xr3:uid="{00000000-0010-0000-1E00-000003000000}" name="Me" dataDxfId="1415"/>
    <tableColumn id="4" xr3:uid="{00000000-0010-0000-1E00-000004000000}" name="Je" dataDxfId="1414"/>
    <tableColumn id="5" xr3:uid="{00000000-0010-0000-1E00-000005000000}" name="Ve" dataDxfId="1413"/>
    <tableColumn id="6" xr3:uid="{00000000-0010-0000-1E00-000006000000}" name="Sa" dataDxfId="1412"/>
    <tableColumn id="7" xr3:uid="{00000000-0010-0000-1E00-000007000000}" name="Di" dataDxfId="141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32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1F000000}" name="Octobre108" displayName="Octobre108" ref="B34:H40" totalsRowShown="0" headerRowDxfId="1410" dataDxfId="1409">
  <autoFilter ref="B34:H40" xr:uid="{00000000-0009-0000-0100-00006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F00-000001000000}" name="Lu" dataDxfId="1408"/>
    <tableColumn id="2" xr3:uid="{00000000-0010-0000-1F00-000002000000}" name="Ma" dataDxfId="1407"/>
    <tableColumn id="3" xr3:uid="{00000000-0010-0000-1F00-000003000000}" name="Me" dataDxfId="1406"/>
    <tableColumn id="4" xr3:uid="{00000000-0010-0000-1F00-000004000000}" name="Je" dataDxfId="1405"/>
    <tableColumn id="5" xr3:uid="{00000000-0010-0000-1F00-000005000000}" name="Ve" dataDxfId="1404"/>
    <tableColumn id="6" xr3:uid="{00000000-0010-0000-1F00-000006000000}" name="Sa" dataDxfId="1403"/>
    <tableColumn id="7" xr3:uid="{00000000-0010-0000-1F00-000007000000}" name="Di" dataDxfId="140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33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20000000}" name="Septembre109" displayName="Septembre109" ref="R25:X31" totalsRowShown="0" headerRowDxfId="1401" dataDxfId="1400">
  <autoFilter ref="R25:X31" xr:uid="{00000000-0009-0000-0100-00006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000-000001000000}" name="Lu" dataDxfId="1399"/>
    <tableColumn id="2" xr3:uid="{00000000-0010-0000-2000-000002000000}" name="Ma" dataDxfId="1398"/>
    <tableColumn id="3" xr3:uid="{00000000-0010-0000-2000-000003000000}" name="Me" dataDxfId="1397"/>
    <tableColumn id="4" xr3:uid="{00000000-0010-0000-2000-000004000000}" name="Je" dataDxfId="1396"/>
    <tableColumn id="5" xr3:uid="{00000000-0010-0000-2000-000005000000}" name="Ve" dataDxfId="1395"/>
    <tableColumn id="6" xr3:uid="{00000000-0010-0000-2000-000006000000}" name="Sa" dataDxfId="1394"/>
    <tableColumn id="7" xr3:uid="{00000000-0010-0000-2000-000007000000}" name="Di" dataDxfId="139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34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21000000}" name="Mai_110" displayName="Mai_110" ref="J16:P22" totalsRowShown="0" headerRowDxfId="1392" dataDxfId="1391" tableBorderDxfId="1390">
  <autoFilter ref="J16:P22" xr:uid="{00000000-0009-0000-0100-00006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100-000001000000}" name="Lu" dataDxfId="1389"/>
    <tableColumn id="2" xr3:uid="{00000000-0010-0000-2100-000002000000}" name="Ma" dataDxfId="1388"/>
    <tableColumn id="3" xr3:uid="{00000000-0010-0000-2100-000003000000}" name="Me" dataDxfId="1387"/>
    <tableColumn id="4" xr3:uid="{00000000-0010-0000-2100-000004000000}" name="Je" dataDxfId="1386"/>
    <tableColumn id="5" xr3:uid="{00000000-0010-0000-2100-000005000000}" name="Ve" dataDxfId="1385"/>
    <tableColumn id="6" xr3:uid="{00000000-0010-0000-2100-000006000000}" name="Sa" dataDxfId="1384"/>
    <tableColumn id="7" xr3:uid="{00000000-0010-0000-2100-000007000000}" name="Di" dataDxfId="138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35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22000000}" name="Juin111" displayName="Juin111" ref="R16:X22" totalsRowShown="0" headerRowDxfId="1382" dataDxfId="1381" tableBorderDxfId="1380">
  <autoFilter ref="R16:X22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200-000001000000}" name="Lu" dataDxfId="1379"/>
    <tableColumn id="2" xr3:uid="{00000000-0010-0000-2200-000002000000}" name="Ma" dataDxfId="1378"/>
    <tableColumn id="3" xr3:uid="{00000000-0010-0000-2200-000003000000}" name="Me" dataDxfId="1377"/>
    <tableColumn id="4" xr3:uid="{00000000-0010-0000-2200-000004000000}" name="Je" dataDxfId="1376"/>
    <tableColumn id="5" xr3:uid="{00000000-0010-0000-2200-000005000000}" name="Ve" dataDxfId="1375"/>
    <tableColumn id="6" xr3:uid="{00000000-0010-0000-2200-000006000000}" name="Sa" dataDxfId="1374"/>
    <tableColumn id="7" xr3:uid="{00000000-0010-0000-2200-000007000000}" name="Di" dataDxfId="13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02000000}" name="Mars79" displayName="Mars79" ref="R7:X13" totalsRowShown="0" headerRowDxfId="1701" dataDxfId="1700">
  <autoFilter ref="R7:X13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200-000001000000}" name="Lu" dataDxfId="1699"/>
    <tableColumn id="2" xr3:uid="{00000000-0010-0000-0200-000002000000}" name="Ma" dataDxfId="1698"/>
    <tableColumn id="3" xr3:uid="{00000000-0010-0000-0200-000003000000}" name="Me" dataDxfId="1697"/>
    <tableColumn id="4" xr3:uid="{00000000-0010-0000-0200-000004000000}" name="Je" dataDxfId="1696"/>
    <tableColumn id="5" xr3:uid="{00000000-0010-0000-0200-000005000000}" name="Ve" dataDxfId="1695"/>
    <tableColumn id="6" xr3:uid="{00000000-0010-0000-0200-000006000000}" name="Sa" dataDxfId="1694"/>
    <tableColumn id="7" xr3:uid="{00000000-0010-0000-0200-000007000000}" name="Di" dataDxfId="169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36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23000000}" name="Juillet112" displayName="Juillet112" ref="B25:H31" totalsRowShown="0" headerRowDxfId="1372" dataDxfId="1371">
  <autoFilter ref="B25:H31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300-000001000000}" name="Lu" dataDxfId="1370"/>
    <tableColumn id="2" xr3:uid="{00000000-0010-0000-2300-000002000000}" name="Ma" dataDxfId="1369"/>
    <tableColumn id="3" xr3:uid="{00000000-0010-0000-2300-000003000000}" name="Me" dataDxfId="1368"/>
    <tableColumn id="4" xr3:uid="{00000000-0010-0000-2300-000004000000}" name="Je" dataDxfId="1367"/>
    <tableColumn id="5" xr3:uid="{00000000-0010-0000-2300-000005000000}" name="Ve" dataDxfId="1366"/>
    <tableColumn id="6" xr3:uid="{00000000-0010-0000-2300-000006000000}" name="Sa" dataDxfId="1365"/>
    <tableColumn id="7" xr3:uid="{00000000-0010-0000-2300-000007000000}" name="Di" dataDxfId="13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37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24000000}" name="Janvier113" displayName="Janvier113" ref="B7:H13" totalsRowShown="0" headerRowDxfId="1351" dataDxfId="1350" tableBorderDxfId="1349">
  <autoFilter ref="B7:H13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400-000001000000}" name="Lu" dataDxfId="1348"/>
    <tableColumn id="2" xr3:uid="{00000000-0010-0000-2400-000002000000}" name="Ma" dataDxfId="1347"/>
    <tableColumn id="3" xr3:uid="{00000000-0010-0000-2400-000003000000}" name="Me" dataDxfId="1346"/>
    <tableColumn id="4" xr3:uid="{00000000-0010-0000-2400-000004000000}" name="Je" dataDxfId="1345"/>
    <tableColumn id="5" xr3:uid="{00000000-0010-0000-2400-000005000000}" name="Ve" dataDxfId="1344"/>
    <tableColumn id="6" xr3:uid="{00000000-0010-0000-2400-000006000000}" name="Sa" dataDxfId="1343"/>
    <tableColumn id="7" xr3:uid="{00000000-0010-0000-2400-000007000000}" name="Di" dataDxfId="134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38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25000000}" name="Février114" displayName="Février114" ref="J7:P13" totalsRowShown="0" headerRowDxfId="1341" dataDxfId="1340">
  <autoFilter ref="J7:P13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500-000001000000}" name="Lu" dataDxfId="1339"/>
    <tableColumn id="2" xr3:uid="{00000000-0010-0000-2500-000002000000}" name="Ma" dataDxfId="1338"/>
    <tableColumn id="3" xr3:uid="{00000000-0010-0000-2500-000003000000}" name="Me" dataDxfId="1337"/>
    <tableColumn id="4" xr3:uid="{00000000-0010-0000-2500-000004000000}" name="Je" dataDxfId="1336"/>
    <tableColumn id="5" xr3:uid="{00000000-0010-0000-2500-000005000000}" name="Ve" dataDxfId="1335"/>
    <tableColumn id="6" xr3:uid="{00000000-0010-0000-2500-000006000000}" name="Sa" dataDxfId="1334"/>
    <tableColumn id="7" xr3:uid="{00000000-0010-0000-2500-000007000000}" name="Di" dataDxfId="133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39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26000000}" name="Mars115" displayName="Mars115" ref="R7:X13" totalsRowShown="0" headerRowDxfId="1332" dataDxfId="1331">
  <autoFilter ref="R7:X13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600-000001000000}" name="Lu" dataDxfId="1330"/>
    <tableColumn id="2" xr3:uid="{00000000-0010-0000-2600-000002000000}" name="Ma" dataDxfId="1329"/>
    <tableColumn id="3" xr3:uid="{00000000-0010-0000-2600-000003000000}" name="Me" dataDxfId="1328"/>
    <tableColumn id="4" xr3:uid="{00000000-0010-0000-2600-000004000000}" name="Je" dataDxfId="1327"/>
    <tableColumn id="5" xr3:uid="{00000000-0010-0000-2600-000005000000}" name="Ve" dataDxfId="1326"/>
    <tableColumn id="6" xr3:uid="{00000000-0010-0000-2600-000006000000}" name="Sa" dataDxfId="1325"/>
    <tableColumn id="7" xr3:uid="{00000000-0010-0000-2600-000007000000}" name="Di" dataDxfId="132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40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27000000}" name="Avril116" displayName="Avril116" ref="B16:H22" totalsRowShown="0" headerRowDxfId="1323" dataDxfId="1322">
  <autoFilter ref="B16:H22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700-000001000000}" name="Lu" dataDxfId="1321"/>
    <tableColumn id="2" xr3:uid="{00000000-0010-0000-2700-000002000000}" name="Ma" dataDxfId="1320"/>
    <tableColumn id="3" xr3:uid="{00000000-0010-0000-2700-000003000000}" name="Me" dataDxfId="1319"/>
    <tableColumn id="4" xr3:uid="{00000000-0010-0000-2700-000004000000}" name="Je" dataDxfId="1318"/>
    <tableColumn id="5" xr3:uid="{00000000-0010-0000-2700-000005000000}" name="Ve" dataDxfId="1317"/>
    <tableColumn id="6" xr3:uid="{00000000-0010-0000-2700-000006000000}" name="Sa" dataDxfId="1316"/>
    <tableColumn id="7" xr3:uid="{00000000-0010-0000-2700-000007000000}" name="Di" dataDxfId="131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41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28000000}" name="Août117" displayName="Août117" ref="J25:P31" totalsRowShown="0" headerRowDxfId="1314" dataDxfId="1313">
  <autoFilter ref="J25:P31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800-000001000000}" name="Lu" dataDxfId="1312"/>
    <tableColumn id="2" xr3:uid="{00000000-0010-0000-2800-000002000000}" name="Ma" dataDxfId="1311"/>
    <tableColumn id="3" xr3:uid="{00000000-0010-0000-2800-000003000000}" name="Me" dataDxfId="1310"/>
    <tableColumn id="4" xr3:uid="{00000000-0010-0000-2800-000004000000}" name="Je" dataDxfId="1309"/>
    <tableColumn id="5" xr3:uid="{00000000-0010-0000-2800-000005000000}" name="Ve" dataDxfId="1308"/>
    <tableColumn id="6" xr3:uid="{00000000-0010-0000-2800-000006000000}" name="Sa" dataDxfId="1307"/>
    <tableColumn id="7" xr3:uid="{00000000-0010-0000-2800-000007000000}" name="Di" dataDxfId="130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42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29000000}" name="Décembre118" displayName="Décembre118" ref="R34:X40" totalsRowShown="0" headerRowDxfId="1305" dataDxfId="1304">
  <autoFilter ref="R34:X40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900-000001000000}" name="Lu" dataDxfId="1303"/>
    <tableColumn id="2" xr3:uid="{00000000-0010-0000-2900-000002000000}" name="Ma" dataDxfId="1302"/>
    <tableColumn id="3" xr3:uid="{00000000-0010-0000-2900-000003000000}" name="Me" dataDxfId="1301"/>
    <tableColumn id="4" xr3:uid="{00000000-0010-0000-2900-000004000000}" name="Je" dataDxfId="1300"/>
    <tableColumn id="5" xr3:uid="{00000000-0010-0000-2900-000005000000}" name="Ve" dataDxfId="1299"/>
    <tableColumn id="6" xr3:uid="{00000000-0010-0000-2900-000006000000}" name="Sa" dataDxfId="1298"/>
    <tableColumn id="7" xr3:uid="{00000000-0010-0000-2900-000007000000}" name="Di" dataDxfId="129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43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A000000}" name="Novembre119" displayName="Novembre119" ref="J34:P40" totalsRowShown="0" headerRowDxfId="1296" dataDxfId="1295">
  <autoFilter ref="J34:P40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A00-000001000000}" name="Lu" dataDxfId="1294"/>
    <tableColumn id="2" xr3:uid="{00000000-0010-0000-2A00-000002000000}" name="Ma" dataDxfId="1293"/>
    <tableColumn id="3" xr3:uid="{00000000-0010-0000-2A00-000003000000}" name="Me" dataDxfId="1292"/>
    <tableColumn id="4" xr3:uid="{00000000-0010-0000-2A00-000004000000}" name="Je" dataDxfId="1291"/>
    <tableColumn id="5" xr3:uid="{00000000-0010-0000-2A00-000005000000}" name="Ve" dataDxfId="1290"/>
    <tableColumn id="6" xr3:uid="{00000000-0010-0000-2A00-000006000000}" name="Sa" dataDxfId="1289"/>
    <tableColumn id="7" xr3:uid="{00000000-0010-0000-2A00-000007000000}" name="Di" dataDxfId="128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44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2B000000}" name="Octobre120" displayName="Octobre120" ref="B34:H40" totalsRowShown="0" headerRowDxfId="1287" dataDxfId="1286">
  <autoFilter ref="B34:H40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B00-000001000000}" name="Lu" dataDxfId="1285"/>
    <tableColumn id="2" xr3:uid="{00000000-0010-0000-2B00-000002000000}" name="Ma" dataDxfId="1284"/>
    <tableColumn id="3" xr3:uid="{00000000-0010-0000-2B00-000003000000}" name="Me" dataDxfId="1283"/>
    <tableColumn id="4" xr3:uid="{00000000-0010-0000-2B00-000004000000}" name="Je" dataDxfId="1282"/>
    <tableColumn id="5" xr3:uid="{00000000-0010-0000-2B00-000005000000}" name="Ve" dataDxfId="1281"/>
    <tableColumn id="6" xr3:uid="{00000000-0010-0000-2B00-000006000000}" name="Sa" dataDxfId="1280"/>
    <tableColumn id="7" xr3:uid="{00000000-0010-0000-2B00-000007000000}" name="Di" dataDxfId="127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45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2C000000}" name="Septembre121" displayName="Septembre121" ref="R25:X31" totalsRowShown="0" headerRowDxfId="1278" dataDxfId="1277">
  <autoFilter ref="R25:X31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C00-000001000000}" name="Lu" dataDxfId="1276"/>
    <tableColumn id="2" xr3:uid="{00000000-0010-0000-2C00-000002000000}" name="Ma" dataDxfId="1275"/>
    <tableColumn id="3" xr3:uid="{00000000-0010-0000-2C00-000003000000}" name="Me" dataDxfId="1274"/>
    <tableColumn id="4" xr3:uid="{00000000-0010-0000-2C00-000004000000}" name="Je" dataDxfId="1273"/>
    <tableColumn id="5" xr3:uid="{00000000-0010-0000-2C00-000005000000}" name="Ve" dataDxfId="1272"/>
    <tableColumn id="6" xr3:uid="{00000000-0010-0000-2C00-000006000000}" name="Sa" dataDxfId="1271"/>
    <tableColumn id="7" xr3:uid="{00000000-0010-0000-2C00-000007000000}" name="Di" dataDxfId="127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03000000}" name="Avril80" displayName="Avril80" ref="B16:H22" totalsRowShown="0" headerRowDxfId="1692" dataDxfId="1691">
  <autoFilter ref="B16:H22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300-000001000000}" name="Lu" dataDxfId="1690"/>
    <tableColumn id="2" xr3:uid="{00000000-0010-0000-0300-000002000000}" name="Ma" dataDxfId="1689"/>
    <tableColumn id="3" xr3:uid="{00000000-0010-0000-0300-000003000000}" name="Me" dataDxfId="1688"/>
    <tableColumn id="4" xr3:uid="{00000000-0010-0000-0300-000004000000}" name="Je" dataDxfId="1687"/>
    <tableColumn id="5" xr3:uid="{00000000-0010-0000-0300-000005000000}" name="Ve" dataDxfId="1686"/>
    <tableColumn id="6" xr3:uid="{00000000-0010-0000-0300-000006000000}" name="Sa" dataDxfId="1685"/>
    <tableColumn id="7" xr3:uid="{00000000-0010-0000-0300-000007000000}" name="Di" dataDxfId="168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46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2D000000}" name="Mai_122" displayName="Mai_122" ref="J16:P22" totalsRowShown="0" headerRowDxfId="1269" dataDxfId="1268" tableBorderDxfId="1267">
  <autoFilter ref="J16:P22" xr:uid="{00000000-0009-0000-0100-00007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D00-000001000000}" name="Lu" dataDxfId="1266"/>
    <tableColumn id="2" xr3:uid="{00000000-0010-0000-2D00-000002000000}" name="Ma" dataDxfId="1265"/>
    <tableColumn id="3" xr3:uid="{00000000-0010-0000-2D00-000003000000}" name="Me" dataDxfId="1264"/>
    <tableColumn id="4" xr3:uid="{00000000-0010-0000-2D00-000004000000}" name="Je" dataDxfId="1263"/>
    <tableColumn id="5" xr3:uid="{00000000-0010-0000-2D00-000005000000}" name="Ve" dataDxfId="1262"/>
    <tableColumn id="6" xr3:uid="{00000000-0010-0000-2D00-000006000000}" name="Sa" dataDxfId="1261"/>
    <tableColumn id="7" xr3:uid="{00000000-0010-0000-2D00-000007000000}" name="Di" dataDxfId="126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47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2E000000}" name="Juin123" displayName="Juin123" ref="R16:X22" totalsRowShown="0" headerRowDxfId="1259" dataDxfId="1258" tableBorderDxfId="1257">
  <autoFilter ref="R16:X22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E00-000001000000}" name="Lu" dataDxfId="1256"/>
    <tableColumn id="2" xr3:uid="{00000000-0010-0000-2E00-000002000000}" name="Ma" dataDxfId="1255"/>
    <tableColumn id="3" xr3:uid="{00000000-0010-0000-2E00-000003000000}" name="Me" dataDxfId="1254"/>
    <tableColumn id="4" xr3:uid="{00000000-0010-0000-2E00-000004000000}" name="Je" dataDxfId="1253"/>
    <tableColumn id="5" xr3:uid="{00000000-0010-0000-2E00-000005000000}" name="Ve" dataDxfId="1252"/>
    <tableColumn id="6" xr3:uid="{00000000-0010-0000-2E00-000006000000}" name="Sa" dataDxfId="1251"/>
    <tableColumn id="7" xr3:uid="{00000000-0010-0000-2E00-000007000000}" name="Di" dataDxfId="125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48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F000000}" name="Juillet124" displayName="Juillet124" ref="B25:H31" totalsRowShown="0" headerRowDxfId="1249" dataDxfId="1248">
  <autoFilter ref="B25:H31" xr:uid="{00000000-0009-0000-0100-00007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F00-000001000000}" name="Lu" dataDxfId="1247"/>
    <tableColumn id="2" xr3:uid="{00000000-0010-0000-2F00-000002000000}" name="Ma" dataDxfId="1246"/>
    <tableColumn id="3" xr3:uid="{00000000-0010-0000-2F00-000003000000}" name="Me" dataDxfId="1245"/>
    <tableColumn id="4" xr3:uid="{00000000-0010-0000-2F00-000004000000}" name="Je" dataDxfId="1244"/>
    <tableColumn id="5" xr3:uid="{00000000-0010-0000-2F00-000005000000}" name="Ve" dataDxfId="1243"/>
    <tableColumn id="6" xr3:uid="{00000000-0010-0000-2F00-000006000000}" name="Sa" dataDxfId="1242"/>
    <tableColumn id="7" xr3:uid="{00000000-0010-0000-2F00-000007000000}" name="Di" dataDxfId="12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49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30000000}" name="Janvier125" displayName="Janvier125" ref="B7:H13" totalsRowShown="0" headerRowDxfId="1228" dataDxfId="1227" tableBorderDxfId="1226">
  <autoFilter ref="B7:H13" xr:uid="{00000000-0009-0000-0100-00007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000-000001000000}" name="Lu" dataDxfId="1225"/>
    <tableColumn id="2" xr3:uid="{00000000-0010-0000-3000-000002000000}" name="Ma" dataDxfId="1224"/>
    <tableColumn id="3" xr3:uid="{00000000-0010-0000-3000-000003000000}" name="Me" dataDxfId="1223"/>
    <tableColumn id="4" xr3:uid="{00000000-0010-0000-3000-000004000000}" name="Je" dataDxfId="1222"/>
    <tableColumn id="5" xr3:uid="{00000000-0010-0000-3000-000005000000}" name="Ve" dataDxfId="1221"/>
    <tableColumn id="6" xr3:uid="{00000000-0010-0000-3000-000006000000}" name="Sa" dataDxfId="1220"/>
    <tableColumn id="7" xr3:uid="{00000000-0010-0000-3000-000007000000}" name="Di" dataDxfId="121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50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1000000}" name="Février126" displayName="Février126" ref="J7:P13" totalsRowShown="0" headerRowDxfId="1218" dataDxfId="1217">
  <autoFilter ref="J7:P13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100-000001000000}" name="Lu" dataDxfId="1216"/>
    <tableColumn id="2" xr3:uid="{00000000-0010-0000-3100-000002000000}" name="Ma" dataDxfId="1215"/>
    <tableColumn id="3" xr3:uid="{00000000-0010-0000-3100-000003000000}" name="Me" dataDxfId="1214"/>
    <tableColumn id="4" xr3:uid="{00000000-0010-0000-3100-000004000000}" name="Je" dataDxfId="1213"/>
    <tableColumn id="5" xr3:uid="{00000000-0010-0000-3100-000005000000}" name="Ve" dataDxfId="1212"/>
    <tableColumn id="6" xr3:uid="{00000000-0010-0000-3100-000006000000}" name="Sa" dataDxfId="1211"/>
    <tableColumn id="7" xr3:uid="{00000000-0010-0000-3100-000007000000}" name="Di" dataDxfId="121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5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2000000}" name="Mars127" displayName="Mars127" ref="R7:X13" totalsRowShown="0" headerRowDxfId="1209" dataDxfId="1208">
  <autoFilter ref="R7:X13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200-000001000000}" name="Lu" dataDxfId="1207"/>
    <tableColumn id="2" xr3:uid="{00000000-0010-0000-3200-000002000000}" name="Ma" dataDxfId="1206"/>
    <tableColumn id="3" xr3:uid="{00000000-0010-0000-3200-000003000000}" name="Me" dataDxfId="1205"/>
    <tableColumn id="4" xr3:uid="{00000000-0010-0000-3200-000004000000}" name="Je" dataDxfId="1204"/>
    <tableColumn id="5" xr3:uid="{00000000-0010-0000-3200-000005000000}" name="Ve" dataDxfId="1203"/>
    <tableColumn id="6" xr3:uid="{00000000-0010-0000-3200-000006000000}" name="Sa" dataDxfId="1202"/>
    <tableColumn id="7" xr3:uid="{00000000-0010-0000-3200-000007000000}" name="Di" dataDxfId="120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5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3000000}" name="Avril128" displayName="Avril128" ref="B16:H22" totalsRowShown="0" headerRowDxfId="1200" dataDxfId="1199">
  <autoFilter ref="B16:H2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300-000001000000}" name="Lu" dataDxfId="1198"/>
    <tableColumn id="2" xr3:uid="{00000000-0010-0000-3300-000002000000}" name="Ma" dataDxfId="1197"/>
    <tableColumn id="3" xr3:uid="{00000000-0010-0000-3300-000003000000}" name="Me" dataDxfId="1196"/>
    <tableColumn id="4" xr3:uid="{00000000-0010-0000-3300-000004000000}" name="Je" dataDxfId="1195"/>
    <tableColumn id="5" xr3:uid="{00000000-0010-0000-3300-000005000000}" name="Ve" dataDxfId="1194"/>
    <tableColumn id="6" xr3:uid="{00000000-0010-0000-3300-000006000000}" name="Sa" dataDxfId="1193"/>
    <tableColumn id="7" xr3:uid="{00000000-0010-0000-3300-000007000000}" name="Di" dataDxfId="119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5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4000000}" name="Août129" displayName="Août129" ref="J25:P31" totalsRowShown="0" headerRowDxfId="1191" dataDxfId="1190">
  <autoFilter ref="J25:P31" xr:uid="{00000000-0009-0000-0100-00008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400-000001000000}" name="Lu" dataDxfId="1189"/>
    <tableColumn id="2" xr3:uid="{00000000-0010-0000-3400-000002000000}" name="Ma" dataDxfId="1188"/>
    <tableColumn id="3" xr3:uid="{00000000-0010-0000-3400-000003000000}" name="Me" dataDxfId="1187"/>
    <tableColumn id="4" xr3:uid="{00000000-0010-0000-3400-000004000000}" name="Je" dataDxfId="1186"/>
    <tableColumn id="5" xr3:uid="{00000000-0010-0000-3400-000005000000}" name="Ve" dataDxfId="1185"/>
    <tableColumn id="6" xr3:uid="{00000000-0010-0000-3400-000006000000}" name="Sa" dataDxfId="1184"/>
    <tableColumn id="7" xr3:uid="{00000000-0010-0000-3400-000007000000}" name="Di" dataDxfId="118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5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5000000}" name="Décembre130" displayName="Décembre130" ref="R34:X40" totalsRowShown="0" headerRowDxfId="1182" dataDxfId="1181">
  <autoFilter ref="R34:X40" xr:uid="{00000000-0009-0000-0100-00008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500-000001000000}" name="Lu" dataDxfId="1180"/>
    <tableColumn id="2" xr3:uid="{00000000-0010-0000-3500-000002000000}" name="Ma" dataDxfId="1179"/>
    <tableColumn id="3" xr3:uid="{00000000-0010-0000-3500-000003000000}" name="Me" dataDxfId="1178"/>
    <tableColumn id="4" xr3:uid="{00000000-0010-0000-3500-000004000000}" name="Je" dataDxfId="1177"/>
    <tableColumn id="5" xr3:uid="{00000000-0010-0000-3500-000005000000}" name="Ve" dataDxfId="1176"/>
    <tableColumn id="6" xr3:uid="{00000000-0010-0000-3500-000006000000}" name="Sa" dataDxfId="1175"/>
    <tableColumn id="7" xr3:uid="{00000000-0010-0000-3500-000007000000}" name="Di" dataDxfId="117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04000000}" name="Août81" displayName="Août81" ref="J25:P31" totalsRowShown="0" headerRowDxfId="1683" dataDxfId="1682">
  <autoFilter ref="J25:P31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400-000001000000}" name="Lu" dataDxfId="1681"/>
    <tableColumn id="2" xr3:uid="{00000000-0010-0000-0400-000002000000}" name="Ma" dataDxfId="1680"/>
    <tableColumn id="3" xr3:uid="{00000000-0010-0000-0400-000003000000}" name="Me" dataDxfId="1679"/>
    <tableColumn id="4" xr3:uid="{00000000-0010-0000-0400-000004000000}" name="Je" dataDxfId="1678"/>
    <tableColumn id="5" xr3:uid="{00000000-0010-0000-0400-000005000000}" name="Ve" dataDxfId="1677"/>
    <tableColumn id="6" xr3:uid="{00000000-0010-0000-0400-000006000000}" name="Sa" dataDxfId="1676"/>
    <tableColumn id="7" xr3:uid="{00000000-0010-0000-0400-000007000000}" name="Di" dataDxfId="167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55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6000000}" name="Novembre131" displayName="Novembre131" ref="J34:P40" totalsRowShown="0" headerRowDxfId="1173" dataDxfId="1172">
  <autoFilter ref="J34:P40" xr:uid="{00000000-0009-0000-0100-00008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600-000001000000}" name="Lu" dataDxfId="1171"/>
    <tableColumn id="2" xr3:uid="{00000000-0010-0000-3600-000002000000}" name="Ma" dataDxfId="1170"/>
    <tableColumn id="3" xr3:uid="{00000000-0010-0000-3600-000003000000}" name="Me" dataDxfId="1169"/>
    <tableColumn id="4" xr3:uid="{00000000-0010-0000-3600-000004000000}" name="Je" dataDxfId="1168"/>
    <tableColumn id="5" xr3:uid="{00000000-0010-0000-3600-000005000000}" name="Ve" dataDxfId="1167"/>
    <tableColumn id="6" xr3:uid="{00000000-0010-0000-3600-000006000000}" name="Sa" dataDxfId="1166"/>
    <tableColumn id="7" xr3:uid="{00000000-0010-0000-3600-000007000000}" name="Di" dataDxfId="116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56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7000000}" name="Octobre132" displayName="Octobre132" ref="B34:H40" totalsRowShown="0" headerRowDxfId="1164" dataDxfId="1163">
  <autoFilter ref="B34:H40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700-000001000000}" name="Lu" dataDxfId="1162"/>
    <tableColumn id="2" xr3:uid="{00000000-0010-0000-3700-000002000000}" name="Ma" dataDxfId="1161"/>
    <tableColumn id="3" xr3:uid="{00000000-0010-0000-3700-000003000000}" name="Me" dataDxfId="1160"/>
    <tableColumn id="4" xr3:uid="{00000000-0010-0000-3700-000004000000}" name="Je" dataDxfId="1159"/>
    <tableColumn id="5" xr3:uid="{00000000-0010-0000-3700-000005000000}" name="Ve" dataDxfId="1158"/>
    <tableColumn id="6" xr3:uid="{00000000-0010-0000-3700-000006000000}" name="Sa" dataDxfId="1157"/>
    <tableColumn id="7" xr3:uid="{00000000-0010-0000-3700-000007000000}" name="Di" dataDxfId="115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57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38000000}" name="Septembre133" displayName="Septembre133" ref="R25:X31" totalsRowShown="0" headerRowDxfId="1155" dataDxfId="1154">
  <autoFilter ref="R25:X31" xr:uid="{00000000-0009-0000-0100-00008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800-000001000000}" name="Lu" dataDxfId="1153"/>
    <tableColumn id="2" xr3:uid="{00000000-0010-0000-3800-000002000000}" name="Ma" dataDxfId="1152"/>
    <tableColumn id="3" xr3:uid="{00000000-0010-0000-3800-000003000000}" name="Me" dataDxfId="1151"/>
    <tableColumn id="4" xr3:uid="{00000000-0010-0000-3800-000004000000}" name="Je" dataDxfId="1150"/>
    <tableColumn id="5" xr3:uid="{00000000-0010-0000-3800-000005000000}" name="Ve" dataDxfId="1149"/>
    <tableColumn id="6" xr3:uid="{00000000-0010-0000-3800-000006000000}" name="Sa" dataDxfId="1148"/>
    <tableColumn id="7" xr3:uid="{00000000-0010-0000-3800-000007000000}" name="Di" dataDxfId="114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58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39000000}" name="Mai_134" displayName="Mai_134" ref="J16:P22" totalsRowShown="0" headerRowDxfId="1146" dataDxfId="1145" tableBorderDxfId="1144">
  <autoFilter ref="J16:P22" xr:uid="{00000000-0009-0000-0100-00008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900-000001000000}" name="Lu" dataDxfId="1143"/>
    <tableColumn id="2" xr3:uid="{00000000-0010-0000-3900-000002000000}" name="Ma" dataDxfId="1142"/>
    <tableColumn id="3" xr3:uid="{00000000-0010-0000-3900-000003000000}" name="Me" dataDxfId="1141"/>
    <tableColumn id="4" xr3:uid="{00000000-0010-0000-3900-000004000000}" name="Je" dataDxfId="1140"/>
    <tableColumn id="5" xr3:uid="{00000000-0010-0000-3900-000005000000}" name="Ve" dataDxfId="1139"/>
    <tableColumn id="6" xr3:uid="{00000000-0010-0000-3900-000006000000}" name="Sa" dataDxfId="1138"/>
    <tableColumn id="7" xr3:uid="{00000000-0010-0000-3900-000007000000}" name="Di" dataDxfId="113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59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3A000000}" name="Juin135" displayName="Juin135" ref="R16:X22" totalsRowShown="0" headerRowDxfId="1136" dataDxfId="1135" tableBorderDxfId="1134">
  <autoFilter ref="R16:X22" xr:uid="{00000000-0009-0000-0100-00008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A00-000001000000}" name="Lu" dataDxfId="1133"/>
    <tableColumn id="2" xr3:uid="{00000000-0010-0000-3A00-000002000000}" name="Ma" dataDxfId="1132"/>
    <tableColumn id="3" xr3:uid="{00000000-0010-0000-3A00-000003000000}" name="Me" dataDxfId="1131"/>
    <tableColumn id="4" xr3:uid="{00000000-0010-0000-3A00-000004000000}" name="Je" dataDxfId="1130"/>
    <tableColumn id="5" xr3:uid="{00000000-0010-0000-3A00-000005000000}" name="Ve" dataDxfId="1129"/>
    <tableColumn id="6" xr3:uid="{00000000-0010-0000-3A00-000006000000}" name="Sa" dataDxfId="1128"/>
    <tableColumn id="7" xr3:uid="{00000000-0010-0000-3A00-000007000000}" name="Di" dataDxfId="112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60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3B000000}" name="Juillet136" displayName="Juillet136" ref="B25:H31" totalsRowShown="0" headerRowDxfId="1126" dataDxfId="1125">
  <autoFilter ref="B25:H31" xr:uid="{00000000-0009-0000-0100-00008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B00-000001000000}" name="Lu" dataDxfId="1124"/>
    <tableColumn id="2" xr3:uid="{00000000-0010-0000-3B00-000002000000}" name="Ma" dataDxfId="1123"/>
    <tableColumn id="3" xr3:uid="{00000000-0010-0000-3B00-000003000000}" name="Me" dataDxfId="1122"/>
    <tableColumn id="4" xr3:uid="{00000000-0010-0000-3B00-000004000000}" name="Je" dataDxfId="1121"/>
    <tableColumn id="5" xr3:uid="{00000000-0010-0000-3B00-000005000000}" name="Ve" dataDxfId="1120"/>
    <tableColumn id="6" xr3:uid="{00000000-0010-0000-3B00-000006000000}" name="Sa" dataDxfId="1119"/>
    <tableColumn id="7" xr3:uid="{00000000-0010-0000-3B00-000007000000}" name="Di" dataDxfId="11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6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3C000000}" name="Janvier137" displayName="Janvier137" ref="B7:H13" totalsRowShown="0" headerRowDxfId="1105" dataDxfId="1104" tableBorderDxfId="1103">
  <autoFilter ref="B7:H13" xr:uid="{00000000-0009-0000-0100-00008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C00-000001000000}" name="Lu" dataDxfId="1102"/>
    <tableColumn id="2" xr3:uid="{00000000-0010-0000-3C00-000002000000}" name="Ma" dataDxfId="1101"/>
    <tableColumn id="3" xr3:uid="{00000000-0010-0000-3C00-000003000000}" name="Me" dataDxfId="1100"/>
    <tableColumn id="4" xr3:uid="{00000000-0010-0000-3C00-000004000000}" name="Je" dataDxfId="1099"/>
    <tableColumn id="5" xr3:uid="{00000000-0010-0000-3C00-000005000000}" name="Ve" dataDxfId="1098"/>
    <tableColumn id="6" xr3:uid="{00000000-0010-0000-3C00-000006000000}" name="Sa" dataDxfId="1097"/>
    <tableColumn id="7" xr3:uid="{00000000-0010-0000-3C00-000007000000}" name="Di" dataDxfId="109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6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3D000000}" name="Février138" displayName="Février138" ref="J7:P13" totalsRowShown="0" headerRowDxfId="1095" dataDxfId="1094">
  <autoFilter ref="J7:P13" xr:uid="{00000000-0009-0000-0100-00008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D00-000001000000}" name="Lu" dataDxfId="1093"/>
    <tableColumn id="2" xr3:uid="{00000000-0010-0000-3D00-000002000000}" name="Ma" dataDxfId="1092"/>
    <tableColumn id="3" xr3:uid="{00000000-0010-0000-3D00-000003000000}" name="Me" dataDxfId="1091"/>
    <tableColumn id="4" xr3:uid="{00000000-0010-0000-3D00-000004000000}" name="Je" dataDxfId="1090"/>
    <tableColumn id="5" xr3:uid="{00000000-0010-0000-3D00-000005000000}" name="Ve" dataDxfId="1089"/>
    <tableColumn id="6" xr3:uid="{00000000-0010-0000-3D00-000006000000}" name="Sa" dataDxfId="1088"/>
    <tableColumn id="7" xr3:uid="{00000000-0010-0000-3D00-000007000000}" name="Di" dataDxfId="108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6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3E000000}" name="Mars139" displayName="Mars139" ref="R7:X13" totalsRowShown="0" headerRowDxfId="1086" dataDxfId="1085">
  <autoFilter ref="R7:X13" xr:uid="{00000000-0009-0000-0100-00008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E00-000001000000}" name="Lu" dataDxfId="1084"/>
    <tableColumn id="2" xr3:uid="{00000000-0010-0000-3E00-000002000000}" name="Ma" dataDxfId="1083"/>
    <tableColumn id="3" xr3:uid="{00000000-0010-0000-3E00-000003000000}" name="Me" dataDxfId="1082"/>
    <tableColumn id="4" xr3:uid="{00000000-0010-0000-3E00-000004000000}" name="Je" dataDxfId="1081"/>
    <tableColumn id="5" xr3:uid="{00000000-0010-0000-3E00-000005000000}" name="Ve" dataDxfId="1080"/>
    <tableColumn id="6" xr3:uid="{00000000-0010-0000-3E00-000006000000}" name="Sa" dataDxfId="1079"/>
    <tableColumn id="7" xr3:uid="{00000000-0010-0000-3E00-000007000000}" name="Di" dataDxfId="107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6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3F000000}" name="Avril140" displayName="Avril140" ref="B16:H22" totalsRowShown="0" headerRowDxfId="1077" dataDxfId="1076">
  <autoFilter ref="B16:H22" xr:uid="{00000000-0009-0000-0100-00008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F00-000001000000}" name="Lu" dataDxfId="1075"/>
    <tableColumn id="2" xr3:uid="{00000000-0010-0000-3F00-000002000000}" name="Ma" dataDxfId="1074"/>
    <tableColumn id="3" xr3:uid="{00000000-0010-0000-3F00-000003000000}" name="Me" dataDxfId="1073"/>
    <tableColumn id="4" xr3:uid="{00000000-0010-0000-3F00-000004000000}" name="Je" dataDxfId="1072"/>
    <tableColumn id="5" xr3:uid="{00000000-0010-0000-3F00-000005000000}" name="Ve" dataDxfId="1071"/>
    <tableColumn id="6" xr3:uid="{00000000-0010-0000-3F00-000006000000}" name="Sa" dataDxfId="1070"/>
    <tableColumn id="7" xr3:uid="{00000000-0010-0000-3F00-000007000000}" name="Di" dataDxfId="106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6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05000000}" name="Décembre82" displayName="Décembre82" ref="R34:X40" totalsRowShown="0" headerRowDxfId="1674" dataDxfId="1673">
  <autoFilter ref="R34:X40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500-000001000000}" name="Lu" dataDxfId="1672"/>
    <tableColumn id="2" xr3:uid="{00000000-0010-0000-0500-000002000000}" name="Ma" dataDxfId="1671"/>
    <tableColumn id="3" xr3:uid="{00000000-0010-0000-0500-000003000000}" name="Me" dataDxfId="1670"/>
    <tableColumn id="4" xr3:uid="{00000000-0010-0000-0500-000004000000}" name="Je" dataDxfId="1669"/>
    <tableColumn id="5" xr3:uid="{00000000-0010-0000-0500-000005000000}" name="Ve" dataDxfId="1668"/>
    <tableColumn id="6" xr3:uid="{00000000-0010-0000-0500-000006000000}" name="Sa" dataDxfId="1667"/>
    <tableColumn id="7" xr3:uid="{00000000-0010-0000-0500-000007000000}" name="Di" dataDxfId="166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6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40000000}" name="Août141" displayName="Août141" ref="J25:P31" totalsRowShown="0" headerRowDxfId="1068" dataDxfId="1067">
  <autoFilter ref="J25:P31" xr:uid="{00000000-0009-0000-0100-00008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000-000001000000}" name="Lu" dataDxfId="1066"/>
    <tableColumn id="2" xr3:uid="{00000000-0010-0000-4000-000002000000}" name="Ma" dataDxfId="1065"/>
    <tableColumn id="3" xr3:uid="{00000000-0010-0000-4000-000003000000}" name="Me" dataDxfId="1064"/>
    <tableColumn id="4" xr3:uid="{00000000-0010-0000-4000-000004000000}" name="Je" dataDxfId="1063"/>
    <tableColumn id="5" xr3:uid="{00000000-0010-0000-4000-000005000000}" name="Ve" dataDxfId="1062"/>
    <tableColumn id="6" xr3:uid="{00000000-0010-0000-4000-000006000000}" name="Sa" dataDxfId="1061"/>
    <tableColumn id="7" xr3:uid="{00000000-0010-0000-4000-000007000000}" name="Di" dataDxfId="106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66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41000000}" name="Décembre142" displayName="Décembre142" ref="R34:X40" totalsRowShown="0" headerRowDxfId="1059" dataDxfId="1058">
  <autoFilter ref="R34:X40" xr:uid="{00000000-0009-0000-0100-00008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100-000001000000}" name="Lu" dataDxfId="1057"/>
    <tableColumn id="2" xr3:uid="{00000000-0010-0000-4100-000002000000}" name="Ma" dataDxfId="1056"/>
    <tableColumn id="3" xr3:uid="{00000000-0010-0000-4100-000003000000}" name="Me" dataDxfId="1055"/>
    <tableColumn id="4" xr3:uid="{00000000-0010-0000-4100-000004000000}" name="Je" dataDxfId="1054"/>
    <tableColumn id="5" xr3:uid="{00000000-0010-0000-4100-000005000000}" name="Ve" dataDxfId="1053"/>
    <tableColumn id="6" xr3:uid="{00000000-0010-0000-4100-000006000000}" name="Sa" dataDxfId="1052"/>
    <tableColumn id="7" xr3:uid="{00000000-0010-0000-4100-000007000000}" name="Di" dataDxfId="105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67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42000000}" name="Novembre143" displayName="Novembre143" ref="J34:P40" totalsRowShown="0" headerRowDxfId="1050" dataDxfId="1049">
  <autoFilter ref="J34:P40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200-000001000000}" name="Lu" dataDxfId="1048"/>
    <tableColumn id="2" xr3:uid="{00000000-0010-0000-4200-000002000000}" name="Ma" dataDxfId="1047"/>
    <tableColumn id="3" xr3:uid="{00000000-0010-0000-4200-000003000000}" name="Me" dataDxfId="1046"/>
    <tableColumn id="4" xr3:uid="{00000000-0010-0000-4200-000004000000}" name="Je" dataDxfId="1045"/>
    <tableColumn id="5" xr3:uid="{00000000-0010-0000-4200-000005000000}" name="Ve" dataDxfId="1044"/>
    <tableColumn id="6" xr3:uid="{00000000-0010-0000-4200-000006000000}" name="Sa" dataDxfId="1043"/>
    <tableColumn id="7" xr3:uid="{00000000-0010-0000-4200-000007000000}" name="Di" dataDxfId="104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68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43000000}" name="Octobre144" displayName="Octobre144" ref="B34:H40" totalsRowShown="0" headerRowDxfId="1041" dataDxfId="1040">
  <autoFilter ref="B34:H40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300-000001000000}" name="Lu" dataDxfId="1039"/>
    <tableColumn id="2" xr3:uid="{00000000-0010-0000-4300-000002000000}" name="Ma" dataDxfId="1038"/>
    <tableColumn id="3" xr3:uid="{00000000-0010-0000-4300-000003000000}" name="Me" dataDxfId="1037"/>
    <tableColumn id="4" xr3:uid="{00000000-0010-0000-4300-000004000000}" name="Je" dataDxfId="1036"/>
    <tableColumn id="5" xr3:uid="{00000000-0010-0000-4300-000005000000}" name="Ve" dataDxfId="1035"/>
    <tableColumn id="6" xr3:uid="{00000000-0010-0000-4300-000006000000}" name="Sa" dataDxfId="1034"/>
    <tableColumn id="7" xr3:uid="{00000000-0010-0000-4300-000007000000}" name="Di" dataDxfId="103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69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44000000}" name="Septembre145" displayName="Septembre145" ref="R25:X31" totalsRowShown="0" headerRowDxfId="1032" dataDxfId="1031">
  <autoFilter ref="R25:X31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400-000001000000}" name="Lu" dataDxfId="1030"/>
    <tableColumn id="2" xr3:uid="{00000000-0010-0000-4400-000002000000}" name="Ma" dataDxfId="1029"/>
    <tableColumn id="3" xr3:uid="{00000000-0010-0000-4400-000003000000}" name="Me" dataDxfId="1028"/>
    <tableColumn id="4" xr3:uid="{00000000-0010-0000-4400-000004000000}" name="Je" dataDxfId="1027"/>
    <tableColumn id="5" xr3:uid="{00000000-0010-0000-4400-000005000000}" name="Ve" dataDxfId="1026"/>
    <tableColumn id="6" xr3:uid="{00000000-0010-0000-4400-000006000000}" name="Sa" dataDxfId="1025"/>
    <tableColumn id="7" xr3:uid="{00000000-0010-0000-4400-000007000000}" name="Di" dataDxfId="102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70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45000000}" name="Mai_146" displayName="Mai_146" ref="J16:P22" totalsRowShown="0" headerRowDxfId="1023" dataDxfId="1022" tableBorderDxfId="1021">
  <autoFilter ref="J16:P22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500-000001000000}" name="Lu" dataDxfId="1020"/>
    <tableColumn id="2" xr3:uid="{00000000-0010-0000-4500-000002000000}" name="Ma" dataDxfId="1019"/>
    <tableColumn id="3" xr3:uid="{00000000-0010-0000-4500-000003000000}" name="Me" dataDxfId="1018"/>
    <tableColumn id="4" xr3:uid="{00000000-0010-0000-4500-000004000000}" name="Je" dataDxfId="1017"/>
    <tableColumn id="5" xr3:uid="{00000000-0010-0000-4500-000005000000}" name="Ve" dataDxfId="1016"/>
    <tableColumn id="6" xr3:uid="{00000000-0010-0000-4500-000006000000}" name="Sa" dataDxfId="1015"/>
    <tableColumn id="7" xr3:uid="{00000000-0010-0000-4500-000007000000}" name="Di" dataDxfId="10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7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46000000}" name="Juin147" displayName="Juin147" ref="R16:X22" totalsRowShown="0" headerRowDxfId="1013" dataDxfId="1012" tableBorderDxfId="1011">
  <autoFilter ref="R16:X22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600-000001000000}" name="Lu" dataDxfId="1010"/>
    <tableColumn id="2" xr3:uid="{00000000-0010-0000-4600-000002000000}" name="Ma" dataDxfId="1009"/>
    <tableColumn id="3" xr3:uid="{00000000-0010-0000-4600-000003000000}" name="Me" dataDxfId="1008"/>
    <tableColumn id="4" xr3:uid="{00000000-0010-0000-4600-000004000000}" name="Je" dataDxfId="1007"/>
    <tableColumn id="5" xr3:uid="{00000000-0010-0000-4600-000005000000}" name="Ve" dataDxfId="1006"/>
    <tableColumn id="6" xr3:uid="{00000000-0010-0000-4600-000006000000}" name="Sa" dataDxfId="1005"/>
    <tableColumn id="7" xr3:uid="{00000000-0010-0000-4600-000007000000}" name="Di" dataDxfId="100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7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47000000}" name="Juillet148" displayName="Juillet148" ref="B25:H31" totalsRowShown="0" headerRowDxfId="1003" dataDxfId="1002">
  <autoFilter ref="B25:H31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700-000001000000}" name="Lu" dataDxfId="1001"/>
    <tableColumn id="2" xr3:uid="{00000000-0010-0000-4700-000002000000}" name="Ma" dataDxfId="1000"/>
    <tableColumn id="3" xr3:uid="{00000000-0010-0000-4700-000003000000}" name="Me" dataDxfId="999"/>
    <tableColumn id="4" xr3:uid="{00000000-0010-0000-4700-000004000000}" name="Je" dataDxfId="998"/>
    <tableColumn id="5" xr3:uid="{00000000-0010-0000-4700-000005000000}" name="Ve" dataDxfId="997"/>
    <tableColumn id="6" xr3:uid="{00000000-0010-0000-4700-000006000000}" name="Sa" dataDxfId="996"/>
    <tableColumn id="7" xr3:uid="{00000000-0010-0000-4700-000007000000}" name="Di" dataDxfId="9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7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48000000}" name="Janvier149" displayName="Janvier149" ref="B7:H13" totalsRowShown="0" headerRowDxfId="982" dataDxfId="981" tableBorderDxfId="980">
  <autoFilter ref="B7:H13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800-000001000000}" name="Lu" dataDxfId="979"/>
    <tableColumn id="2" xr3:uid="{00000000-0010-0000-4800-000002000000}" name="Ma" dataDxfId="978"/>
    <tableColumn id="3" xr3:uid="{00000000-0010-0000-4800-000003000000}" name="Me" dataDxfId="977"/>
    <tableColumn id="4" xr3:uid="{00000000-0010-0000-4800-000004000000}" name="Je" dataDxfId="976"/>
    <tableColumn id="5" xr3:uid="{00000000-0010-0000-4800-000005000000}" name="Ve" dataDxfId="975"/>
    <tableColumn id="6" xr3:uid="{00000000-0010-0000-4800-000006000000}" name="Sa" dataDxfId="974"/>
    <tableColumn id="7" xr3:uid="{00000000-0010-0000-4800-000007000000}" name="Di" dataDxfId="9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7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49000000}" name="Février150" displayName="Février150" ref="J7:P13" totalsRowShown="0" headerRowDxfId="972" dataDxfId="971">
  <autoFilter ref="J7:P1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900-000001000000}" name="Lu" dataDxfId="970"/>
    <tableColumn id="2" xr3:uid="{00000000-0010-0000-4900-000002000000}" name="Ma" dataDxfId="969"/>
    <tableColumn id="3" xr3:uid="{00000000-0010-0000-4900-000003000000}" name="Me" dataDxfId="968"/>
    <tableColumn id="4" xr3:uid="{00000000-0010-0000-4900-000004000000}" name="Je" dataDxfId="967"/>
    <tableColumn id="5" xr3:uid="{00000000-0010-0000-4900-000005000000}" name="Ve" dataDxfId="966"/>
    <tableColumn id="6" xr3:uid="{00000000-0010-0000-4900-000006000000}" name="Sa" dataDxfId="965"/>
    <tableColumn id="7" xr3:uid="{00000000-0010-0000-4900-000007000000}" name="Di" dataDxfId="9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7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4A000000}" name="Mars151" displayName="Mars151" ref="R7:X13" totalsRowShown="0" headerRowDxfId="963" dataDxfId="962">
  <autoFilter ref="R7:X13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A00-000001000000}" name="Lu" dataDxfId="961"/>
    <tableColumn id="2" xr3:uid="{00000000-0010-0000-4A00-000002000000}" name="Ma" dataDxfId="960"/>
    <tableColumn id="3" xr3:uid="{00000000-0010-0000-4A00-000003000000}" name="Me" dataDxfId="959"/>
    <tableColumn id="4" xr3:uid="{00000000-0010-0000-4A00-000004000000}" name="Je" dataDxfId="958"/>
    <tableColumn id="5" xr3:uid="{00000000-0010-0000-4A00-000005000000}" name="Ve" dataDxfId="957"/>
    <tableColumn id="6" xr3:uid="{00000000-0010-0000-4A00-000006000000}" name="Sa" dataDxfId="956"/>
    <tableColumn id="7" xr3:uid="{00000000-0010-0000-4A00-000007000000}" name="Di" dataDxfId="95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7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06000000}" name="Novembre83" displayName="Novembre83" ref="J34:P40" totalsRowShown="0" headerRowDxfId="1665" dataDxfId="1664">
  <autoFilter ref="J34:P40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600-000001000000}" name="Lu" dataDxfId="1663"/>
    <tableColumn id="2" xr3:uid="{00000000-0010-0000-0600-000002000000}" name="Ma" dataDxfId="1662"/>
    <tableColumn id="3" xr3:uid="{00000000-0010-0000-0600-000003000000}" name="Me" dataDxfId="1661"/>
    <tableColumn id="4" xr3:uid="{00000000-0010-0000-0600-000004000000}" name="Je" dataDxfId="1660"/>
    <tableColumn id="5" xr3:uid="{00000000-0010-0000-0600-000005000000}" name="Ve" dataDxfId="1659"/>
    <tableColumn id="6" xr3:uid="{00000000-0010-0000-0600-000006000000}" name="Sa" dataDxfId="1658"/>
    <tableColumn id="7" xr3:uid="{00000000-0010-0000-0600-000007000000}" name="Di" dataDxfId="165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76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4B000000}" name="Avril152" displayName="Avril152" ref="B16:H22" totalsRowShown="0" headerRowDxfId="954" dataDxfId="953">
  <autoFilter ref="B16:H22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B00-000001000000}" name="Lu" dataDxfId="952"/>
    <tableColumn id="2" xr3:uid="{00000000-0010-0000-4B00-000002000000}" name="Ma" dataDxfId="951"/>
    <tableColumn id="3" xr3:uid="{00000000-0010-0000-4B00-000003000000}" name="Me" dataDxfId="950"/>
    <tableColumn id="4" xr3:uid="{00000000-0010-0000-4B00-000004000000}" name="Je" dataDxfId="949"/>
    <tableColumn id="5" xr3:uid="{00000000-0010-0000-4B00-000005000000}" name="Ve" dataDxfId="948"/>
    <tableColumn id="6" xr3:uid="{00000000-0010-0000-4B00-000006000000}" name="Sa" dataDxfId="947"/>
    <tableColumn id="7" xr3:uid="{00000000-0010-0000-4B00-000007000000}" name="Di" dataDxfId="94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77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4C000000}" name="Août153" displayName="Août153" ref="J25:P31" totalsRowShown="0" headerRowDxfId="945" dataDxfId="944">
  <autoFilter ref="J25:P31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C00-000001000000}" name="Lu" dataDxfId="943"/>
    <tableColumn id="2" xr3:uid="{00000000-0010-0000-4C00-000002000000}" name="Ma" dataDxfId="942"/>
    <tableColumn id="3" xr3:uid="{00000000-0010-0000-4C00-000003000000}" name="Me" dataDxfId="941"/>
    <tableColumn id="4" xr3:uid="{00000000-0010-0000-4C00-000004000000}" name="Je" dataDxfId="940"/>
    <tableColumn id="5" xr3:uid="{00000000-0010-0000-4C00-000005000000}" name="Ve" dataDxfId="939"/>
    <tableColumn id="6" xr3:uid="{00000000-0010-0000-4C00-000006000000}" name="Sa" dataDxfId="938"/>
    <tableColumn id="7" xr3:uid="{00000000-0010-0000-4C00-000007000000}" name="Di" dataDxfId="93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78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4D000000}" name="Décembre154" displayName="Décembre154" ref="R34:X40" totalsRowShown="0" headerRowDxfId="936" dataDxfId="935">
  <autoFilter ref="R34:X40" xr:uid="{00000000-0009-0000-0100-00009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D00-000001000000}" name="Lu" dataDxfId="934"/>
    <tableColumn id="2" xr3:uid="{00000000-0010-0000-4D00-000002000000}" name="Ma" dataDxfId="933"/>
    <tableColumn id="3" xr3:uid="{00000000-0010-0000-4D00-000003000000}" name="Me" dataDxfId="932"/>
    <tableColumn id="4" xr3:uid="{00000000-0010-0000-4D00-000004000000}" name="Je" dataDxfId="931"/>
    <tableColumn id="5" xr3:uid="{00000000-0010-0000-4D00-000005000000}" name="Ve" dataDxfId="930"/>
    <tableColumn id="6" xr3:uid="{00000000-0010-0000-4D00-000006000000}" name="Sa" dataDxfId="929"/>
    <tableColumn id="7" xr3:uid="{00000000-0010-0000-4D00-000007000000}" name="Di" dataDxfId="92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79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4E000000}" name="Novembre155" displayName="Novembre155" ref="J34:P40" totalsRowShown="0" headerRowDxfId="927" dataDxfId="926">
  <autoFilter ref="J34:P40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E00-000001000000}" name="Lu" dataDxfId="925"/>
    <tableColumn id="2" xr3:uid="{00000000-0010-0000-4E00-000002000000}" name="Ma" dataDxfId="924"/>
    <tableColumn id="3" xr3:uid="{00000000-0010-0000-4E00-000003000000}" name="Me" dataDxfId="923"/>
    <tableColumn id="4" xr3:uid="{00000000-0010-0000-4E00-000004000000}" name="Je" dataDxfId="922"/>
    <tableColumn id="5" xr3:uid="{00000000-0010-0000-4E00-000005000000}" name="Ve" dataDxfId="921"/>
    <tableColumn id="6" xr3:uid="{00000000-0010-0000-4E00-000006000000}" name="Sa" dataDxfId="920"/>
    <tableColumn id="7" xr3:uid="{00000000-0010-0000-4E00-000007000000}" name="Di" dataDxfId="91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80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4F000000}" name="Octobre156" displayName="Octobre156" ref="B34:H40" totalsRowShown="0" headerRowDxfId="918" dataDxfId="917">
  <autoFilter ref="B34:H40" xr:uid="{00000000-0009-0000-0100-00009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F00-000001000000}" name="Lu" dataDxfId="916"/>
    <tableColumn id="2" xr3:uid="{00000000-0010-0000-4F00-000002000000}" name="Ma" dataDxfId="915"/>
    <tableColumn id="3" xr3:uid="{00000000-0010-0000-4F00-000003000000}" name="Me" dataDxfId="914"/>
    <tableColumn id="4" xr3:uid="{00000000-0010-0000-4F00-000004000000}" name="Je" dataDxfId="913"/>
    <tableColumn id="5" xr3:uid="{00000000-0010-0000-4F00-000005000000}" name="Ve" dataDxfId="912"/>
    <tableColumn id="6" xr3:uid="{00000000-0010-0000-4F00-000006000000}" name="Sa" dataDxfId="911"/>
    <tableColumn id="7" xr3:uid="{00000000-0010-0000-4F00-000007000000}" name="Di" dataDxfId="91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8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50000000}" name="Septembre157" displayName="Septembre157" ref="R25:X31" totalsRowShown="0" headerRowDxfId="909" dataDxfId="908">
  <autoFilter ref="R25:X31" xr:uid="{00000000-0009-0000-0100-00009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000-000001000000}" name="Lu" dataDxfId="907"/>
    <tableColumn id="2" xr3:uid="{00000000-0010-0000-5000-000002000000}" name="Ma" dataDxfId="906"/>
    <tableColumn id="3" xr3:uid="{00000000-0010-0000-5000-000003000000}" name="Me" dataDxfId="905"/>
    <tableColumn id="4" xr3:uid="{00000000-0010-0000-5000-000004000000}" name="Je" dataDxfId="904"/>
    <tableColumn id="5" xr3:uid="{00000000-0010-0000-5000-000005000000}" name="Ve" dataDxfId="903"/>
    <tableColumn id="6" xr3:uid="{00000000-0010-0000-5000-000006000000}" name="Sa" dataDxfId="902"/>
    <tableColumn id="7" xr3:uid="{00000000-0010-0000-5000-000007000000}" name="Di" dataDxfId="90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8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51000000}" name="Mai_158" displayName="Mai_158" ref="J16:P22" totalsRowShown="0" headerRowDxfId="900" dataDxfId="899" tableBorderDxfId="898">
  <autoFilter ref="J16:P22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100-000001000000}" name="Lu" dataDxfId="897"/>
    <tableColumn id="2" xr3:uid="{00000000-0010-0000-5100-000002000000}" name="Ma" dataDxfId="896"/>
    <tableColumn id="3" xr3:uid="{00000000-0010-0000-5100-000003000000}" name="Me" dataDxfId="895"/>
    <tableColumn id="4" xr3:uid="{00000000-0010-0000-5100-000004000000}" name="Je" dataDxfId="894"/>
    <tableColumn id="5" xr3:uid="{00000000-0010-0000-5100-000005000000}" name="Ve" dataDxfId="893"/>
    <tableColumn id="6" xr3:uid="{00000000-0010-0000-5100-000006000000}" name="Sa" dataDxfId="892"/>
    <tableColumn id="7" xr3:uid="{00000000-0010-0000-5100-000007000000}" name="Di" dataDxfId="8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8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52000000}" name="Juin159" displayName="Juin159" ref="R16:X22" totalsRowShown="0" headerRowDxfId="890" dataDxfId="889" tableBorderDxfId="888">
  <autoFilter ref="R16:X22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200-000001000000}" name="Lu" dataDxfId="887"/>
    <tableColumn id="2" xr3:uid="{00000000-0010-0000-5200-000002000000}" name="Ma" dataDxfId="886"/>
    <tableColumn id="3" xr3:uid="{00000000-0010-0000-5200-000003000000}" name="Me" dataDxfId="885"/>
    <tableColumn id="4" xr3:uid="{00000000-0010-0000-5200-000004000000}" name="Je" dataDxfId="884"/>
    <tableColumn id="5" xr3:uid="{00000000-0010-0000-5200-000005000000}" name="Ve" dataDxfId="883"/>
    <tableColumn id="6" xr3:uid="{00000000-0010-0000-5200-000006000000}" name="Sa" dataDxfId="882"/>
    <tableColumn id="7" xr3:uid="{00000000-0010-0000-5200-000007000000}" name="Di" dataDxfId="88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8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53000000}" name="Juillet160" displayName="Juillet160" ref="B25:H31" totalsRowShown="0" headerRowDxfId="880" dataDxfId="879">
  <autoFilter ref="B25:H31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300-000001000000}" name="Lu" dataDxfId="878"/>
    <tableColumn id="2" xr3:uid="{00000000-0010-0000-5300-000002000000}" name="Ma" dataDxfId="877"/>
    <tableColumn id="3" xr3:uid="{00000000-0010-0000-5300-000003000000}" name="Me" dataDxfId="876"/>
    <tableColumn id="4" xr3:uid="{00000000-0010-0000-5300-000004000000}" name="Je" dataDxfId="875"/>
    <tableColumn id="5" xr3:uid="{00000000-0010-0000-5300-000005000000}" name="Ve" dataDxfId="874"/>
    <tableColumn id="6" xr3:uid="{00000000-0010-0000-5300-000006000000}" name="Sa" dataDxfId="873"/>
    <tableColumn id="7" xr3:uid="{00000000-0010-0000-5300-000007000000}" name="Di" dataDxfId="8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85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54000000}" name="Janvier161" displayName="Janvier161" ref="B7:H13" totalsRowShown="0" headerRowDxfId="859" dataDxfId="858" tableBorderDxfId="857">
  <autoFilter ref="B7:H13" xr:uid="{00000000-0009-0000-0100-0000A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400-000001000000}" name="Lu" dataDxfId="856"/>
    <tableColumn id="2" xr3:uid="{00000000-0010-0000-5400-000002000000}" name="Ma" dataDxfId="855"/>
    <tableColumn id="3" xr3:uid="{00000000-0010-0000-5400-000003000000}" name="Me" dataDxfId="854"/>
    <tableColumn id="4" xr3:uid="{00000000-0010-0000-5400-000004000000}" name="Je" dataDxfId="853"/>
    <tableColumn id="5" xr3:uid="{00000000-0010-0000-5400-000005000000}" name="Ve" dataDxfId="852"/>
    <tableColumn id="6" xr3:uid="{00000000-0010-0000-5400-000006000000}" name="Sa" dataDxfId="851"/>
    <tableColumn id="7" xr3:uid="{00000000-0010-0000-5400-000007000000}" name="Di" dataDxfId="85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8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07000000}" name="Octobre84" displayName="Octobre84" ref="B34:H40" totalsRowShown="0" headerRowDxfId="1656" dataDxfId="1655">
  <autoFilter ref="B34:H40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700-000001000000}" name="Lu" dataDxfId="1654"/>
    <tableColumn id="2" xr3:uid="{00000000-0010-0000-0700-000002000000}" name="Ma" dataDxfId="1653"/>
    <tableColumn id="3" xr3:uid="{00000000-0010-0000-0700-000003000000}" name="Me" dataDxfId="1652"/>
    <tableColumn id="4" xr3:uid="{00000000-0010-0000-0700-000004000000}" name="Je" dataDxfId="1651"/>
    <tableColumn id="5" xr3:uid="{00000000-0010-0000-0700-000005000000}" name="Ve" dataDxfId="1650"/>
    <tableColumn id="6" xr3:uid="{00000000-0010-0000-0700-000006000000}" name="Sa" dataDxfId="1649"/>
    <tableColumn id="7" xr3:uid="{00000000-0010-0000-0700-000007000000}" name="Di" dataDxfId="164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86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55000000}" name="Février162" displayName="Février162" ref="J7:P13" totalsRowShown="0" headerRowDxfId="849" dataDxfId="848">
  <autoFilter ref="J7:P13" xr:uid="{00000000-0009-0000-0100-0000A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500-000001000000}" name="Lu" dataDxfId="847"/>
    <tableColumn id="2" xr3:uid="{00000000-0010-0000-5500-000002000000}" name="Ma" dataDxfId="846"/>
    <tableColumn id="3" xr3:uid="{00000000-0010-0000-5500-000003000000}" name="Me" dataDxfId="845"/>
    <tableColumn id="4" xr3:uid="{00000000-0010-0000-5500-000004000000}" name="Je" dataDxfId="844"/>
    <tableColumn id="5" xr3:uid="{00000000-0010-0000-5500-000005000000}" name="Ve" dataDxfId="843"/>
    <tableColumn id="6" xr3:uid="{00000000-0010-0000-5500-000006000000}" name="Sa" dataDxfId="842"/>
    <tableColumn id="7" xr3:uid="{00000000-0010-0000-5500-000007000000}" name="Di" dataDxfId="8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87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56000000}" name="Mars163" displayName="Mars163" ref="R7:X13" totalsRowShown="0" headerRowDxfId="840" dataDxfId="839">
  <autoFilter ref="R7:X13" xr:uid="{00000000-0009-0000-0100-0000A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600-000001000000}" name="Lu" dataDxfId="838"/>
    <tableColumn id="2" xr3:uid="{00000000-0010-0000-5600-000002000000}" name="Ma" dataDxfId="837"/>
    <tableColumn id="3" xr3:uid="{00000000-0010-0000-5600-000003000000}" name="Me" dataDxfId="836"/>
    <tableColumn id="4" xr3:uid="{00000000-0010-0000-5600-000004000000}" name="Je" dataDxfId="835"/>
    <tableColumn id="5" xr3:uid="{00000000-0010-0000-5600-000005000000}" name="Ve" dataDxfId="834"/>
    <tableColumn id="6" xr3:uid="{00000000-0010-0000-5600-000006000000}" name="Sa" dataDxfId="833"/>
    <tableColumn id="7" xr3:uid="{00000000-0010-0000-5600-000007000000}" name="Di" dataDxfId="8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ables/table88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57000000}" name="Avril164" displayName="Avril164" ref="B16:H22" totalsRowShown="0" headerRowDxfId="831" dataDxfId="830">
  <autoFilter ref="B16:H22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700-000001000000}" name="Lu" dataDxfId="829"/>
    <tableColumn id="2" xr3:uid="{00000000-0010-0000-5700-000002000000}" name="Ma" dataDxfId="828"/>
    <tableColumn id="3" xr3:uid="{00000000-0010-0000-5700-000003000000}" name="Me" dataDxfId="827"/>
    <tableColumn id="4" xr3:uid="{00000000-0010-0000-5700-000004000000}" name="Je" dataDxfId="826"/>
    <tableColumn id="5" xr3:uid="{00000000-0010-0000-5700-000005000000}" name="Ve" dataDxfId="825"/>
    <tableColumn id="6" xr3:uid="{00000000-0010-0000-5700-000006000000}" name="Sa" dataDxfId="824"/>
    <tableColumn id="7" xr3:uid="{00000000-0010-0000-5700-000007000000}" name="Di" dataDxfId="8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vril sont calculés automatiquement pour l’année entrée dans la cellule AE3 de ce tableau"/>
    </ext>
  </extLst>
</table>
</file>

<file path=xl/tables/table89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58000000}" name="Août165" displayName="Août165" ref="J25:P31" totalsRowShown="0" headerRowDxfId="822" dataDxfId="821">
  <autoFilter ref="J25:P31" xr:uid="{00000000-0009-0000-0100-0000A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800-000001000000}" name="Lu" dataDxfId="820"/>
    <tableColumn id="2" xr3:uid="{00000000-0010-0000-5800-000002000000}" name="Ma" dataDxfId="819"/>
    <tableColumn id="3" xr3:uid="{00000000-0010-0000-5800-000003000000}" name="Me" dataDxfId="818"/>
    <tableColumn id="4" xr3:uid="{00000000-0010-0000-5800-000004000000}" name="Je" dataDxfId="817"/>
    <tableColumn id="5" xr3:uid="{00000000-0010-0000-5800-000005000000}" name="Ve" dataDxfId="816"/>
    <tableColumn id="6" xr3:uid="{00000000-0010-0000-5800-000006000000}" name="Sa" dataDxfId="815"/>
    <tableColumn id="7" xr3:uid="{00000000-0010-0000-5800-000007000000}" name="Di" dataDxfId="8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août sont calculés automatiquement pour l’année entrée dans la cellule AE3 de ce tableau"/>
    </ext>
  </extLst>
</table>
</file>

<file path=xl/tables/table90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59000000}" name="Décembre166" displayName="Décembre166" ref="R34:X40" totalsRowShown="0" headerRowDxfId="813" dataDxfId="812">
  <autoFilter ref="R34:X40" xr:uid="{00000000-0009-0000-0100-0000A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900-000001000000}" name="Lu" dataDxfId="811"/>
    <tableColumn id="2" xr3:uid="{00000000-0010-0000-5900-000002000000}" name="Ma" dataDxfId="810"/>
    <tableColumn id="3" xr3:uid="{00000000-0010-0000-5900-000003000000}" name="Me" dataDxfId="809"/>
    <tableColumn id="4" xr3:uid="{00000000-0010-0000-5900-000004000000}" name="Je" dataDxfId="808"/>
    <tableColumn id="5" xr3:uid="{00000000-0010-0000-5900-000005000000}" name="Ve" dataDxfId="807"/>
    <tableColumn id="6" xr3:uid="{00000000-0010-0000-5900-000006000000}" name="Sa" dataDxfId="806"/>
    <tableColumn id="7" xr3:uid="{00000000-0010-0000-5900-000007000000}" name="Di" dataDxfId="80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décembre sont calculés automatiquement pour l’année entrée dans la cellule AE3 de ce tableau"/>
    </ext>
  </extLst>
</table>
</file>

<file path=xl/tables/table91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5A000000}" name="Novembre167" displayName="Novembre167" ref="J34:P40" totalsRowShown="0" headerRowDxfId="804" dataDxfId="803">
  <autoFilter ref="J34:P40" xr:uid="{00000000-0009-0000-0100-0000A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A00-000001000000}" name="Lu" dataDxfId="802"/>
    <tableColumn id="2" xr3:uid="{00000000-0010-0000-5A00-000002000000}" name="Ma" dataDxfId="801"/>
    <tableColumn id="3" xr3:uid="{00000000-0010-0000-5A00-000003000000}" name="Me" dataDxfId="800"/>
    <tableColumn id="4" xr3:uid="{00000000-0010-0000-5A00-000004000000}" name="Je" dataDxfId="799"/>
    <tableColumn id="5" xr3:uid="{00000000-0010-0000-5A00-000005000000}" name="Ve" dataDxfId="798"/>
    <tableColumn id="6" xr3:uid="{00000000-0010-0000-5A00-000006000000}" name="Sa" dataDxfId="797"/>
    <tableColumn id="7" xr3:uid="{00000000-0010-0000-5A00-000007000000}" name="Di" dataDxfId="79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novembre sont calculés automatiquement pour l’année entrée dans la cellule AE3 de ce tableau"/>
    </ext>
  </extLst>
</table>
</file>

<file path=xl/tables/table92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5B000000}" name="Octobre168" displayName="Octobre168" ref="B34:H40" totalsRowShown="0" headerRowDxfId="795" dataDxfId="794">
  <autoFilter ref="B34:H40" xr:uid="{00000000-0009-0000-0100-0000A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B00-000001000000}" name="Lu" dataDxfId="793"/>
    <tableColumn id="2" xr3:uid="{00000000-0010-0000-5B00-000002000000}" name="Ma" dataDxfId="792"/>
    <tableColumn id="3" xr3:uid="{00000000-0010-0000-5B00-000003000000}" name="Me" dataDxfId="791"/>
    <tableColumn id="4" xr3:uid="{00000000-0010-0000-5B00-000004000000}" name="Je" dataDxfId="790"/>
    <tableColumn id="5" xr3:uid="{00000000-0010-0000-5B00-000005000000}" name="Ve" dataDxfId="789"/>
    <tableColumn id="6" xr3:uid="{00000000-0010-0000-5B00-000006000000}" name="Sa" dataDxfId="788"/>
    <tableColumn id="7" xr3:uid="{00000000-0010-0000-5B00-000007000000}" name="Di" dataDxfId="78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’octobre sont calculés automatiquement pour l’année entrée dans la cellule AE3 de ce tableau"/>
    </ext>
  </extLst>
</table>
</file>

<file path=xl/tables/table93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5C000000}" name="Septembre169" displayName="Septembre169" ref="R25:X31" totalsRowShown="0" headerRowDxfId="786" dataDxfId="785">
  <autoFilter ref="R25:X31" xr:uid="{00000000-0009-0000-0100-0000A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C00-000001000000}" name="Lu" dataDxfId="784"/>
    <tableColumn id="2" xr3:uid="{00000000-0010-0000-5C00-000002000000}" name="Ma" dataDxfId="783"/>
    <tableColumn id="3" xr3:uid="{00000000-0010-0000-5C00-000003000000}" name="Me" dataDxfId="782"/>
    <tableColumn id="4" xr3:uid="{00000000-0010-0000-5C00-000004000000}" name="Je" dataDxfId="781"/>
    <tableColumn id="5" xr3:uid="{00000000-0010-0000-5C00-000005000000}" name="Ve" dataDxfId="780"/>
    <tableColumn id="6" xr3:uid="{00000000-0010-0000-5C00-000006000000}" name="Sa" dataDxfId="779"/>
    <tableColumn id="7" xr3:uid="{00000000-0010-0000-5C00-000007000000}" name="Di" dataDxfId="77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94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5D000000}" name="Mai_170" displayName="Mai_170" ref="J16:P22" totalsRowShown="0" headerRowDxfId="777" dataDxfId="776" tableBorderDxfId="775">
  <autoFilter ref="J16:P22" xr:uid="{00000000-0009-0000-0100-0000A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D00-000001000000}" name="Lu" dataDxfId="774"/>
    <tableColumn id="2" xr3:uid="{00000000-0010-0000-5D00-000002000000}" name="Ma" dataDxfId="773"/>
    <tableColumn id="3" xr3:uid="{00000000-0010-0000-5D00-000003000000}" name="Me" dataDxfId="772"/>
    <tableColumn id="4" xr3:uid="{00000000-0010-0000-5D00-000004000000}" name="Je" dataDxfId="771"/>
    <tableColumn id="5" xr3:uid="{00000000-0010-0000-5D00-000005000000}" name="Ve" dataDxfId="770"/>
    <tableColumn id="6" xr3:uid="{00000000-0010-0000-5D00-000006000000}" name="Sa" dataDxfId="769"/>
    <tableColumn id="7" xr3:uid="{00000000-0010-0000-5D00-000007000000}" name="Di" dataDxfId="7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i sont calculés automatiquement pour l’année entrée dans la cellule AE3 de ce tableau"/>
    </ext>
  </extLst>
</table>
</file>

<file path=xl/tables/table95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5E000000}" name="Juin171" displayName="Juin171" ref="R16:X22" totalsRowShown="0" headerRowDxfId="767" dataDxfId="766" tableBorderDxfId="765">
  <autoFilter ref="R16:X22" xr:uid="{00000000-0009-0000-0100-0000A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E00-000001000000}" name="Lu" dataDxfId="764"/>
    <tableColumn id="2" xr3:uid="{00000000-0010-0000-5E00-000002000000}" name="Ma" dataDxfId="763"/>
    <tableColumn id="3" xr3:uid="{00000000-0010-0000-5E00-000003000000}" name="Me" dataDxfId="762"/>
    <tableColumn id="4" xr3:uid="{00000000-0010-0000-5E00-000004000000}" name="Je" dataDxfId="761"/>
    <tableColumn id="5" xr3:uid="{00000000-0010-0000-5E00-000005000000}" name="Ve" dataDxfId="760"/>
    <tableColumn id="6" xr3:uid="{00000000-0010-0000-5E00-000006000000}" name="Sa" dataDxfId="759"/>
    <tableColumn id="7" xr3:uid="{00000000-0010-0000-5E00-000007000000}" name="Di" dataDxfId="75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n sont calculés automatiquement pour l’année entrée dans la cellule AE3 de ce tableau"/>
    </ext>
  </extLst>
</table>
</file>

<file path=xl/tables/table9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08000000}" name="Septembre85" displayName="Septembre85" ref="R25:X31" totalsRowShown="0" headerRowDxfId="1647" dataDxfId="1646">
  <autoFilter ref="R25:X31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800-000001000000}" name="Lu" dataDxfId="1645"/>
    <tableColumn id="2" xr3:uid="{00000000-0010-0000-0800-000002000000}" name="Ma" dataDxfId="1644"/>
    <tableColumn id="3" xr3:uid="{00000000-0010-0000-0800-000003000000}" name="Me" dataDxfId="1643"/>
    <tableColumn id="4" xr3:uid="{00000000-0010-0000-0800-000004000000}" name="Je" dataDxfId="1642"/>
    <tableColumn id="5" xr3:uid="{00000000-0010-0000-0800-000005000000}" name="Ve" dataDxfId="1641"/>
    <tableColumn id="6" xr3:uid="{00000000-0010-0000-0800-000006000000}" name="Sa" dataDxfId="1640"/>
    <tableColumn id="7" xr3:uid="{00000000-0010-0000-0800-000007000000}" name="Di" dataDxfId="163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septembre sont calculés automatiquement pour l’année entrée dans la cellule AE3 de ce tableau"/>
    </ext>
  </extLst>
</table>
</file>

<file path=xl/tables/table96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5F000000}" name="Juillet172" displayName="Juillet172" ref="B25:H31" totalsRowShown="0" headerRowDxfId="757" dataDxfId="756">
  <autoFilter ref="B25:H31" xr:uid="{00000000-0009-0000-0100-0000A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F00-000001000000}" name="Lu" dataDxfId="755"/>
    <tableColumn id="2" xr3:uid="{00000000-0010-0000-5F00-000002000000}" name="Ma" dataDxfId="754"/>
    <tableColumn id="3" xr3:uid="{00000000-0010-0000-5F00-000003000000}" name="Me" dataDxfId="753"/>
    <tableColumn id="4" xr3:uid="{00000000-0010-0000-5F00-000004000000}" name="Je" dataDxfId="752"/>
    <tableColumn id="5" xr3:uid="{00000000-0010-0000-5F00-000005000000}" name="Ve" dataDxfId="751"/>
    <tableColumn id="6" xr3:uid="{00000000-0010-0000-5F00-000006000000}" name="Sa" dataDxfId="750"/>
    <tableColumn id="7" xr3:uid="{00000000-0010-0000-5F00-000007000000}" name="Di" dataDxfId="74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uillet sont calculés automatiquement pour l’année entrée dans la cellule AE3 de ce tableau"/>
    </ext>
  </extLst>
</table>
</file>

<file path=xl/tables/table97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60000000}" name="Janvier173" displayName="Janvier173" ref="B7:H13" totalsRowShown="0" headerRowDxfId="736" dataDxfId="735" tableBorderDxfId="734">
  <autoFilter ref="B7:H13" xr:uid="{00000000-0009-0000-0100-0000A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000-000001000000}" name="Lu" dataDxfId="733"/>
    <tableColumn id="2" xr3:uid="{00000000-0010-0000-6000-000002000000}" name="Ma" dataDxfId="732"/>
    <tableColumn id="3" xr3:uid="{00000000-0010-0000-6000-000003000000}" name="Me" dataDxfId="731"/>
    <tableColumn id="4" xr3:uid="{00000000-0010-0000-6000-000004000000}" name="Je" dataDxfId="730"/>
    <tableColumn id="5" xr3:uid="{00000000-0010-0000-6000-000005000000}" name="Ve" dataDxfId="729"/>
    <tableColumn id="6" xr3:uid="{00000000-0010-0000-6000-000006000000}" name="Sa" dataDxfId="728"/>
    <tableColumn id="7" xr3:uid="{00000000-0010-0000-6000-000007000000}" name="Di" dataDxfId="72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janvier sont calculés automatiquement pour l’année entrée dans la cellule AE3 de ce tableau"/>
    </ext>
  </extLst>
</table>
</file>

<file path=xl/tables/table98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61000000}" name="Février174" displayName="Février174" ref="J7:P13" totalsRowShown="0" headerRowDxfId="726" dataDxfId="725">
  <autoFilter ref="J7:P13" xr:uid="{00000000-0009-0000-0100-0000A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100-000001000000}" name="Lu" dataDxfId="724"/>
    <tableColumn id="2" xr3:uid="{00000000-0010-0000-6100-000002000000}" name="Ma" dataDxfId="723"/>
    <tableColumn id="3" xr3:uid="{00000000-0010-0000-6100-000003000000}" name="Me" dataDxfId="722"/>
    <tableColumn id="4" xr3:uid="{00000000-0010-0000-6100-000004000000}" name="Je" dataDxfId="721"/>
    <tableColumn id="5" xr3:uid="{00000000-0010-0000-6100-000005000000}" name="Ve" dataDxfId="720"/>
    <tableColumn id="6" xr3:uid="{00000000-0010-0000-6100-000006000000}" name="Sa" dataDxfId="719"/>
    <tableColumn id="7" xr3:uid="{00000000-0010-0000-6100-000007000000}" name="Di" dataDxfId="7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février sont calculés automatiquement pour l’année entrée dans la cellule AE3 de ce tableau"/>
    </ext>
  </extLst>
</table>
</file>

<file path=xl/tables/table99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62000000}" name="Mars175" displayName="Mars175" ref="R7:X13" totalsRowShown="0" headerRowDxfId="717" dataDxfId="716">
  <autoFilter ref="R7:X13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200-000001000000}" name="Lu" dataDxfId="715"/>
    <tableColumn id="2" xr3:uid="{00000000-0010-0000-6200-000002000000}" name="Ma" dataDxfId="714"/>
    <tableColumn id="3" xr3:uid="{00000000-0010-0000-6200-000003000000}" name="Me" dataDxfId="713"/>
    <tableColumn id="4" xr3:uid="{00000000-0010-0000-6200-000004000000}" name="Je" dataDxfId="712"/>
    <tableColumn id="5" xr3:uid="{00000000-0010-0000-6200-000005000000}" name="Ve" dataDxfId="711"/>
    <tableColumn id="6" xr3:uid="{00000000-0010-0000-6200-000006000000}" name="Sa" dataDxfId="710"/>
    <tableColumn id="7" xr3:uid="{00000000-0010-0000-6200-000007000000}" name="Di" dataDxfId="70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Les jours de la semaine du calendrier de mars sont calculés automatiquement pour l’année entrée dans la cellule AE3 de ce tableau"/>
    </ext>
  </extLst>
</table>
</file>

<file path=xl/theme/theme1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Custom 41">
      <a:majorFont>
        <a:latin typeface="Tw Cen MT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11.xml.rels>&#65279;<?xml version="1.0" encoding="utf-8"?><Relationships xmlns="http://schemas.openxmlformats.org/package/2006/relationships"><Relationship Type="http://schemas.openxmlformats.org/officeDocument/2006/relationships/table" Target="/xl/tables/table11498.xml" Id="rId8" /><Relationship Type="http://schemas.openxmlformats.org/officeDocument/2006/relationships/table" Target="/xl/tables/table11999.xml" Id="rId13" /><Relationship Type="http://schemas.openxmlformats.org/officeDocument/2006/relationships/table" Target="/xl/tables/table109100.xml" Id="rId3" /><Relationship Type="http://schemas.openxmlformats.org/officeDocument/2006/relationships/table" Target="/xl/tables/table113101.xml" Id="rId7" /><Relationship Type="http://schemas.openxmlformats.org/officeDocument/2006/relationships/table" Target="/xl/tables/table118102.xml" Id="rId12" /><Relationship Type="http://schemas.openxmlformats.org/officeDocument/2006/relationships/drawing" Target="/xl/drawings/drawing109.xml" Id="rId2" /><Relationship Type="http://schemas.openxmlformats.org/officeDocument/2006/relationships/printerSettings" Target="/xl/printerSettings/printerSettings1011.bin" Id="rId1" /><Relationship Type="http://schemas.openxmlformats.org/officeDocument/2006/relationships/table" Target="/xl/tables/table112103.xml" Id="rId6" /><Relationship Type="http://schemas.openxmlformats.org/officeDocument/2006/relationships/table" Target="/xl/tables/table117104.xml" Id="rId11" /><Relationship Type="http://schemas.openxmlformats.org/officeDocument/2006/relationships/table" Target="/xl/tables/table111105.xml" Id="rId5" /><Relationship Type="http://schemas.openxmlformats.org/officeDocument/2006/relationships/table" Target="/xl/tables/table116106.xml" Id="rId10" /><Relationship Type="http://schemas.openxmlformats.org/officeDocument/2006/relationships/table" Target="/xl/tables/table110107.xml" Id="rId4" /><Relationship Type="http://schemas.openxmlformats.org/officeDocument/2006/relationships/table" Target="/xl/tables/table115108.xml" Id="rId9" /><Relationship Type="http://schemas.openxmlformats.org/officeDocument/2006/relationships/table" Target="/xl/tables/table120109.xml" Id="rId14" /></Relationships>
</file>

<file path=xl/worksheets/_rels/sheet118.xml.rels>&#65279;<?xml version="1.0" encoding="utf-8"?><Relationships xmlns="http://schemas.openxmlformats.org/package/2006/relationships"><Relationship Type="http://schemas.openxmlformats.org/officeDocument/2006/relationships/table" Target="/xl/tables/table12673.xml" Id="rId8" /><Relationship Type="http://schemas.openxmlformats.org/officeDocument/2006/relationships/table" Target="/xl/tables/table13174.xml" Id="rId13" /><Relationship Type="http://schemas.openxmlformats.org/officeDocument/2006/relationships/table" Target="/xl/tables/table12175.xml" Id="rId3" /><Relationship Type="http://schemas.openxmlformats.org/officeDocument/2006/relationships/table" Target="/xl/tables/table12576.xml" Id="rId7" /><Relationship Type="http://schemas.openxmlformats.org/officeDocument/2006/relationships/table" Target="/xl/tables/table13077.xml" Id="rId12" /><Relationship Type="http://schemas.openxmlformats.org/officeDocument/2006/relationships/drawing" Target="/xl/drawings/drawing117.xml" Id="rId2" /><Relationship Type="http://schemas.openxmlformats.org/officeDocument/2006/relationships/printerSettings" Target="/xl/printerSettings/printerSettings118.bin" Id="rId1" /><Relationship Type="http://schemas.openxmlformats.org/officeDocument/2006/relationships/table" Target="/xl/tables/table12478.xml" Id="rId6" /><Relationship Type="http://schemas.openxmlformats.org/officeDocument/2006/relationships/table" Target="/xl/tables/table12979.xml" Id="rId11" /><Relationship Type="http://schemas.openxmlformats.org/officeDocument/2006/relationships/table" Target="/xl/tables/table12380.xml" Id="rId5" /><Relationship Type="http://schemas.openxmlformats.org/officeDocument/2006/relationships/table" Target="/xl/tables/table12881.xml" Id="rId10" /><Relationship Type="http://schemas.openxmlformats.org/officeDocument/2006/relationships/table" Target="/xl/tables/table12282.xml" Id="rId4" /><Relationship Type="http://schemas.openxmlformats.org/officeDocument/2006/relationships/table" Target="/xl/tables/table12783.xml" Id="rId9" /><Relationship Type="http://schemas.openxmlformats.org/officeDocument/2006/relationships/table" Target="/xl/tables/table13284.xml" Id="rId14" /></Relationships>
</file>

<file path=xl/worksheets/_rels/sheet123.xml.rels>&#65279;<?xml version="1.0" encoding="utf-8"?><Relationships xmlns="http://schemas.openxmlformats.org/package/2006/relationships"><Relationship Type="http://schemas.openxmlformats.org/officeDocument/2006/relationships/table" Target="/xl/tables/table13825.xml" Id="rId8" /><Relationship Type="http://schemas.openxmlformats.org/officeDocument/2006/relationships/table" Target="/xl/tables/table14326.xml" Id="rId13" /><Relationship Type="http://schemas.openxmlformats.org/officeDocument/2006/relationships/table" Target="/xl/tables/table13327.xml" Id="rId3" /><Relationship Type="http://schemas.openxmlformats.org/officeDocument/2006/relationships/table" Target="/xl/tables/table13728.xml" Id="rId7" /><Relationship Type="http://schemas.openxmlformats.org/officeDocument/2006/relationships/table" Target="/xl/tables/table14229.xml" Id="rId12" /><Relationship Type="http://schemas.openxmlformats.org/officeDocument/2006/relationships/drawing" Target="/xl/drawings/drawing123.xml" Id="rId2" /><Relationship Type="http://schemas.openxmlformats.org/officeDocument/2006/relationships/printerSettings" Target="/xl/printerSettings/printerSettings123.bin" Id="rId1" /><Relationship Type="http://schemas.openxmlformats.org/officeDocument/2006/relationships/table" Target="/xl/tables/table13630.xml" Id="rId6" /><Relationship Type="http://schemas.openxmlformats.org/officeDocument/2006/relationships/table" Target="/xl/tables/table14131.xml" Id="rId11" /><Relationship Type="http://schemas.openxmlformats.org/officeDocument/2006/relationships/table" Target="/xl/tables/table13532.xml" Id="rId5" /><Relationship Type="http://schemas.openxmlformats.org/officeDocument/2006/relationships/table" Target="/xl/tables/table14033.xml" Id="rId10" /><Relationship Type="http://schemas.openxmlformats.org/officeDocument/2006/relationships/table" Target="/xl/tables/table13434.xml" Id="rId4" /><Relationship Type="http://schemas.openxmlformats.org/officeDocument/2006/relationships/table" Target="/xl/tables/table13935.xml" Id="rId9" /><Relationship Type="http://schemas.openxmlformats.org/officeDocument/2006/relationships/table" Target="/xl/tables/table14436.xml" Id="rId14" /></Relationships>
</file>

<file path=xl/worksheets/_rels/sheet131.xml.rels>&#65279;<?xml version="1.0" encoding="utf-8"?><Relationships xmlns="http://schemas.openxmlformats.org/package/2006/relationships"><Relationship Type="http://schemas.openxmlformats.org/officeDocument/2006/relationships/table" Target="/xl/tables/table1501.xml" Id="rId8" /><Relationship Type="http://schemas.openxmlformats.org/officeDocument/2006/relationships/table" Target="/xl/tables/table1552.xml" Id="rId13" /><Relationship Type="http://schemas.openxmlformats.org/officeDocument/2006/relationships/table" Target="/xl/tables/table1453.xml" Id="rId3" /><Relationship Type="http://schemas.openxmlformats.org/officeDocument/2006/relationships/table" Target="/xl/tables/table1494.xml" Id="rId7" /><Relationship Type="http://schemas.openxmlformats.org/officeDocument/2006/relationships/table" Target="/xl/tables/table1545.xml" Id="rId12" /><Relationship Type="http://schemas.openxmlformats.org/officeDocument/2006/relationships/drawing" Target="/xl/drawings/drawing131.xml" Id="rId2" /><Relationship Type="http://schemas.openxmlformats.org/officeDocument/2006/relationships/printerSettings" Target="/xl/printerSettings/printerSettings131.bin" Id="rId1" /><Relationship Type="http://schemas.openxmlformats.org/officeDocument/2006/relationships/table" Target="/xl/tables/table1486.xml" Id="rId6" /><Relationship Type="http://schemas.openxmlformats.org/officeDocument/2006/relationships/table" Target="/xl/tables/table1537.xml" Id="rId11" /><Relationship Type="http://schemas.openxmlformats.org/officeDocument/2006/relationships/table" Target="/xl/tables/table1478.xml" Id="rId5" /><Relationship Type="http://schemas.openxmlformats.org/officeDocument/2006/relationships/table" Target="/xl/tables/table1529.xml" Id="rId10" /><Relationship Type="http://schemas.openxmlformats.org/officeDocument/2006/relationships/table" Target="/xl/tables/table14610.xml" Id="rId4" /><Relationship Type="http://schemas.openxmlformats.org/officeDocument/2006/relationships/table" Target="/xl/tables/table15111.xml" Id="rId9" /><Relationship Type="http://schemas.openxmlformats.org/officeDocument/2006/relationships/table" Target="/xl/tables/table15612.xml" Id="rId14" /></Relationships>
</file>

<file path=xl/worksheets/_rels/sheet1414.xml.rels>&#65279;<?xml version="1.0" encoding="utf-8"?><Relationships xmlns="http://schemas.openxmlformats.org/package/2006/relationships"><Relationship Type="http://schemas.openxmlformats.org/officeDocument/2006/relationships/table" Target="/xl/tables/table162134.xml" Id="rId8" /><Relationship Type="http://schemas.openxmlformats.org/officeDocument/2006/relationships/table" Target="/xl/tables/table167135.xml" Id="rId13" /><Relationship Type="http://schemas.openxmlformats.org/officeDocument/2006/relationships/table" Target="/xl/tables/table157136.xml" Id="rId3" /><Relationship Type="http://schemas.openxmlformats.org/officeDocument/2006/relationships/table" Target="/xl/tables/table161137.xml" Id="rId7" /><Relationship Type="http://schemas.openxmlformats.org/officeDocument/2006/relationships/table" Target="/xl/tables/table166138.xml" Id="rId12" /><Relationship Type="http://schemas.openxmlformats.org/officeDocument/2006/relationships/drawing" Target="/xl/drawings/drawing1412.xml" Id="rId2" /><Relationship Type="http://schemas.openxmlformats.org/officeDocument/2006/relationships/printerSettings" Target="/xl/printerSettings/printerSettings1414.bin" Id="rId1" /><Relationship Type="http://schemas.openxmlformats.org/officeDocument/2006/relationships/table" Target="/xl/tables/table160139.xml" Id="rId6" /><Relationship Type="http://schemas.openxmlformats.org/officeDocument/2006/relationships/table" Target="/xl/tables/table165140.xml" Id="rId11" /><Relationship Type="http://schemas.openxmlformats.org/officeDocument/2006/relationships/table" Target="/xl/tables/table159141.xml" Id="rId5" /><Relationship Type="http://schemas.openxmlformats.org/officeDocument/2006/relationships/table" Target="/xl/tables/table164142.xml" Id="rId10" /><Relationship Type="http://schemas.openxmlformats.org/officeDocument/2006/relationships/table" Target="/xl/tables/table158143.xml" Id="rId4" /><Relationship Type="http://schemas.openxmlformats.org/officeDocument/2006/relationships/table" Target="/xl/tables/table163144.xml" Id="rId9" /><Relationship Type="http://schemas.openxmlformats.org/officeDocument/2006/relationships/table" Target="/xl/tables/table168145.xml" Id="rId14" /></Relationships>
</file>

<file path=xl/worksheets/_rels/sheet1510.xml.rels>&#65279;<?xml version="1.0" encoding="utf-8"?><Relationships xmlns="http://schemas.openxmlformats.org/package/2006/relationships"><Relationship Type="http://schemas.openxmlformats.org/officeDocument/2006/relationships/table" Target="/xl/tables/table16997.xml" Id="rId2" /><Relationship Type="http://schemas.openxmlformats.org/officeDocument/2006/relationships/printerSettings" Target="/xl/printerSettings/printerSettings1510.bin" Id="rId1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table" Target="/xl/tables/table649.xml" Id="rId8" /><Relationship Type="http://schemas.openxmlformats.org/officeDocument/2006/relationships/table" Target="/xl/tables/table1150.xml" Id="rId13" /><Relationship Type="http://schemas.openxmlformats.org/officeDocument/2006/relationships/table" Target="/xl/tables/table151.xml" Id="rId3" /><Relationship Type="http://schemas.openxmlformats.org/officeDocument/2006/relationships/table" Target="/xl/tables/table552.xml" Id="rId7" /><Relationship Type="http://schemas.openxmlformats.org/officeDocument/2006/relationships/table" Target="/xl/tables/table1053.xml" Id="rId12" /><Relationship Type="http://schemas.openxmlformats.org/officeDocument/2006/relationships/drawing" Target="/xl/drawings/drawing15.xml" Id="rId2" /><Relationship Type="http://schemas.openxmlformats.org/officeDocument/2006/relationships/printerSettings" Target="/xl/printerSettings/printerSettings16.bin" Id="rId1" /><Relationship Type="http://schemas.openxmlformats.org/officeDocument/2006/relationships/table" Target="/xl/tables/table454.xml" Id="rId6" /><Relationship Type="http://schemas.openxmlformats.org/officeDocument/2006/relationships/table" Target="/xl/tables/table955.xml" Id="rId11" /><Relationship Type="http://schemas.openxmlformats.org/officeDocument/2006/relationships/table" Target="/xl/tables/table356.xml" Id="rId5" /><Relationship Type="http://schemas.openxmlformats.org/officeDocument/2006/relationships/table" Target="/xl/tables/table857.xml" Id="rId10" /><Relationship Type="http://schemas.openxmlformats.org/officeDocument/2006/relationships/table" Target="/xl/tables/table258.xml" Id="rId4" /><Relationship Type="http://schemas.openxmlformats.org/officeDocument/2006/relationships/table" Target="/xl/tables/table759.xml" Id="rId9" /><Relationship Type="http://schemas.openxmlformats.org/officeDocument/2006/relationships/table" Target="/xl/tables/table1260.xml" Id="rId14" /></Relationships>
</file>

<file path=xl/worksheets/_rels/sheet165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165.bin" Id="rId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table" Target="/xl/tables/table1837.xml" Id="rId8" /><Relationship Type="http://schemas.openxmlformats.org/officeDocument/2006/relationships/table" Target="/xl/tables/table2338.xml" Id="rId13" /><Relationship Type="http://schemas.openxmlformats.org/officeDocument/2006/relationships/table" Target="/xl/tables/table1339.xml" Id="rId3" /><Relationship Type="http://schemas.openxmlformats.org/officeDocument/2006/relationships/table" Target="/xl/tables/table1740.xml" Id="rId7" /><Relationship Type="http://schemas.openxmlformats.org/officeDocument/2006/relationships/table" Target="/xl/tables/table2241.xml" Id="rId12" /><Relationship Type="http://schemas.openxmlformats.org/officeDocument/2006/relationships/drawing" Target="/xl/drawings/drawing24.xml" Id="rId2" /><Relationship Type="http://schemas.openxmlformats.org/officeDocument/2006/relationships/printerSettings" Target="/xl/printerSettings/printerSettings24.bin" Id="rId1" /><Relationship Type="http://schemas.openxmlformats.org/officeDocument/2006/relationships/table" Target="/xl/tables/table1642.xml" Id="rId6" /><Relationship Type="http://schemas.openxmlformats.org/officeDocument/2006/relationships/table" Target="/xl/tables/table2143.xml" Id="rId11" /><Relationship Type="http://schemas.openxmlformats.org/officeDocument/2006/relationships/table" Target="/xl/tables/table1544.xml" Id="rId5" /><Relationship Type="http://schemas.openxmlformats.org/officeDocument/2006/relationships/table" Target="/xl/tables/table2045.xml" Id="rId10" /><Relationship Type="http://schemas.openxmlformats.org/officeDocument/2006/relationships/table" Target="/xl/tables/table1446.xml" Id="rId4" /><Relationship Type="http://schemas.openxmlformats.org/officeDocument/2006/relationships/table" Target="/xl/tables/table1947.xml" Id="rId9" /><Relationship Type="http://schemas.openxmlformats.org/officeDocument/2006/relationships/table" Target="/xl/tables/table2448.xml" Id="rId14" /></Relationships>
</file>

<file path=xl/worksheets/_rels/sheet316.xml.rels>&#65279;<?xml version="1.0" encoding="utf-8"?><Relationships xmlns="http://schemas.openxmlformats.org/package/2006/relationships"><Relationship Type="http://schemas.openxmlformats.org/officeDocument/2006/relationships/table" Target="/xl/tables/table30158.xml" Id="rId8" /><Relationship Type="http://schemas.openxmlformats.org/officeDocument/2006/relationships/table" Target="/xl/tables/table35159.xml" Id="rId13" /><Relationship Type="http://schemas.openxmlformats.org/officeDocument/2006/relationships/table" Target="/xl/tables/table25160.xml" Id="rId3" /><Relationship Type="http://schemas.openxmlformats.org/officeDocument/2006/relationships/table" Target="/xl/tables/table29161.xml" Id="rId7" /><Relationship Type="http://schemas.openxmlformats.org/officeDocument/2006/relationships/table" Target="/xl/tables/table34162.xml" Id="rId12" /><Relationship Type="http://schemas.openxmlformats.org/officeDocument/2006/relationships/drawing" Target="/xl/drawings/drawing314.xml" Id="rId2" /><Relationship Type="http://schemas.openxmlformats.org/officeDocument/2006/relationships/printerSettings" Target="/xl/printerSettings/printerSettings316.bin" Id="rId1" /><Relationship Type="http://schemas.openxmlformats.org/officeDocument/2006/relationships/table" Target="/xl/tables/table28163.xml" Id="rId6" /><Relationship Type="http://schemas.openxmlformats.org/officeDocument/2006/relationships/table" Target="/xl/tables/table33164.xml" Id="rId11" /><Relationship Type="http://schemas.openxmlformats.org/officeDocument/2006/relationships/table" Target="/xl/tables/table27165.xml" Id="rId5" /><Relationship Type="http://schemas.openxmlformats.org/officeDocument/2006/relationships/table" Target="/xl/tables/table32166.xml" Id="rId10" /><Relationship Type="http://schemas.openxmlformats.org/officeDocument/2006/relationships/table" Target="/xl/tables/table26167.xml" Id="rId4" /><Relationship Type="http://schemas.openxmlformats.org/officeDocument/2006/relationships/table" Target="/xl/tables/table31168.xml" Id="rId9" /><Relationship Type="http://schemas.openxmlformats.org/officeDocument/2006/relationships/table" Target="/xl/tables/table36169.xml" Id="rId14" /></Relationships>
</file>

<file path=xl/worksheets/_rels/sheet412.xml.rels>&#65279;<?xml version="1.0" encoding="utf-8"?><Relationships xmlns="http://schemas.openxmlformats.org/package/2006/relationships"><Relationship Type="http://schemas.openxmlformats.org/officeDocument/2006/relationships/table" Target="/xl/tables/table42110.xml" Id="rId8" /><Relationship Type="http://schemas.openxmlformats.org/officeDocument/2006/relationships/table" Target="/xl/tables/table47111.xml" Id="rId13" /><Relationship Type="http://schemas.openxmlformats.org/officeDocument/2006/relationships/table" Target="/xl/tables/table37112.xml" Id="rId3" /><Relationship Type="http://schemas.openxmlformats.org/officeDocument/2006/relationships/table" Target="/xl/tables/table41113.xml" Id="rId7" /><Relationship Type="http://schemas.openxmlformats.org/officeDocument/2006/relationships/table" Target="/xl/tables/table46114.xml" Id="rId12" /><Relationship Type="http://schemas.openxmlformats.org/officeDocument/2006/relationships/drawing" Target="/xl/drawings/drawing410.xml" Id="rId2" /><Relationship Type="http://schemas.openxmlformats.org/officeDocument/2006/relationships/printerSettings" Target="/xl/printerSettings/printerSettings412.bin" Id="rId1" /><Relationship Type="http://schemas.openxmlformats.org/officeDocument/2006/relationships/table" Target="/xl/tables/table40115.xml" Id="rId6" /><Relationship Type="http://schemas.openxmlformats.org/officeDocument/2006/relationships/table" Target="/xl/tables/table45116.xml" Id="rId11" /><Relationship Type="http://schemas.openxmlformats.org/officeDocument/2006/relationships/table" Target="/xl/tables/table39117.xml" Id="rId5" /><Relationship Type="http://schemas.openxmlformats.org/officeDocument/2006/relationships/table" Target="/xl/tables/table44118.xml" Id="rId10" /><Relationship Type="http://schemas.openxmlformats.org/officeDocument/2006/relationships/table" Target="/xl/tables/table38119.xml" Id="rId4" /><Relationship Type="http://schemas.openxmlformats.org/officeDocument/2006/relationships/table" Target="/xl/tables/table43120.xml" Id="rId9" /><Relationship Type="http://schemas.openxmlformats.org/officeDocument/2006/relationships/table" Target="/xl/tables/table48121.xml" Id="rId14" /></Relationships>
</file>

<file path=xl/worksheets/_rels/sheet59.xml.rels>&#65279;<?xml version="1.0" encoding="utf-8"?><Relationships xmlns="http://schemas.openxmlformats.org/package/2006/relationships"><Relationship Type="http://schemas.openxmlformats.org/officeDocument/2006/relationships/table" Target="/xl/tables/table5485.xml" Id="rId8" /><Relationship Type="http://schemas.openxmlformats.org/officeDocument/2006/relationships/table" Target="/xl/tables/table5986.xml" Id="rId13" /><Relationship Type="http://schemas.openxmlformats.org/officeDocument/2006/relationships/table" Target="/xl/tables/table4987.xml" Id="rId3" /><Relationship Type="http://schemas.openxmlformats.org/officeDocument/2006/relationships/table" Target="/xl/tables/table5388.xml" Id="rId7" /><Relationship Type="http://schemas.openxmlformats.org/officeDocument/2006/relationships/table" Target="/xl/tables/table5889.xml" Id="rId12" /><Relationship Type="http://schemas.openxmlformats.org/officeDocument/2006/relationships/drawing" Target="/xl/drawings/drawing58.xml" Id="rId2" /><Relationship Type="http://schemas.openxmlformats.org/officeDocument/2006/relationships/printerSettings" Target="/xl/printerSettings/printerSettings59.bin" Id="rId1" /><Relationship Type="http://schemas.openxmlformats.org/officeDocument/2006/relationships/table" Target="/xl/tables/table5290.xml" Id="rId6" /><Relationship Type="http://schemas.openxmlformats.org/officeDocument/2006/relationships/table" Target="/xl/tables/table5791.xml" Id="rId11" /><Relationship Type="http://schemas.openxmlformats.org/officeDocument/2006/relationships/table" Target="/xl/tables/table5192.xml" Id="rId5" /><Relationship Type="http://schemas.openxmlformats.org/officeDocument/2006/relationships/table" Target="/xl/tables/table5693.xml" Id="rId10" /><Relationship Type="http://schemas.openxmlformats.org/officeDocument/2006/relationships/table" Target="/xl/tables/table5094.xml" Id="rId4" /><Relationship Type="http://schemas.openxmlformats.org/officeDocument/2006/relationships/table" Target="/xl/tables/table5595.xml" Id="rId9" /><Relationship Type="http://schemas.openxmlformats.org/officeDocument/2006/relationships/table" Target="/xl/tables/table6096.xml" Id="rId14" /></Relationships>
</file>

<file path=xl/worksheets/_rels/sheet67.xml.rels>&#65279;<?xml version="1.0" encoding="utf-8"?><Relationships xmlns="http://schemas.openxmlformats.org/package/2006/relationships"><Relationship Type="http://schemas.openxmlformats.org/officeDocument/2006/relationships/table" Target="/xl/tables/table6661.xml" Id="rId8" /><Relationship Type="http://schemas.openxmlformats.org/officeDocument/2006/relationships/table" Target="/xl/tables/table7162.xml" Id="rId13" /><Relationship Type="http://schemas.openxmlformats.org/officeDocument/2006/relationships/table" Target="/xl/tables/table6163.xml" Id="rId3" /><Relationship Type="http://schemas.openxmlformats.org/officeDocument/2006/relationships/table" Target="/xl/tables/table6564.xml" Id="rId7" /><Relationship Type="http://schemas.openxmlformats.org/officeDocument/2006/relationships/table" Target="/xl/tables/table7065.xml" Id="rId12" /><Relationship Type="http://schemas.openxmlformats.org/officeDocument/2006/relationships/drawing" Target="/xl/drawings/drawing66.xml" Id="rId2" /><Relationship Type="http://schemas.openxmlformats.org/officeDocument/2006/relationships/printerSettings" Target="/xl/printerSettings/printerSettings67.bin" Id="rId1" /><Relationship Type="http://schemas.openxmlformats.org/officeDocument/2006/relationships/table" Target="/xl/tables/table6466.xml" Id="rId6" /><Relationship Type="http://schemas.openxmlformats.org/officeDocument/2006/relationships/table" Target="/xl/tables/table6967.xml" Id="rId11" /><Relationship Type="http://schemas.openxmlformats.org/officeDocument/2006/relationships/table" Target="/xl/tables/table6368.xml" Id="rId5" /><Relationship Type="http://schemas.openxmlformats.org/officeDocument/2006/relationships/table" Target="/xl/tables/table6869.xml" Id="rId10" /><Relationship Type="http://schemas.openxmlformats.org/officeDocument/2006/relationships/table" Target="/xl/tables/table6270.xml" Id="rId4" /><Relationship Type="http://schemas.openxmlformats.org/officeDocument/2006/relationships/table" Target="/xl/tables/table6771.xml" Id="rId9" /><Relationship Type="http://schemas.openxmlformats.org/officeDocument/2006/relationships/table" Target="/xl/tables/table7272.xml" Id="rId14" /></Relationships>
</file>

<file path=xl/worksheets/_rels/sheet72.xml.rels>&#65279;<?xml version="1.0" encoding="utf-8"?><Relationships xmlns="http://schemas.openxmlformats.org/package/2006/relationships"><Relationship Type="http://schemas.openxmlformats.org/officeDocument/2006/relationships/table" Target="/xl/tables/table7813.xml" Id="rId8" /><Relationship Type="http://schemas.openxmlformats.org/officeDocument/2006/relationships/table" Target="/xl/tables/table8314.xml" Id="rId13" /><Relationship Type="http://schemas.openxmlformats.org/officeDocument/2006/relationships/table" Target="/xl/tables/table7315.xml" Id="rId3" /><Relationship Type="http://schemas.openxmlformats.org/officeDocument/2006/relationships/table" Target="/xl/tables/table7716.xml" Id="rId7" /><Relationship Type="http://schemas.openxmlformats.org/officeDocument/2006/relationships/table" Target="/xl/tables/table8217.xml" Id="rId12" /><Relationship Type="http://schemas.openxmlformats.org/officeDocument/2006/relationships/drawing" Target="/xl/drawings/drawing72.xml" Id="rId2" /><Relationship Type="http://schemas.openxmlformats.org/officeDocument/2006/relationships/printerSettings" Target="/xl/printerSettings/printerSettings72.bin" Id="rId1" /><Relationship Type="http://schemas.openxmlformats.org/officeDocument/2006/relationships/table" Target="/xl/tables/table7618.xml" Id="rId6" /><Relationship Type="http://schemas.openxmlformats.org/officeDocument/2006/relationships/table" Target="/xl/tables/table8119.xml" Id="rId11" /><Relationship Type="http://schemas.openxmlformats.org/officeDocument/2006/relationships/table" Target="/xl/tables/table7520.xml" Id="rId5" /><Relationship Type="http://schemas.openxmlformats.org/officeDocument/2006/relationships/table" Target="/xl/tables/table8021.xml" Id="rId10" /><Relationship Type="http://schemas.openxmlformats.org/officeDocument/2006/relationships/table" Target="/xl/tables/table7422.xml" Id="rId4" /><Relationship Type="http://schemas.openxmlformats.org/officeDocument/2006/relationships/table" Target="/xl/tables/table7923.xml" Id="rId9" /><Relationship Type="http://schemas.openxmlformats.org/officeDocument/2006/relationships/table" Target="/xl/tables/table8424.xml" Id="rId14" /></Relationships>
</file>

<file path=xl/worksheets/_rels/sheet815.xml.rels>&#65279;<?xml version="1.0" encoding="utf-8"?><Relationships xmlns="http://schemas.openxmlformats.org/package/2006/relationships"><Relationship Type="http://schemas.openxmlformats.org/officeDocument/2006/relationships/table" Target="/xl/tables/table90146.xml" Id="rId8" /><Relationship Type="http://schemas.openxmlformats.org/officeDocument/2006/relationships/table" Target="/xl/tables/table95147.xml" Id="rId13" /><Relationship Type="http://schemas.openxmlformats.org/officeDocument/2006/relationships/table" Target="/xl/tables/table85148.xml" Id="rId3" /><Relationship Type="http://schemas.openxmlformats.org/officeDocument/2006/relationships/table" Target="/xl/tables/table89149.xml" Id="rId7" /><Relationship Type="http://schemas.openxmlformats.org/officeDocument/2006/relationships/table" Target="/xl/tables/table94150.xml" Id="rId12" /><Relationship Type="http://schemas.openxmlformats.org/officeDocument/2006/relationships/drawing" Target="/xl/drawings/drawing813.xml" Id="rId2" /><Relationship Type="http://schemas.openxmlformats.org/officeDocument/2006/relationships/printerSettings" Target="/xl/printerSettings/printerSettings815.bin" Id="rId1" /><Relationship Type="http://schemas.openxmlformats.org/officeDocument/2006/relationships/table" Target="/xl/tables/table88151.xml" Id="rId6" /><Relationship Type="http://schemas.openxmlformats.org/officeDocument/2006/relationships/table" Target="/xl/tables/table93152.xml" Id="rId11" /><Relationship Type="http://schemas.openxmlformats.org/officeDocument/2006/relationships/table" Target="/xl/tables/table87153.xml" Id="rId5" /><Relationship Type="http://schemas.openxmlformats.org/officeDocument/2006/relationships/table" Target="/xl/tables/table92154.xml" Id="rId10" /><Relationship Type="http://schemas.openxmlformats.org/officeDocument/2006/relationships/table" Target="/xl/tables/table86155.xml" Id="rId4" /><Relationship Type="http://schemas.openxmlformats.org/officeDocument/2006/relationships/table" Target="/xl/tables/table91156.xml" Id="rId9" /><Relationship Type="http://schemas.openxmlformats.org/officeDocument/2006/relationships/table" Target="/xl/tables/table96157.xml" Id="rId14" /></Relationships>
</file>

<file path=xl/worksheets/_rels/sheet913.xml.rels>&#65279;<?xml version="1.0" encoding="utf-8"?><Relationships xmlns="http://schemas.openxmlformats.org/package/2006/relationships"><Relationship Type="http://schemas.openxmlformats.org/officeDocument/2006/relationships/table" Target="/xl/tables/table102122.xml" Id="rId8" /><Relationship Type="http://schemas.openxmlformats.org/officeDocument/2006/relationships/table" Target="/xl/tables/table107123.xml" Id="rId13" /><Relationship Type="http://schemas.openxmlformats.org/officeDocument/2006/relationships/table" Target="/xl/tables/table97124.xml" Id="rId3" /><Relationship Type="http://schemas.openxmlformats.org/officeDocument/2006/relationships/table" Target="/xl/tables/table101125.xml" Id="rId7" /><Relationship Type="http://schemas.openxmlformats.org/officeDocument/2006/relationships/table" Target="/xl/tables/table106126.xml" Id="rId12" /><Relationship Type="http://schemas.openxmlformats.org/officeDocument/2006/relationships/drawing" Target="/xl/drawings/drawing911.xml" Id="rId2" /><Relationship Type="http://schemas.openxmlformats.org/officeDocument/2006/relationships/printerSettings" Target="/xl/printerSettings/printerSettings913.bin" Id="rId1" /><Relationship Type="http://schemas.openxmlformats.org/officeDocument/2006/relationships/table" Target="/xl/tables/table100127.xml" Id="rId6" /><Relationship Type="http://schemas.openxmlformats.org/officeDocument/2006/relationships/table" Target="/xl/tables/table105128.xml" Id="rId11" /><Relationship Type="http://schemas.openxmlformats.org/officeDocument/2006/relationships/table" Target="/xl/tables/table99129.xml" Id="rId5" /><Relationship Type="http://schemas.openxmlformats.org/officeDocument/2006/relationships/table" Target="/xl/tables/table104130.xml" Id="rId10" /><Relationship Type="http://schemas.openxmlformats.org/officeDocument/2006/relationships/table" Target="/xl/tables/table98131.xml" Id="rId4" /><Relationship Type="http://schemas.openxmlformats.org/officeDocument/2006/relationships/table" Target="/xl/tables/table103132.xml" Id="rId9" /><Relationship Type="http://schemas.openxmlformats.org/officeDocument/2006/relationships/table" Target="/xl/tables/table108133.xml" Id="rId14" /></Relationships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wsTCalendar10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2026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>
        <f>IF(DAY(JanDim1)=1,"",IF(AND(YEAR(JanDim1+4)=AnnéeCalendrier,MONTH(JanDim1+4)=1),JanDim1+4,""))</f>
        <v>46023</v>
      </c>
      <c r="F8" s="5">
        <f>IF(DAY(JanDim1)=1,"",IF(AND(YEAR(JanDim1+5)=AnnéeCalendrier,MONTH(JanDim1+5)=1),JanDim1+5,""))</f>
        <v>46024</v>
      </c>
      <c r="G8" s="5">
        <f>IF(DAY(JanDim1)=1,"",IF(AND(YEAR(JanDim1+6)=AnnéeCalendrier,MONTH(JanDim1+6)=1),JanDim1+6,""))</f>
        <v>46025</v>
      </c>
      <c r="H8" s="5">
        <f>IF(DAY(JanDim1)=1,IF(AND(YEAR(JanDim1)=AnnéeCalendrier,MONTH(JanDim1)=1),JanDim1,""),IF(AND(YEAR(JanDim1+7)=AnnéeCalendrier,MONTH(JanDim1+7)=1),JanDim1+7,""))</f>
        <v>46026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 t="str">
        <f>IF(DAY(FévDim1)=1,"",IF(AND(YEAR(FévDim1+5)=AnnéeCalendrier,MONTH(FévDim1+5)=2),FévDim1+5,""))</f>
        <v/>
      </c>
      <c r="O8" s="5" t="str">
        <f>IF(DAY(FévDim1)=1,"",IF(AND(YEAR(FévDim1+6)=AnnéeCalendrier,MONTH(FévDim1+6)=2),FévDim1+6,""))</f>
        <v/>
      </c>
      <c r="P8" s="5">
        <f>IF(DAY(FévDim1)=1,IF(AND(YEAR(FévDim1)=AnnéeCalendrier,MONTH(FévDim1)=2),FévDim1,""),IF(AND(YEAR(FévDim1+7)=AnnéeCalendrier,MONTH(FévDim1+7)=2),FévDim1+7,""))</f>
        <v>46054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 t="str">
        <f>IF(DAY(MarDim1)=1,"",IF(AND(YEAR(MarDim1+5)=AnnéeCalendrier,MONTH(MarDim1+5)=3),MarDim1+5,""))</f>
        <v/>
      </c>
      <c r="W8" s="5" t="str">
        <f>IF(DAY(MarDim1)=1,"",IF(AND(YEAR(MarDim1+6)=AnnéeCalendrier,MONTH(MarDim1+6)=3),MarDim1+6,""))</f>
        <v/>
      </c>
      <c r="X8" s="5">
        <f>IF(DAY(MarDim1)=1,IF(AND(YEAR(MarDim1)=AnnéeCalendrier,MONTH(MarDim1)=3),MarDim1,""),IF(AND(YEAR(MarDim1+7)=AnnéeCalendrier,MONTH(MarDim1+7)=3),MarDim1+7,""))</f>
        <v>46082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46027</v>
      </c>
      <c r="C9" s="5">
        <f>IF(DAY(JanDim1)=1,IF(AND(YEAR(JanDim1+2)=AnnéeCalendrier,MONTH(JanDim1+2)=1),JanDim1+2,""),IF(AND(YEAR(JanDim1+9)=AnnéeCalendrier,MONTH(JanDim1+9)=1),JanDim1+9,""))</f>
        <v>46028</v>
      </c>
      <c r="D9" s="5">
        <f>IF(DAY(JanDim1)=1,IF(AND(YEAR(JanDim1+3)=AnnéeCalendrier,MONTH(JanDim1+3)=1),JanDim1+3,""),IF(AND(YEAR(JanDim1+10)=AnnéeCalendrier,MONTH(JanDim1+10)=1),JanDim1+10,""))</f>
        <v>46029</v>
      </c>
      <c r="E9" s="5">
        <f>IF(DAY(JanDim1)=1,IF(AND(YEAR(JanDim1+4)=AnnéeCalendrier,MONTH(JanDim1+4)=1),JanDim1+4,""),IF(AND(YEAR(JanDim1+11)=AnnéeCalendrier,MONTH(JanDim1+11)=1),JanDim1+11,""))</f>
        <v>46030</v>
      </c>
      <c r="F9" s="5">
        <f>IF(DAY(JanDim1)=1,IF(AND(YEAR(JanDim1+5)=AnnéeCalendrier,MONTH(JanDim1+5)=1),JanDim1+5,""),IF(AND(YEAR(JanDim1+12)=AnnéeCalendrier,MONTH(JanDim1+12)=1),JanDim1+12,""))</f>
        <v>46031</v>
      </c>
      <c r="G9" s="5">
        <f>IF(DAY(JanDim1)=1,IF(AND(YEAR(JanDim1+6)=AnnéeCalendrier,MONTH(JanDim1+6)=1),JanDim1+6,""),IF(AND(YEAR(JanDim1+13)=AnnéeCalendrier,MONTH(JanDim1+13)=1),JanDim1+13,""))</f>
        <v>46032</v>
      </c>
      <c r="H9" s="5">
        <f>IF(DAY(JanDim1)=1,IF(AND(YEAR(JanDim1+7)=AnnéeCalendrier,MONTH(JanDim1+7)=1),JanDim1+7,""),IF(AND(YEAR(JanDim1+14)=AnnéeCalendrier,MONTH(JanDim1+14)=1),JanDim1+14,""))</f>
        <v>46033</v>
      </c>
      <c r="I9" s="4"/>
      <c r="J9" s="5">
        <f>IF(DAY(FévDim1)=1,IF(AND(YEAR(FévDim1+1)=AnnéeCalendrier,MONTH(FévDim1+1)=2),FévDim1+1,""),IF(AND(YEAR(FévDim1+8)=AnnéeCalendrier,MONTH(FévDim1+8)=2),FévDim1+8,""))</f>
        <v>46055</v>
      </c>
      <c r="K9" s="5">
        <f>IF(DAY(FévDim1)=1,IF(AND(YEAR(FévDim1+2)=AnnéeCalendrier,MONTH(FévDim1+2)=2),FévDim1+2,""),IF(AND(YEAR(FévDim1+9)=AnnéeCalendrier,MONTH(FévDim1+9)=2),FévDim1+9,""))</f>
        <v>46056</v>
      </c>
      <c r="L9" s="5">
        <f>IF(DAY(FévDim1)=1,IF(AND(YEAR(FévDim1+3)=AnnéeCalendrier,MONTH(FévDim1+3)=2),FévDim1+3,""),IF(AND(YEAR(FévDim1+10)=AnnéeCalendrier,MONTH(FévDim1+10)=2),FévDim1+10,""))</f>
        <v>46057</v>
      </c>
      <c r="M9" s="5">
        <f>IF(DAY(FévDim1)=1,IF(AND(YEAR(FévDim1+4)=AnnéeCalendrier,MONTH(FévDim1+4)=2),FévDim1+4,""),IF(AND(YEAR(FévDim1+11)=AnnéeCalendrier,MONTH(FévDim1+11)=2),FévDim1+11,""))</f>
        <v>46058</v>
      </c>
      <c r="N9" s="5">
        <f>IF(DAY(FévDim1)=1,IF(AND(YEAR(FévDim1+5)=AnnéeCalendrier,MONTH(FévDim1+5)=2),FévDim1+5,""),IF(AND(YEAR(FévDim1+12)=AnnéeCalendrier,MONTH(FévDim1+12)=2),FévDim1+12,""))</f>
        <v>46059</v>
      </c>
      <c r="O9" s="5">
        <f>IF(DAY(FévDim1)=1,IF(AND(YEAR(FévDim1+6)=AnnéeCalendrier,MONTH(FévDim1+6)=2),FévDim1+6,""),IF(AND(YEAR(FévDim1+13)=AnnéeCalendrier,MONTH(FévDim1+13)=2),FévDim1+13,""))</f>
        <v>46060</v>
      </c>
      <c r="P9" s="5">
        <f>IF(DAY(FévDim1)=1,IF(AND(YEAR(FévDim1+7)=AnnéeCalendrier,MONTH(FévDim1+7)=2),FévDim1+7,""),IF(AND(YEAR(FévDim1+14)=AnnéeCalendrier,MONTH(FévDim1+14)=2),FévDim1+14,""))</f>
        <v>46061</v>
      </c>
      <c r="Q9" s="4"/>
      <c r="R9" s="5">
        <f>IF(DAY(MarDim1)=1,IF(AND(YEAR(MarDim1+1)=AnnéeCalendrier,MONTH(MarDim1+1)=3),MarDim1+1,""),IF(AND(YEAR(MarDim1+8)=AnnéeCalendrier,MONTH(MarDim1+8)=3),MarDim1+8,""))</f>
        <v>46083</v>
      </c>
      <c r="S9" s="5">
        <f>IF(DAY(MarDim1)=1,IF(AND(YEAR(MarDim1+2)=AnnéeCalendrier,MONTH(MarDim1+2)=3),MarDim1+2,""),IF(AND(YEAR(MarDim1+9)=AnnéeCalendrier,MONTH(MarDim1+9)=3),MarDim1+9,""))</f>
        <v>46084</v>
      </c>
      <c r="T9" s="5">
        <f>IF(DAY(MarDim1)=1,IF(AND(YEAR(MarDim1+3)=AnnéeCalendrier,MONTH(MarDim1+3)=3),MarDim1+3,""),IF(AND(YEAR(MarDim1+10)=AnnéeCalendrier,MONTH(MarDim1+10)=3),MarDim1+10,""))</f>
        <v>46085</v>
      </c>
      <c r="U9" s="5">
        <f>IF(DAY(MarDim1)=1,IF(AND(YEAR(MarDim1+4)=AnnéeCalendrier,MONTH(MarDim1+4)=3),MarDim1+4,""),IF(AND(YEAR(MarDim1+11)=AnnéeCalendrier,MONTH(MarDim1+11)=3),MarDim1+11,""))</f>
        <v>46086</v>
      </c>
      <c r="V9" s="5">
        <f>IF(DAY(MarDim1)=1,IF(AND(YEAR(MarDim1+5)=AnnéeCalendrier,MONTH(MarDim1+5)=3),MarDim1+5,""),IF(AND(YEAR(MarDim1+12)=AnnéeCalendrier,MONTH(MarDim1+12)=3),MarDim1+12,""))</f>
        <v>46087</v>
      </c>
      <c r="W9" s="5">
        <f>IF(DAY(MarDim1)=1,IF(AND(YEAR(MarDim1+6)=AnnéeCalendrier,MONTH(MarDim1+6)=3),MarDim1+6,""),IF(AND(YEAR(MarDim1+13)=AnnéeCalendrier,MONTH(MarDim1+13)=3),MarDim1+13,""))</f>
        <v>46088</v>
      </c>
      <c r="X9" s="5">
        <f>IF(DAY(MarDim1)=1,IF(AND(YEAR(MarDim1+7)=AnnéeCalendrier,MONTH(MarDim1+7)=3),MarDim1+7,""),IF(AND(YEAR(MarDim1+14)=AnnéeCalendrier,MONTH(MarDim1+14)=3),MarDim1+14,""))</f>
        <v>46089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46034</v>
      </c>
      <c r="C10" s="5">
        <f>IF(DAY(JanDim1)=1,IF(AND(YEAR(JanDim1+9)=AnnéeCalendrier,MONTH(JanDim1+9)=1),JanDim1+9,""),IF(AND(YEAR(JanDim1+16)=AnnéeCalendrier,MONTH(JanDim1+16)=1),JanDim1+16,""))</f>
        <v>46035</v>
      </c>
      <c r="D10" s="5">
        <f>IF(DAY(JanDim1)=1,IF(AND(YEAR(JanDim1+10)=AnnéeCalendrier,MONTH(JanDim1+10)=1),JanDim1+10,""),IF(AND(YEAR(JanDim1+17)=AnnéeCalendrier,MONTH(JanDim1+17)=1),JanDim1+17,""))</f>
        <v>46036</v>
      </c>
      <c r="E10" s="5">
        <f>IF(DAY(JanDim1)=1,IF(AND(YEAR(JanDim1+11)=AnnéeCalendrier,MONTH(JanDim1+11)=1),JanDim1+11,""),IF(AND(YEAR(JanDim1+18)=AnnéeCalendrier,MONTH(JanDim1+18)=1),JanDim1+18,""))</f>
        <v>46037</v>
      </c>
      <c r="F10" s="5">
        <f>IF(DAY(JanDim1)=1,IF(AND(YEAR(JanDim1+12)=AnnéeCalendrier,MONTH(JanDim1+12)=1),JanDim1+12,""),IF(AND(YEAR(JanDim1+19)=AnnéeCalendrier,MONTH(JanDim1+19)=1),JanDim1+19,""))</f>
        <v>46038</v>
      </c>
      <c r="G10" s="5">
        <f>IF(DAY(JanDim1)=1,IF(AND(YEAR(JanDim1+13)=AnnéeCalendrier,MONTH(JanDim1+13)=1),JanDim1+13,""),IF(AND(YEAR(JanDim1+20)=AnnéeCalendrier,MONTH(JanDim1+20)=1),JanDim1+20,""))</f>
        <v>46039</v>
      </c>
      <c r="H10" s="5">
        <f>IF(DAY(JanDim1)=1,IF(AND(YEAR(JanDim1+14)=AnnéeCalendrier,MONTH(JanDim1+14)=1),JanDim1+14,""),IF(AND(YEAR(JanDim1+21)=AnnéeCalendrier,MONTH(JanDim1+21)=1),JanDim1+21,""))</f>
        <v>46040</v>
      </c>
      <c r="I10" s="4"/>
      <c r="J10" s="5">
        <f>IF(DAY(FévDim1)=1,IF(AND(YEAR(FévDim1+8)=AnnéeCalendrier,MONTH(FévDim1+8)=2),FévDim1+8,""),IF(AND(YEAR(FévDim1+15)=AnnéeCalendrier,MONTH(FévDim1+15)=2),FévDim1+15,""))</f>
        <v>46062</v>
      </c>
      <c r="K10" s="5">
        <f>IF(DAY(FévDim1)=1,IF(AND(YEAR(FévDim1+9)=AnnéeCalendrier,MONTH(FévDim1+9)=2),FévDim1+9,""),IF(AND(YEAR(FévDim1+16)=AnnéeCalendrier,MONTH(FévDim1+16)=2),FévDim1+16,""))</f>
        <v>46063</v>
      </c>
      <c r="L10" s="5">
        <f>IF(DAY(FévDim1)=1,IF(AND(YEAR(FévDim1+10)=AnnéeCalendrier,MONTH(FévDim1+10)=2),FévDim1+10,""),IF(AND(YEAR(FévDim1+17)=AnnéeCalendrier,MONTH(FévDim1+17)=2),FévDim1+17,""))</f>
        <v>46064</v>
      </c>
      <c r="M10" s="5">
        <f>IF(DAY(FévDim1)=1,IF(AND(YEAR(FévDim1+11)=AnnéeCalendrier,MONTH(FévDim1+11)=2),FévDim1+11,""),IF(AND(YEAR(FévDim1+18)=AnnéeCalendrier,MONTH(FévDim1+18)=2),FévDim1+18,""))</f>
        <v>46065</v>
      </c>
      <c r="N10" s="5">
        <f>IF(DAY(FévDim1)=1,IF(AND(YEAR(FévDim1+12)=AnnéeCalendrier,MONTH(FévDim1+12)=2),FévDim1+12,""),IF(AND(YEAR(FévDim1+19)=AnnéeCalendrier,MONTH(FévDim1+19)=2),FévDim1+19,""))</f>
        <v>46066</v>
      </c>
      <c r="O10" s="5">
        <f>IF(DAY(FévDim1)=1,IF(AND(YEAR(FévDim1+13)=AnnéeCalendrier,MONTH(FévDim1+13)=2),FévDim1+13,""),IF(AND(YEAR(FévDim1+20)=AnnéeCalendrier,MONTH(FévDim1+20)=2),FévDim1+20,""))</f>
        <v>46067</v>
      </c>
      <c r="P10" s="5">
        <f>IF(DAY(FévDim1)=1,IF(AND(YEAR(FévDim1+14)=AnnéeCalendrier,MONTH(FévDim1+14)=2),FévDim1+14,""),IF(AND(YEAR(FévDim1+21)=AnnéeCalendrier,MONTH(FévDim1+21)=2),FévDim1+21,""))</f>
        <v>46068</v>
      </c>
      <c r="Q10" s="4"/>
      <c r="R10" s="5">
        <f>IF(DAY(MarDim1)=1,IF(AND(YEAR(MarDim1+8)=AnnéeCalendrier,MONTH(MarDim1+8)=3),MarDim1+8,""),IF(AND(YEAR(MarDim1+15)=AnnéeCalendrier,MONTH(MarDim1+15)=3),MarDim1+15,""))</f>
        <v>46090</v>
      </c>
      <c r="S10" s="5">
        <f>IF(DAY(MarDim1)=1,IF(AND(YEAR(MarDim1+9)=AnnéeCalendrier,MONTH(MarDim1+9)=3),MarDim1+9,""),IF(AND(YEAR(MarDim1+16)=AnnéeCalendrier,MONTH(MarDim1+16)=3),MarDim1+16,""))</f>
        <v>46091</v>
      </c>
      <c r="T10" s="5">
        <f>IF(DAY(MarDim1)=1,IF(AND(YEAR(MarDim1+10)=AnnéeCalendrier,MONTH(MarDim1+10)=3),MarDim1+10,""),IF(AND(YEAR(MarDim1+17)=AnnéeCalendrier,MONTH(MarDim1+17)=3),MarDim1+17,""))</f>
        <v>46092</v>
      </c>
      <c r="U10" s="5">
        <f>IF(DAY(MarDim1)=1,IF(AND(YEAR(MarDim1+11)=AnnéeCalendrier,MONTH(MarDim1+11)=3),MarDim1+11,""),IF(AND(YEAR(MarDim1+18)=AnnéeCalendrier,MONTH(MarDim1+18)=3),MarDim1+18,""))</f>
        <v>46093</v>
      </c>
      <c r="V10" s="5">
        <f>IF(DAY(MarDim1)=1,IF(AND(YEAR(MarDim1+12)=AnnéeCalendrier,MONTH(MarDim1+12)=3),MarDim1+12,""),IF(AND(YEAR(MarDim1+19)=AnnéeCalendrier,MONTH(MarDim1+19)=3),MarDim1+19,""))</f>
        <v>46094</v>
      </c>
      <c r="W10" s="5">
        <f>IF(DAY(MarDim1)=1,IF(AND(YEAR(MarDim1+13)=AnnéeCalendrier,MONTH(MarDim1+13)=3),MarDim1+13,""),IF(AND(YEAR(MarDim1+20)=AnnéeCalendrier,MONTH(MarDim1+20)=3),MarDim1+20,""))</f>
        <v>46095</v>
      </c>
      <c r="X10" s="5">
        <f>IF(DAY(MarDim1)=1,IF(AND(YEAR(MarDim1+14)=AnnéeCalendrier,MONTH(MarDim1+14)=3),MarDim1+14,""),IF(AND(YEAR(MarDim1+21)=AnnéeCalendrier,MONTH(MarDim1+21)=3),MarDim1+21,""))</f>
        <v>46096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46041</v>
      </c>
      <c r="C11" s="5">
        <f>IF(DAY(JanDim1)=1,IF(AND(YEAR(JanDim1+16)=AnnéeCalendrier,MONTH(JanDim1+16)=1),JanDim1+16,""),IF(AND(YEAR(JanDim1+23)=AnnéeCalendrier,MONTH(JanDim1+23)=1),JanDim1+23,""))</f>
        <v>46042</v>
      </c>
      <c r="D11" s="5">
        <f>IF(DAY(JanDim1)=1,IF(AND(YEAR(JanDim1+17)=AnnéeCalendrier,MONTH(JanDim1+17)=1),JanDim1+17,""),IF(AND(YEAR(JanDim1+24)=AnnéeCalendrier,MONTH(JanDim1+24)=1),JanDim1+24,""))</f>
        <v>46043</v>
      </c>
      <c r="E11" s="5">
        <f>IF(DAY(JanDim1)=1,IF(AND(YEAR(JanDim1+18)=AnnéeCalendrier,MONTH(JanDim1+18)=1),JanDim1+18,""),IF(AND(YEAR(JanDim1+25)=AnnéeCalendrier,MONTH(JanDim1+25)=1),JanDim1+25,""))</f>
        <v>46044</v>
      </c>
      <c r="F11" s="5">
        <f>IF(DAY(JanDim1)=1,IF(AND(YEAR(JanDim1+19)=AnnéeCalendrier,MONTH(JanDim1+19)=1),JanDim1+19,""),IF(AND(YEAR(JanDim1+26)=AnnéeCalendrier,MONTH(JanDim1+26)=1),JanDim1+26,""))</f>
        <v>46045</v>
      </c>
      <c r="G11" s="5">
        <f>IF(DAY(JanDim1)=1,IF(AND(YEAR(JanDim1+20)=AnnéeCalendrier,MONTH(JanDim1+20)=1),JanDim1+20,""),IF(AND(YEAR(JanDim1+27)=AnnéeCalendrier,MONTH(JanDim1+27)=1),JanDim1+27,""))</f>
        <v>46046</v>
      </c>
      <c r="H11" s="5">
        <f>IF(DAY(JanDim1)=1,IF(AND(YEAR(JanDim1+21)=AnnéeCalendrier,MONTH(JanDim1+21)=1),JanDim1+21,""),IF(AND(YEAR(JanDim1+28)=AnnéeCalendrier,MONTH(JanDim1+28)=1),JanDim1+28,""))</f>
        <v>46047</v>
      </c>
      <c r="I11" s="4"/>
      <c r="J11" s="5">
        <f>IF(DAY(FévDim1)=1,IF(AND(YEAR(FévDim1+15)=AnnéeCalendrier,MONTH(FévDim1+15)=2),FévDim1+15,""),IF(AND(YEAR(FévDim1+22)=AnnéeCalendrier,MONTH(FévDim1+22)=2),FévDim1+22,""))</f>
        <v>46069</v>
      </c>
      <c r="K11" s="5">
        <f>IF(DAY(FévDim1)=1,IF(AND(YEAR(FévDim1+16)=AnnéeCalendrier,MONTH(FévDim1+16)=2),FévDim1+16,""),IF(AND(YEAR(FévDim1+23)=AnnéeCalendrier,MONTH(FévDim1+23)=2),FévDim1+23,""))</f>
        <v>46070</v>
      </c>
      <c r="L11" s="5">
        <f>IF(DAY(FévDim1)=1,IF(AND(YEAR(FévDim1+17)=AnnéeCalendrier,MONTH(FévDim1+17)=2),FévDim1+17,""),IF(AND(YEAR(FévDim1+24)=AnnéeCalendrier,MONTH(FévDim1+24)=2),FévDim1+24,""))</f>
        <v>46071</v>
      </c>
      <c r="M11" s="5">
        <f>IF(DAY(FévDim1)=1,IF(AND(YEAR(FévDim1+18)=AnnéeCalendrier,MONTH(FévDim1+18)=2),FévDim1+18,""),IF(AND(YEAR(FévDim1+25)=AnnéeCalendrier,MONTH(FévDim1+25)=2),FévDim1+25,""))</f>
        <v>46072</v>
      </c>
      <c r="N11" s="5">
        <f>IF(DAY(FévDim1)=1,IF(AND(YEAR(FévDim1+19)=AnnéeCalendrier,MONTH(FévDim1+19)=2),FévDim1+19,""),IF(AND(YEAR(FévDim1+26)=AnnéeCalendrier,MONTH(FévDim1+26)=2),FévDim1+26,""))</f>
        <v>46073</v>
      </c>
      <c r="O11" s="5">
        <f>IF(DAY(FévDim1)=1,IF(AND(YEAR(FévDim1+20)=AnnéeCalendrier,MONTH(FévDim1+20)=2),FévDim1+20,""),IF(AND(YEAR(FévDim1+27)=AnnéeCalendrier,MONTH(FévDim1+27)=2),FévDim1+27,""))</f>
        <v>46074</v>
      </c>
      <c r="P11" s="5">
        <f>IF(DAY(FévDim1)=1,IF(AND(YEAR(FévDim1+21)=AnnéeCalendrier,MONTH(FévDim1+21)=2),FévDim1+21,""),IF(AND(YEAR(FévDim1+28)=AnnéeCalendrier,MONTH(FévDim1+28)=2),FévDim1+28,""))</f>
        <v>46075</v>
      </c>
      <c r="Q11" s="4"/>
      <c r="R11" s="5">
        <f>IF(DAY(MarDim1)=1,IF(AND(YEAR(MarDim1+15)=AnnéeCalendrier,MONTH(MarDim1+15)=3),MarDim1+15,""),IF(AND(YEAR(MarDim1+22)=AnnéeCalendrier,MONTH(MarDim1+22)=3),MarDim1+22,""))</f>
        <v>46097</v>
      </c>
      <c r="S11" s="5">
        <f>IF(DAY(MarDim1)=1,IF(AND(YEAR(MarDim1+16)=AnnéeCalendrier,MONTH(MarDim1+16)=3),MarDim1+16,""),IF(AND(YEAR(MarDim1+23)=AnnéeCalendrier,MONTH(MarDim1+23)=3),MarDim1+23,""))</f>
        <v>46098</v>
      </c>
      <c r="T11" s="5">
        <f>IF(DAY(MarDim1)=1,IF(AND(YEAR(MarDim1+17)=AnnéeCalendrier,MONTH(MarDim1+17)=3),MarDim1+17,""),IF(AND(YEAR(MarDim1+24)=AnnéeCalendrier,MONTH(MarDim1+24)=3),MarDim1+24,""))</f>
        <v>46099</v>
      </c>
      <c r="U11" s="5">
        <f>IF(DAY(MarDim1)=1,IF(AND(YEAR(MarDim1+18)=AnnéeCalendrier,MONTH(MarDim1+18)=3),MarDim1+18,""),IF(AND(YEAR(MarDim1+25)=AnnéeCalendrier,MONTH(MarDim1+25)=3),MarDim1+25,""))</f>
        <v>46100</v>
      </c>
      <c r="V11" s="5">
        <f>IF(DAY(MarDim1)=1,IF(AND(YEAR(MarDim1+19)=AnnéeCalendrier,MONTH(MarDim1+19)=3),MarDim1+19,""),IF(AND(YEAR(MarDim1+26)=AnnéeCalendrier,MONTH(MarDim1+26)=3),MarDim1+26,""))</f>
        <v>46101</v>
      </c>
      <c r="W11" s="5">
        <f>IF(DAY(MarDim1)=1,IF(AND(YEAR(MarDim1+20)=AnnéeCalendrier,MONTH(MarDim1+20)=3),MarDim1+20,""),IF(AND(YEAR(MarDim1+27)=AnnéeCalendrier,MONTH(MarDim1+27)=3),MarDim1+27,""))</f>
        <v>46102</v>
      </c>
      <c r="X11" s="5">
        <f>IF(DAY(MarDim1)=1,IF(AND(YEAR(MarDim1+21)=AnnéeCalendrier,MONTH(MarDim1+21)=3),MarDim1+21,""),IF(AND(YEAR(MarDim1+28)=AnnéeCalendrier,MONTH(MarDim1+28)=3),MarDim1+28,""))</f>
        <v>46103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46048</v>
      </c>
      <c r="C12" s="5">
        <f>IF(DAY(JanDim1)=1,IF(AND(YEAR(JanDim1+23)=AnnéeCalendrier,MONTH(JanDim1+23)=1),JanDim1+23,""),IF(AND(YEAR(JanDim1+30)=AnnéeCalendrier,MONTH(JanDim1+30)=1),JanDim1+30,""))</f>
        <v>46049</v>
      </c>
      <c r="D12" s="5">
        <f>IF(DAY(JanDim1)=1,IF(AND(YEAR(JanDim1+24)=AnnéeCalendrier,MONTH(JanDim1+24)=1),JanDim1+24,""),IF(AND(YEAR(JanDim1+31)=AnnéeCalendrier,MONTH(JanDim1+31)=1),JanDim1+31,""))</f>
        <v>46050</v>
      </c>
      <c r="E12" s="5">
        <f>IF(DAY(JanDim1)=1,IF(AND(YEAR(JanDim1+25)=AnnéeCalendrier,MONTH(JanDim1+25)=1),JanDim1+25,""),IF(AND(YEAR(JanDim1+32)=AnnéeCalendrier,MONTH(JanDim1+32)=1),JanDim1+32,""))</f>
        <v>46051</v>
      </c>
      <c r="F12" s="5">
        <f>IF(DAY(JanDim1)=1,IF(AND(YEAR(JanDim1+26)=AnnéeCalendrier,MONTH(JanDim1+26)=1),JanDim1+26,""),IF(AND(YEAR(JanDim1+33)=AnnéeCalendrier,MONTH(JanDim1+33)=1),JanDim1+33,""))</f>
        <v>46052</v>
      </c>
      <c r="G12" s="5">
        <f>IF(DAY(JanDim1)=1,IF(AND(YEAR(JanDim1+27)=AnnéeCalendrier,MONTH(JanDim1+27)=1),JanDim1+27,""),IF(AND(YEAR(JanDim1+34)=AnnéeCalendrier,MONTH(JanDim1+34)=1),JanDim1+34,""))</f>
        <v>46053</v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46076</v>
      </c>
      <c r="K12" s="5">
        <f>IF(DAY(FévDim1)=1,IF(AND(YEAR(FévDim1+23)=AnnéeCalendrier,MONTH(FévDim1+23)=2),FévDim1+23,""),IF(AND(YEAR(FévDim1+30)=AnnéeCalendrier,MONTH(FévDim1+30)=2),FévDim1+30,""))</f>
        <v>46077</v>
      </c>
      <c r="L12" s="5">
        <f>IF(DAY(FévDim1)=1,IF(AND(YEAR(FévDim1+24)=AnnéeCalendrier,MONTH(FévDim1+24)=2),FévDim1+24,""),IF(AND(YEAR(FévDim1+31)=AnnéeCalendrier,MONTH(FévDim1+31)=2),FévDim1+31,""))</f>
        <v>46078</v>
      </c>
      <c r="M12" s="5">
        <f>IF(DAY(FévDim1)=1,IF(AND(YEAR(FévDim1+25)=AnnéeCalendrier,MONTH(FévDim1+25)=2),FévDim1+25,""),IF(AND(YEAR(FévDim1+32)=AnnéeCalendrier,MONTH(FévDim1+32)=2),FévDim1+32,""))</f>
        <v>46079</v>
      </c>
      <c r="N12" s="5">
        <f>IF(DAY(FévDim1)=1,IF(AND(YEAR(FévDim1+26)=AnnéeCalendrier,MONTH(FévDim1+26)=2),FévDim1+26,""),IF(AND(YEAR(FévDim1+33)=AnnéeCalendrier,MONTH(FévDim1+33)=2),FévDim1+33,""))</f>
        <v>46080</v>
      </c>
      <c r="O12" s="5">
        <f>IF(DAY(FévDim1)=1,IF(AND(YEAR(FévDim1+27)=AnnéeCalendrier,MONTH(FévDim1+27)=2),FévDim1+27,""),IF(AND(YEAR(FévDim1+34)=AnnéeCalendrier,MONTH(FévDim1+34)=2),FévDim1+34,""))</f>
        <v>46081</v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46104</v>
      </c>
      <c r="S12" s="5">
        <f>IF(DAY(MarDim1)=1,IF(AND(YEAR(MarDim1+23)=AnnéeCalendrier,MONTH(MarDim1+23)=3),MarDim1+23,""),IF(AND(YEAR(MarDim1+30)=AnnéeCalendrier,MONTH(MarDim1+30)=3),MarDim1+30,""))</f>
        <v>46105</v>
      </c>
      <c r="T12" s="5">
        <f>IF(DAY(MarDim1)=1,IF(AND(YEAR(MarDim1+24)=AnnéeCalendrier,MONTH(MarDim1+24)=3),MarDim1+24,""),IF(AND(YEAR(MarDim1+31)=AnnéeCalendrier,MONTH(MarDim1+31)=3),MarDim1+31,""))</f>
        <v>46106</v>
      </c>
      <c r="U12" s="5">
        <f>IF(DAY(MarDim1)=1,IF(AND(YEAR(MarDim1+25)=AnnéeCalendrier,MONTH(MarDim1+25)=3),MarDim1+25,""),IF(AND(YEAR(MarDim1+32)=AnnéeCalendrier,MONTH(MarDim1+32)=3),MarDim1+32,""))</f>
        <v>46107</v>
      </c>
      <c r="V12" s="5">
        <f>IF(DAY(MarDim1)=1,IF(AND(YEAR(MarDim1+26)=AnnéeCalendrier,MONTH(MarDim1+26)=3),MarDim1+26,""),IF(AND(YEAR(MarDim1+33)=AnnéeCalendrier,MONTH(MarDim1+33)=3),MarDim1+33,""))</f>
        <v>46108</v>
      </c>
      <c r="W12" s="5">
        <f>IF(DAY(MarDim1)=1,IF(AND(YEAR(MarDim1+27)=AnnéeCalendrier,MONTH(MarDim1+27)=3),MarDim1+27,""),IF(AND(YEAR(MarDim1+34)=AnnéeCalendrier,MONTH(MarDim1+34)=3),MarDim1+34,""))</f>
        <v>46109</v>
      </c>
      <c r="X12" s="5">
        <f>IF(DAY(MarDim1)=1,IF(AND(YEAR(MarDim1+28)=AnnéeCalendrier,MONTH(MarDim1+28)=3),MarDim1+28,""),IF(AND(YEAR(MarDim1+35)=AnnéeCalendrier,MONTH(MarDim1+35)=3),MarDim1+35,""))</f>
        <v>46110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>
        <f>IF(DAY(MarDim1)=1,IF(AND(YEAR(MarDim1+29)=AnnéeCalendrier,MONTH(MarDim1+29)=3),MarDim1+29,""),IF(AND(YEAR(MarDim1+36)=AnnéeCalendrier,MONTH(MarDim1+36)=3),MarDim1+36,""))</f>
        <v>46111</v>
      </c>
      <c r="S13" s="5">
        <f>IF(DAY(MarDim1)=1,IF(AND(YEAR(MarDim1+30)=AnnéeCalendrier,MONTH(MarDim1+30)=3),MarDim1+30,""),IF(AND(YEAR(MarDim1+37)=AnnéeCalendrier,MONTH(MarDim1+37)=3),MarDim1+37,""))</f>
        <v>46112</v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>
        <f>IF(DAY(AvrDim1)=1,"",IF(AND(YEAR(AvrDim1+3)=AnnéeCalendrier,MONTH(AvrDim1+3)=4),AvrDim1+3,""))</f>
        <v>46113</v>
      </c>
      <c r="E17" s="5">
        <f>IF(DAY(AvrDim1)=1,"",IF(AND(YEAR(AvrDim1+4)=AnnéeCalendrier,MONTH(AvrDim1+4)=4),AvrDim1+4,""))</f>
        <v>46114</v>
      </c>
      <c r="F17" s="5">
        <f>IF(DAY(AvrDim1)=1,"",IF(AND(YEAR(AvrDim1+5)=AnnéeCalendrier,MONTH(AvrDim1+5)=4),AvrDim1+5,""))</f>
        <v>46115</v>
      </c>
      <c r="G17" s="5">
        <f>IF(DAY(AvrDim1)=1,"",IF(AND(YEAR(AvrDim1+6)=AnnéeCalendrier,MONTH(AvrDim1+6)=4),AvrDim1+6,""))</f>
        <v>46116</v>
      </c>
      <c r="H17" s="7">
        <f>IF(DAY(AvrDim1)=1,IF(AND(YEAR(AvrDim1)=AnnéeCalendrier,MONTH(AvrDim1)=4),AvrDim1,""),IF(AND(YEAR(AvrDim1+7)=AnnéeCalendrier,MONTH(AvrDim1+7)=4),AvrDim1+7,""))</f>
        <v>46117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>
        <f>IF(DAY(MaiDim1)=1,"",IF(AND(YEAR(MaiDim1+5)=AnnéeCalendrier,MONTH(MaiDim1+5)=5),MaiDim1+5,""))</f>
        <v>46143</v>
      </c>
      <c r="O17" s="5">
        <f>IF(DAY(MaiDim1)=1,"",IF(AND(YEAR(MaiDim1+6)=AnnéeCalendrier,MONTH(MaiDim1+6)=5),MaiDim1+6,""))</f>
        <v>46144</v>
      </c>
      <c r="P17" s="7">
        <f>IF(DAY(MaiDim1)=1,IF(AND(YEAR(MaiDim1)=AnnéeCalendrier,MONTH(MaiDim1)=5),MaiDim1,""),IF(AND(YEAR(MaiDim1+7)=AnnéeCalendrier,MONTH(MaiDim1+7)=5),MaiDim1+7,""))</f>
        <v>46145</v>
      </c>
      <c r="Q17" s="4"/>
      <c r="R17" s="6">
        <f>IF(DAY(JunDim1)=1,"",IF(AND(YEAR(JunDim1+1)=AnnéeCalendrier,MONTH(JunDim1+1)=6),JunDim1+1,""))</f>
        <v>46174</v>
      </c>
      <c r="S17" s="5">
        <f>IF(DAY(JunDim1)=1,"",IF(AND(YEAR(JunDim1+2)=AnnéeCalendrier,MONTH(JunDim1+2)=6),JunDim1+2,""))</f>
        <v>46175</v>
      </c>
      <c r="T17" s="5">
        <f>IF(DAY(JunDim1)=1,"",IF(AND(YEAR(JunDim1+3)=AnnéeCalendrier,MONTH(JunDim1+3)=6),JunDim1+3,""))</f>
        <v>46176</v>
      </c>
      <c r="U17" s="5">
        <f>IF(DAY(JunDim1)=1,"",IF(AND(YEAR(JunDim1+4)=AnnéeCalendrier,MONTH(JunDim1+4)=6),JunDim1+4,""))</f>
        <v>46177</v>
      </c>
      <c r="V17" s="5">
        <f>IF(DAY(JunDim1)=1,"",IF(AND(YEAR(JunDim1+5)=AnnéeCalendrier,MONTH(JunDim1+5)=6),JunDim1+5,""))</f>
        <v>46178</v>
      </c>
      <c r="W17" s="5">
        <f>IF(DAY(JunDim1)=1,"",IF(AND(YEAR(JunDim1+6)=AnnéeCalendrier,MONTH(JunDim1+6)=6),JunDim1+6,""))</f>
        <v>46179</v>
      </c>
      <c r="X17" s="7">
        <f>IF(DAY(JunDim1)=1,IF(AND(YEAR(JunDim1)=AnnéeCalendrier,MONTH(JunDim1)=6),JunDim1,""),IF(AND(YEAR(JunDim1+7)=AnnéeCalendrier,MONTH(JunDim1+7)=6),JunDim1+7,""))</f>
        <v>46180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46118</v>
      </c>
      <c r="C18" s="5">
        <f>IF(DAY(AvrDim1)=1,IF(AND(YEAR(AvrDim1+2)=AnnéeCalendrier,MONTH(AvrDim1+2)=4),AvrDim1+2,""),IF(AND(YEAR(AvrDim1+9)=AnnéeCalendrier,MONTH(AvrDim1+9)=4),AvrDim1+9,""))</f>
        <v>46119</v>
      </c>
      <c r="D18" s="5">
        <f>IF(DAY(AvrDim1)=1,IF(AND(YEAR(AvrDim1+3)=AnnéeCalendrier,MONTH(AvrDim1+3)=4),AvrDim1+3,""),IF(AND(YEAR(AvrDim1+10)=AnnéeCalendrier,MONTH(AvrDim1+10)=4),AvrDim1+10,""))</f>
        <v>46120</v>
      </c>
      <c r="E18" s="5">
        <f>IF(DAY(AvrDim1)=1,IF(AND(YEAR(AvrDim1+4)=AnnéeCalendrier,MONTH(AvrDim1+4)=4),AvrDim1+4,""),IF(AND(YEAR(AvrDim1+11)=AnnéeCalendrier,MONTH(AvrDim1+11)=4),AvrDim1+11,""))</f>
        <v>46121</v>
      </c>
      <c r="F18" s="5">
        <f>IF(DAY(AvrDim1)=1,IF(AND(YEAR(AvrDim1+5)=AnnéeCalendrier,MONTH(AvrDim1+5)=4),AvrDim1+5,""),IF(AND(YEAR(AvrDim1+12)=AnnéeCalendrier,MONTH(AvrDim1+12)=4),AvrDim1+12,""))</f>
        <v>46122</v>
      </c>
      <c r="G18" s="5">
        <f>IF(DAY(AvrDim1)=1,IF(AND(YEAR(AvrDim1+6)=AnnéeCalendrier,MONTH(AvrDim1+6)=4),AvrDim1+6,""),IF(AND(YEAR(AvrDim1+13)=AnnéeCalendrier,MONTH(AvrDim1+13)=4),AvrDim1+13,""))</f>
        <v>46123</v>
      </c>
      <c r="H18" s="7">
        <f>IF(DAY(AvrDim1)=1,IF(AND(YEAR(AvrDim1+7)=AnnéeCalendrier,MONTH(AvrDim1+7)=4),AvrDim1+7,""),IF(AND(YEAR(AvrDim1+14)=AnnéeCalendrier,MONTH(AvrDim1+14)=4),AvrDim1+14,""))</f>
        <v>46124</v>
      </c>
      <c r="I18" s="4"/>
      <c r="J18" s="6">
        <f>IF(DAY(MaiDim1)=1,IF(AND(YEAR(MaiDim1+1)=AnnéeCalendrier,MONTH(MaiDim1+1)=5),MaiDim1+1,""),IF(AND(YEAR(MaiDim1+8)=AnnéeCalendrier,MONTH(MaiDim1+8)=5),MaiDim1+8,""))</f>
        <v>46146</v>
      </c>
      <c r="K18" s="5">
        <f>IF(DAY(MaiDim1)=1,IF(AND(YEAR(MaiDim1+2)=AnnéeCalendrier,MONTH(MaiDim1+2)=5),MaiDim1+2,""),IF(AND(YEAR(MaiDim1+9)=AnnéeCalendrier,MONTH(MaiDim1+9)=5),MaiDim1+9,""))</f>
        <v>46147</v>
      </c>
      <c r="L18" s="5">
        <f>IF(DAY(MaiDim1)=1,IF(AND(YEAR(MaiDim1+3)=AnnéeCalendrier,MONTH(MaiDim1+3)=5),MaiDim1+3,""),IF(AND(YEAR(MaiDim1+10)=AnnéeCalendrier,MONTH(MaiDim1+10)=5),MaiDim1+10,""))</f>
        <v>46148</v>
      </c>
      <c r="M18" s="5">
        <f>IF(DAY(MaiDim1)=1,IF(AND(YEAR(MaiDim1+4)=AnnéeCalendrier,MONTH(MaiDim1+4)=5),MaiDim1+4,""),IF(AND(YEAR(MaiDim1+11)=AnnéeCalendrier,MONTH(MaiDim1+11)=5),MaiDim1+11,""))</f>
        <v>46149</v>
      </c>
      <c r="N18" s="5">
        <f>IF(DAY(MaiDim1)=1,IF(AND(YEAR(MaiDim1+5)=AnnéeCalendrier,MONTH(MaiDim1+5)=5),MaiDim1+5,""),IF(AND(YEAR(MaiDim1+12)=AnnéeCalendrier,MONTH(MaiDim1+12)=5),MaiDim1+12,""))</f>
        <v>46150</v>
      </c>
      <c r="O18" s="5">
        <f>IF(DAY(MaiDim1)=1,IF(AND(YEAR(MaiDim1+6)=AnnéeCalendrier,MONTH(MaiDim1+6)=5),MaiDim1+6,""),IF(AND(YEAR(MaiDim1+13)=AnnéeCalendrier,MONTH(MaiDim1+13)=5),MaiDim1+13,""))</f>
        <v>46151</v>
      </c>
      <c r="P18" s="7">
        <f>IF(DAY(MaiDim1)=1,IF(AND(YEAR(MaiDim1+7)=AnnéeCalendrier,MONTH(MaiDim1+7)=5),MaiDim1+7,""),IF(AND(YEAR(MaiDim1+14)=AnnéeCalendrier,MONTH(MaiDim1+14)=5),MaiDim1+14,""))</f>
        <v>46152</v>
      </c>
      <c r="Q18" s="4"/>
      <c r="R18" s="6">
        <f>IF(DAY(JunDim1)=1,IF(AND(YEAR(JunDim1+1)=AnnéeCalendrier,MONTH(JunDim1+1)=6),JunDim1+1,""),IF(AND(YEAR(JunDim1+8)=AnnéeCalendrier,MONTH(JunDim1+8)=6),JunDim1+8,""))</f>
        <v>46181</v>
      </c>
      <c r="S18" s="5">
        <f>IF(DAY(JunDim1)=1,IF(AND(YEAR(JunDim1+2)=AnnéeCalendrier,MONTH(JunDim1+2)=6),JunDim1+2,""),IF(AND(YEAR(JunDim1+9)=AnnéeCalendrier,MONTH(JunDim1+9)=6),JunDim1+9,""))</f>
        <v>46182</v>
      </c>
      <c r="T18" s="5">
        <f>IF(DAY(JunDim1)=1,IF(AND(YEAR(JunDim1+3)=AnnéeCalendrier,MONTH(JunDim1+3)=6),JunDim1+3,""),IF(AND(YEAR(JunDim1+10)=AnnéeCalendrier,MONTH(JunDim1+10)=6),JunDim1+10,""))</f>
        <v>46183</v>
      </c>
      <c r="U18" s="5">
        <f>IF(DAY(JunDim1)=1,IF(AND(YEAR(JunDim1+4)=AnnéeCalendrier,MONTH(JunDim1+4)=6),JunDim1+4,""),IF(AND(YEAR(JunDim1+11)=AnnéeCalendrier,MONTH(JunDim1+11)=6),JunDim1+11,""))</f>
        <v>46184</v>
      </c>
      <c r="V18" s="5">
        <f>IF(DAY(JunDim1)=1,IF(AND(YEAR(JunDim1+5)=AnnéeCalendrier,MONTH(JunDim1+5)=6),JunDim1+5,""),IF(AND(YEAR(JunDim1+12)=AnnéeCalendrier,MONTH(JunDim1+12)=6),JunDim1+12,""))</f>
        <v>46185</v>
      </c>
      <c r="W18" s="5">
        <f>IF(DAY(JunDim1)=1,IF(AND(YEAR(JunDim1+6)=AnnéeCalendrier,MONTH(JunDim1+6)=6),JunDim1+6,""),IF(AND(YEAR(JunDim1+13)=AnnéeCalendrier,MONTH(JunDim1+13)=6),JunDim1+13,""))</f>
        <v>46186</v>
      </c>
      <c r="X18" s="7">
        <f>IF(DAY(JunDim1)=1,IF(AND(YEAR(JunDim1+7)=AnnéeCalendrier,MONTH(JunDim1+7)=6),JunDim1+7,""),IF(AND(YEAR(JunDim1+14)=AnnéeCalendrier,MONTH(JunDim1+14)=6),JunDim1+14,""))</f>
        <v>46187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46125</v>
      </c>
      <c r="C19" s="5">
        <f>IF(DAY(AvrDim1)=1,IF(AND(YEAR(AvrDim1+9)=AnnéeCalendrier,MONTH(AvrDim1+9)=4),AvrDim1+9,""),IF(AND(YEAR(AvrDim1+16)=AnnéeCalendrier,MONTH(AvrDim1+16)=4),AvrDim1+16,""))</f>
        <v>46126</v>
      </c>
      <c r="D19" s="5">
        <f>IF(DAY(AvrDim1)=1,IF(AND(YEAR(AvrDim1+10)=AnnéeCalendrier,MONTH(AvrDim1+10)=4),AvrDim1+10,""),IF(AND(YEAR(AvrDim1+17)=AnnéeCalendrier,MONTH(AvrDim1+17)=4),AvrDim1+17,""))</f>
        <v>46127</v>
      </c>
      <c r="E19" s="5">
        <f>IF(DAY(AvrDim1)=1,IF(AND(YEAR(AvrDim1+11)=AnnéeCalendrier,MONTH(AvrDim1+11)=4),AvrDim1+11,""),IF(AND(YEAR(AvrDim1+18)=AnnéeCalendrier,MONTH(AvrDim1+18)=4),AvrDim1+18,""))</f>
        <v>46128</v>
      </c>
      <c r="F19" s="5">
        <f>IF(DAY(AvrDim1)=1,IF(AND(YEAR(AvrDim1+12)=AnnéeCalendrier,MONTH(AvrDim1+12)=4),AvrDim1+12,""),IF(AND(YEAR(AvrDim1+19)=AnnéeCalendrier,MONTH(AvrDim1+19)=4),AvrDim1+19,""))</f>
        <v>46129</v>
      </c>
      <c r="G19" s="5">
        <f>IF(DAY(AvrDim1)=1,IF(AND(YEAR(AvrDim1+13)=AnnéeCalendrier,MONTH(AvrDim1+13)=4),AvrDim1+13,""),IF(AND(YEAR(AvrDim1+20)=AnnéeCalendrier,MONTH(AvrDim1+20)=4),AvrDim1+20,""))</f>
        <v>46130</v>
      </c>
      <c r="H19" s="7">
        <f>IF(DAY(AvrDim1)=1,IF(AND(YEAR(AvrDim1+14)=AnnéeCalendrier,MONTH(AvrDim1+14)=4),AvrDim1+14,""),IF(AND(YEAR(AvrDim1+21)=AnnéeCalendrier,MONTH(AvrDim1+21)=4),AvrDim1+21,""))</f>
        <v>46131</v>
      </c>
      <c r="I19" s="4"/>
      <c r="J19" s="6">
        <f>IF(DAY(MaiDim1)=1,IF(AND(YEAR(MaiDim1+8)=AnnéeCalendrier,MONTH(MaiDim1+8)=5),MaiDim1+8,""),IF(AND(YEAR(MaiDim1+15)=AnnéeCalendrier,MONTH(MaiDim1+15)=5),MaiDim1+15,""))</f>
        <v>46153</v>
      </c>
      <c r="K19" s="5">
        <f>IF(DAY(MaiDim1)=1,IF(AND(YEAR(MaiDim1+9)=AnnéeCalendrier,MONTH(MaiDim1+9)=5),MaiDim1+9,""),IF(AND(YEAR(MaiDim1+16)=AnnéeCalendrier,MONTH(MaiDim1+16)=5),MaiDim1+16,""))</f>
        <v>46154</v>
      </c>
      <c r="L19" s="5">
        <f>IF(DAY(MaiDim1)=1,IF(AND(YEAR(MaiDim1+10)=AnnéeCalendrier,MONTH(MaiDim1+10)=5),MaiDim1+10,""),IF(AND(YEAR(MaiDim1+17)=AnnéeCalendrier,MONTH(MaiDim1+17)=5),MaiDim1+17,""))</f>
        <v>46155</v>
      </c>
      <c r="M19" s="5">
        <f>IF(DAY(MaiDim1)=1,IF(AND(YEAR(MaiDim1+11)=AnnéeCalendrier,MONTH(MaiDim1+11)=5),MaiDim1+11,""),IF(AND(YEAR(MaiDim1+18)=AnnéeCalendrier,MONTH(MaiDim1+18)=5),MaiDim1+18,""))</f>
        <v>46156</v>
      </c>
      <c r="N19" s="5">
        <f>IF(DAY(MaiDim1)=1,IF(AND(YEAR(MaiDim1+12)=AnnéeCalendrier,MONTH(MaiDim1+12)=5),MaiDim1+12,""),IF(AND(YEAR(MaiDim1+19)=AnnéeCalendrier,MONTH(MaiDim1+19)=5),MaiDim1+19,""))</f>
        <v>46157</v>
      </c>
      <c r="O19" s="5">
        <f>IF(DAY(MaiDim1)=1,IF(AND(YEAR(MaiDim1+13)=AnnéeCalendrier,MONTH(MaiDim1+13)=5),MaiDim1+13,""),IF(AND(YEAR(MaiDim1+20)=AnnéeCalendrier,MONTH(MaiDim1+20)=5),MaiDim1+20,""))</f>
        <v>46158</v>
      </c>
      <c r="P19" s="7">
        <f>IF(DAY(MaiDim1)=1,IF(AND(YEAR(MaiDim1+14)=AnnéeCalendrier,MONTH(MaiDim1+14)=5),MaiDim1+14,""),IF(AND(YEAR(MaiDim1+21)=AnnéeCalendrier,MONTH(MaiDim1+21)=5),MaiDim1+21,""))</f>
        <v>46159</v>
      </c>
      <c r="Q19" s="4"/>
      <c r="R19" s="6">
        <f>IF(DAY(JunDim1)=1,IF(AND(YEAR(JunDim1+8)=AnnéeCalendrier,MONTH(JunDim1+8)=6),JunDim1+8,""),IF(AND(YEAR(JunDim1+15)=AnnéeCalendrier,MONTH(JunDim1+15)=6),JunDim1+15,""))</f>
        <v>46188</v>
      </c>
      <c r="S19" s="5">
        <f>IF(DAY(JunDim1)=1,IF(AND(YEAR(JunDim1+9)=AnnéeCalendrier,MONTH(JunDim1+9)=6),JunDim1+9,""),IF(AND(YEAR(JunDim1+16)=AnnéeCalendrier,MONTH(JunDim1+16)=6),JunDim1+16,""))</f>
        <v>46189</v>
      </c>
      <c r="T19" s="5">
        <f>IF(DAY(JunDim1)=1,IF(AND(YEAR(JunDim1+10)=AnnéeCalendrier,MONTH(JunDim1+10)=6),JunDim1+10,""),IF(AND(YEAR(JunDim1+17)=AnnéeCalendrier,MONTH(JunDim1+17)=6),JunDim1+17,""))</f>
        <v>46190</v>
      </c>
      <c r="U19" s="5">
        <f>IF(DAY(JunDim1)=1,IF(AND(YEAR(JunDim1+11)=AnnéeCalendrier,MONTH(JunDim1+11)=6),JunDim1+11,""),IF(AND(YEAR(JunDim1+18)=AnnéeCalendrier,MONTH(JunDim1+18)=6),JunDim1+18,""))</f>
        <v>46191</v>
      </c>
      <c r="V19" s="5">
        <f>IF(DAY(JunDim1)=1,IF(AND(YEAR(JunDim1+12)=AnnéeCalendrier,MONTH(JunDim1+12)=6),JunDim1+12,""),IF(AND(YEAR(JunDim1+19)=AnnéeCalendrier,MONTH(JunDim1+19)=6),JunDim1+19,""))</f>
        <v>46192</v>
      </c>
      <c r="W19" s="5">
        <f>IF(DAY(JunDim1)=1,IF(AND(YEAR(JunDim1+13)=AnnéeCalendrier,MONTH(JunDim1+13)=6),JunDim1+13,""),IF(AND(YEAR(JunDim1+20)=AnnéeCalendrier,MONTH(JunDim1+20)=6),JunDim1+20,""))</f>
        <v>46193</v>
      </c>
      <c r="X19" s="7">
        <f>IF(DAY(JunDim1)=1,IF(AND(YEAR(JunDim1+14)=AnnéeCalendrier,MONTH(JunDim1+14)=6),JunDim1+14,""),IF(AND(YEAR(JunDim1+21)=AnnéeCalendrier,MONTH(JunDim1+21)=6),JunDim1+21,""))</f>
        <v>46194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46132</v>
      </c>
      <c r="C20" s="5">
        <f>IF(DAY(AvrDim1)=1,IF(AND(YEAR(AvrDim1+16)=AnnéeCalendrier,MONTH(AvrDim1+16)=4),AvrDim1+16,""),IF(AND(YEAR(AvrDim1+23)=AnnéeCalendrier,MONTH(AvrDim1+23)=4),AvrDim1+23,""))</f>
        <v>46133</v>
      </c>
      <c r="D20" s="5">
        <f>IF(DAY(AvrDim1)=1,IF(AND(YEAR(AvrDim1+17)=AnnéeCalendrier,MONTH(AvrDim1+17)=4),AvrDim1+17,""),IF(AND(YEAR(AvrDim1+24)=AnnéeCalendrier,MONTH(AvrDim1+24)=4),AvrDim1+24,""))</f>
        <v>46134</v>
      </c>
      <c r="E20" s="5">
        <f>IF(DAY(AvrDim1)=1,IF(AND(YEAR(AvrDim1+18)=AnnéeCalendrier,MONTH(AvrDim1+18)=4),AvrDim1+18,""),IF(AND(YEAR(AvrDim1+25)=AnnéeCalendrier,MONTH(AvrDim1+25)=4),AvrDim1+25,""))</f>
        <v>46135</v>
      </c>
      <c r="F20" s="5">
        <f>IF(DAY(AvrDim1)=1,IF(AND(YEAR(AvrDim1+19)=AnnéeCalendrier,MONTH(AvrDim1+19)=4),AvrDim1+19,""),IF(AND(YEAR(AvrDim1+26)=AnnéeCalendrier,MONTH(AvrDim1+26)=4),AvrDim1+26,""))</f>
        <v>46136</v>
      </c>
      <c r="G20" s="5">
        <f>IF(DAY(AvrDim1)=1,IF(AND(YEAR(AvrDim1+20)=AnnéeCalendrier,MONTH(AvrDim1+20)=4),AvrDim1+20,""),IF(AND(YEAR(AvrDim1+27)=AnnéeCalendrier,MONTH(AvrDim1+27)=4),AvrDim1+27,""))</f>
        <v>46137</v>
      </c>
      <c r="H20" s="7">
        <f>IF(DAY(AvrDim1)=1,IF(AND(YEAR(AvrDim1+21)=AnnéeCalendrier,MONTH(AvrDim1+21)=4),AvrDim1+21,""),IF(AND(YEAR(AvrDim1+28)=AnnéeCalendrier,MONTH(AvrDim1+28)=4),AvrDim1+28,""))</f>
        <v>46138</v>
      </c>
      <c r="I20" s="4"/>
      <c r="J20" s="6">
        <f>IF(DAY(MaiDim1)=1,IF(AND(YEAR(MaiDim1+15)=AnnéeCalendrier,MONTH(MaiDim1+15)=5),MaiDim1+15,""),IF(AND(YEAR(MaiDim1+22)=AnnéeCalendrier,MONTH(MaiDim1+22)=5),MaiDim1+22,""))</f>
        <v>46160</v>
      </c>
      <c r="K20" s="5">
        <f>IF(DAY(MaiDim1)=1,IF(AND(YEAR(MaiDim1+16)=AnnéeCalendrier,MONTH(MaiDim1+16)=5),MaiDim1+16,""),IF(AND(YEAR(MaiDim1+23)=AnnéeCalendrier,MONTH(MaiDim1+23)=5),MaiDim1+23,""))</f>
        <v>46161</v>
      </c>
      <c r="L20" s="5">
        <f>IF(DAY(MaiDim1)=1,IF(AND(YEAR(MaiDim1+17)=AnnéeCalendrier,MONTH(MaiDim1+17)=5),MaiDim1+17,""),IF(AND(YEAR(MaiDim1+24)=AnnéeCalendrier,MONTH(MaiDim1+24)=5),MaiDim1+24,""))</f>
        <v>46162</v>
      </c>
      <c r="M20" s="5">
        <f>IF(DAY(MaiDim1)=1,IF(AND(YEAR(MaiDim1+18)=AnnéeCalendrier,MONTH(MaiDim1+18)=5),MaiDim1+18,""),IF(AND(YEAR(MaiDim1+25)=AnnéeCalendrier,MONTH(MaiDim1+25)=5),MaiDim1+25,""))</f>
        <v>46163</v>
      </c>
      <c r="N20" s="5">
        <f>IF(DAY(MaiDim1)=1,IF(AND(YEAR(MaiDim1+19)=AnnéeCalendrier,MONTH(MaiDim1+19)=5),MaiDim1+19,""),IF(AND(YEAR(MaiDim1+26)=AnnéeCalendrier,MONTH(MaiDim1+26)=5),MaiDim1+26,""))</f>
        <v>46164</v>
      </c>
      <c r="O20" s="5">
        <f>IF(DAY(MaiDim1)=1,IF(AND(YEAR(MaiDim1+20)=AnnéeCalendrier,MONTH(MaiDim1+20)=5),MaiDim1+20,""),IF(AND(YEAR(MaiDim1+27)=AnnéeCalendrier,MONTH(MaiDim1+27)=5),MaiDim1+27,""))</f>
        <v>46165</v>
      </c>
      <c r="P20" s="7">
        <f>IF(DAY(MaiDim1)=1,IF(AND(YEAR(MaiDim1+21)=AnnéeCalendrier,MONTH(MaiDim1+21)=5),MaiDim1+21,""),IF(AND(YEAR(MaiDim1+28)=AnnéeCalendrier,MONTH(MaiDim1+28)=5),MaiDim1+28,""))</f>
        <v>46166</v>
      </c>
      <c r="Q20" s="4"/>
      <c r="R20" s="6">
        <f>IF(DAY(JunDim1)=1,IF(AND(YEAR(JunDim1+15)=AnnéeCalendrier,MONTH(JunDim1+15)=6),JunDim1+15,""),IF(AND(YEAR(JunDim1+22)=AnnéeCalendrier,MONTH(JunDim1+22)=6),JunDim1+22,""))</f>
        <v>46195</v>
      </c>
      <c r="S20" s="5">
        <f>IF(DAY(JunDim1)=1,IF(AND(YEAR(JunDim1+16)=AnnéeCalendrier,MONTH(JunDim1+16)=6),JunDim1+16,""),IF(AND(YEAR(JunDim1+23)=AnnéeCalendrier,MONTH(JunDim1+23)=6),JunDim1+23,""))</f>
        <v>46196</v>
      </c>
      <c r="T20" s="5">
        <f>IF(DAY(JunDim1)=1,IF(AND(YEAR(JunDim1+17)=AnnéeCalendrier,MONTH(JunDim1+17)=6),JunDim1+17,""),IF(AND(YEAR(JunDim1+24)=AnnéeCalendrier,MONTH(JunDim1+24)=6),JunDim1+24,""))</f>
        <v>46197</v>
      </c>
      <c r="U20" s="5">
        <f>IF(DAY(JunDim1)=1,IF(AND(YEAR(JunDim1+18)=AnnéeCalendrier,MONTH(JunDim1+18)=6),JunDim1+18,""),IF(AND(YEAR(JunDim1+25)=AnnéeCalendrier,MONTH(JunDim1+25)=6),JunDim1+25,""))</f>
        <v>46198</v>
      </c>
      <c r="V20" s="5">
        <f>IF(DAY(JunDim1)=1,IF(AND(YEAR(JunDim1+19)=AnnéeCalendrier,MONTH(JunDim1+19)=6),JunDim1+19,""),IF(AND(YEAR(JunDim1+26)=AnnéeCalendrier,MONTH(JunDim1+26)=6),JunDim1+26,""))</f>
        <v>46199</v>
      </c>
      <c r="W20" s="5">
        <f>IF(DAY(JunDim1)=1,IF(AND(YEAR(JunDim1+20)=AnnéeCalendrier,MONTH(JunDim1+20)=6),JunDim1+20,""),IF(AND(YEAR(JunDim1+27)=AnnéeCalendrier,MONTH(JunDim1+27)=6),JunDim1+27,""))</f>
        <v>46200</v>
      </c>
      <c r="X20" s="7">
        <f>IF(DAY(JunDim1)=1,IF(AND(YEAR(JunDim1+21)=AnnéeCalendrier,MONTH(JunDim1+21)=6),JunDim1+21,""),IF(AND(YEAR(JunDim1+28)=AnnéeCalendrier,MONTH(JunDim1+28)=6),JunDim1+28,""))</f>
        <v>46201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46139</v>
      </c>
      <c r="C21" s="5">
        <f>IF(DAY(AvrDim1)=1,IF(AND(YEAR(AvrDim1+23)=AnnéeCalendrier,MONTH(AvrDim1+23)=4),AvrDim1+23,""),IF(AND(YEAR(AvrDim1+30)=AnnéeCalendrier,MONTH(AvrDim1+30)=4),AvrDim1+30,""))</f>
        <v>46140</v>
      </c>
      <c r="D21" s="5">
        <f>IF(DAY(AvrDim1)=1,IF(AND(YEAR(AvrDim1+24)=AnnéeCalendrier,MONTH(AvrDim1+24)=4),AvrDim1+24,""),IF(AND(YEAR(AvrDim1+31)=AnnéeCalendrier,MONTH(AvrDim1+31)=4),AvrDim1+31,""))</f>
        <v>46141</v>
      </c>
      <c r="E21" s="5">
        <f>IF(DAY(AvrDim1)=1,IF(AND(YEAR(AvrDim1+25)=AnnéeCalendrier,MONTH(AvrDim1+25)=4),AvrDim1+25,""),IF(AND(YEAR(AvrDim1+32)=AnnéeCalendrier,MONTH(AvrDim1+32)=4),AvrDim1+32,""))</f>
        <v>46142</v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46167</v>
      </c>
      <c r="K21" s="5">
        <f>IF(DAY(MaiDim1)=1,IF(AND(YEAR(MaiDim1+23)=AnnéeCalendrier,MONTH(MaiDim1+23)=5),MaiDim1+23,""),IF(AND(YEAR(MaiDim1+30)=AnnéeCalendrier,MONTH(MaiDim1+30)=5),MaiDim1+30,""))</f>
        <v>46168</v>
      </c>
      <c r="L21" s="5">
        <f>IF(DAY(MaiDim1)=1,IF(AND(YEAR(MaiDim1+24)=AnnéeCalendrier,MONTH(MaiDim1+24)=5),MaiDim1+24,""),IF(AND(YEAR(MaiDim1+31)=AnnéeCalendrier,MONTH(MaiDim1+31)=5),MaiDim1+31,""))</f>
        <v>46169</v>
      </c>
      <c r="M21" s="5">
        <f>IF(DAY(MaiDim1)=1,IF(AND(YEAR(MaiDim1+25)=AnnéeCalendrier,MONTH(MaiDim1+25)=5),MaiDim1+25,""),IF(AND(YEAR(MaiDim1+32)=AnnéeCalendrier,MONTH(MaiDim1+32)=5),MaiDim1+32,""))</f>
        <v>46170</v>
      </c>
      <c r="N21" s="5">
        <f>IF(DAY(MaiDim1)=1,IF(AND(YEAR(MaiDim1+26)=AnnéeCalendrier,MONTH(MaiDim1+26)=5),MaiDim1+26,""),IF(AND(YEAR(MaiDim1+33)=AnnéeCalendrier,MONTH(MaiDim1+33)=5),MaiDim1+33,""))</f>
        <v>46171</v>
      </c>
      <c r="O21" s="5">
        <f>IF(DAY(MaiDim1)=1,IF(AND(YEAR(MaiDim1+27)=AnnéeCalendrier,MONTH(MaiDim1+27)=5),MaiDim1+27,""),IF(AND(YEAR(MaiDim1+34)=AnnéeCalendrier,MONTH(MaiDim1+34)=5),MaiDim1+34,""))</f>
        <v>46172</v>
      </c>
      <c r="P21" s="7">
        <f>IF(DAY(MaiDim1)=1,IF(AND(YEAR(MaiDim1+28)=AnnéeCalendrier,MONTH(MaiDim1+28)=5),MaiDim1+28,""),IF(AND(YEAR(MaiDim1+35)=AnnéeCalendrier,MONTH(MaiDim1+35)=5),MaiDim1+35,""))</f>
        <v>46173</v>
      </c>
      <c r="Q21" s="4"/>
      <c r="R21" s="6">
        <f>IF(DAY(JunDim1)=1,IF(AND(YEAR(JunDim1+22)=AnnéeCalendrier,MONTH(JunDim1+22)=6),JunDim1+22,""),IF(AND(YEAR(JunDim1+29)=AnnéeCalendrier,MONTH(JunDim1+29)=6),JunDim1+29,""))</f>
        <v>46202</v>
      </c>
      <c r="S21" s="5">
        <f>IF(DAY(JunDim1)=1,IF(AND(YEAR(JunDim1+23)=AnnéeCalendrier,MONTH(JunDim1+23)=6),JunDim1+23,""),IF(AND(YEAR(JunDim1+30)=AnnéeCalendrier,MONTH(JunDim1+30)=6),JunDim1+30,""))</f>
        <v>46203</v>
      </c>
      <c r="T21" s="5" t="str">
        <f>IF(DAY(JunDim1)=1,IF(AND(YEAR(JunDim1+24)=AnnéeCalendrier,MONTH(JunDim1+24)=6),JunDim1+24,""),IF(AND(YEAR(JunDim1+31)=AnnéeCalendrier,MONTH(JunDim1+31)=6),JunDim1+31,""))</f>
        <v/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>
        <f>IF(DAY(JulDim1)=1,"",IF(AND(YEAR(JulDim1+3)=AnnéeCalendrier,MONTH(JulDim1+3)=7),JulDim1+3,""))</f>
        <v>46204</v>
      </c>
      <c r="E26" s="5">
        <f>IF(DAY(JulDim1)=1,"",IF(AND(YEAR(JulDim1+4)=AnnéeCalendrier,MONTH(JulDim1+4)=7),JulDim1+4,""))</f>
        <v>46205</v>
      </c>
      <c r="F26" s="5">
        <f>IF(DAY(JulDim1)=1,"",IF(AND(YEAR(JulDim1+5)=AnnéeCalendrier,MONTH(JulDim1+5)=7),JulDim1+5,""))</f>
        <v>46206</v>
      </c>
      <c r="G26" s="5">
        <f>IF(DAY(JulDim1)=1,"",IF(AND(YEAR(JulDim1+6)=AnnéeCalendrier,MONTH(JulDim1+6)=7),JulDim1+6,""))</f>
        <v>46207</v>
      </c>
      <c r="H26" s="7">
        <f>IF(DAY(JulDim1)=1,IF(AND(YEAR(JulDim1)=AnnéeCalendrier,MONTH(JulDim1)=7),JulDim1,""),IF(AND(YEAR(JulDim1+7)=AnnéeCalendrier,MONTH(JulDim1+7)=7),JulDim1+7,""))</f>
        <v>46208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>
        <f>IF(DAY(AouDim1)=1,"",IF(AND(YEAR(AouDim1+6)=AnnéeCalendrier,MONTH(AouDim1+6)=8),AouDim1+6,""))</f>
        <v>46235</v>
      </c>
      <c r="P26" s="7">
        <f>IF(DAY(AouDim1)=1,IF(AND(YEAR(AouDim1)=AnnéeCalendrier,MONTH(AouDim1)=8),AouDim1,""),IF(AND(YEAR(AouDim1+7)=AnnéeCalendrier,MONTH(AouDim1+7)=8),AouDim1+7,""))</f>
        <v>46236</v>
      </c>
      <c r="Q26" s="1"/>
      <c r="R26" s="6" t="str">
        <f>IF(DAY(SepDim1)=1,"",IF(AND(YEAR(SepDim1+1)=AnnéeCalendrier,MONTH(SepDim1+1)=9),SepDim1+1,""))</f>
        <v/>
      </c>
      <c r="S26" s="5">
        <f>IF(DAY(SepDim1)=1,"",IF(AND(YEAR(SepDim1+2)=AnnéeCalendrier,MONTH(SepDim1+2)=9),SepDim1+2,""))</f>
        <v>46266</v>
      </c>
      <c r="T26" s="5">
        <f>IF(DAY(SepDim1)=1,"",IF(AND(YEAR(SepDim1+3)=AnnéeCalendrier,MONTH(SepDim1+3)=9),SepDim1+3,""))</f>
        <v>46267</v>
      </c>
      <c r="U26" s="5">
        <f>IF(DAY(SepDim1)=1,"",IF(AND(YEAR(SepDim1+4)=AnnéeCalendrier,MONTH(SepDim1+4)=9),SepDim1+4,""))</f>
        <v>46268</v>
      </c>
      <c r="V26" s="5">
        <f>IF(DAY(SepDim1)=1,"",IF(AND(YEAR(SepDim1+5)=AnnéeCalendrier,MONTH(SepDim1+5)=9),SepDim1+5,""))</f>
        <v>46269</v>
      </c>
      <c r="W26" s="5">
        <f>IF(DAY(SepDim1)=1,"",IF(AND(YEAR(SepDim1+6)=AnnéeCalendrier,MONTH(SepDim1+6)=9),SepDim1+6,""))</f>
        <v>46270</v>
      </c>
      <c r="X26" s="7">
        <f>IF(DAY(SepDim1)=1,IF(AND(YEAR(SepDim1)=AnnéeCalendrier,MONTH(SepDim1)=9),SepDim1,""),IF(AND(YEAR(SepDim1+7)=AnnéeCalendrier,MONTH(SepDim1+7)=9),SepDim1+7,""))</f>
        <v>46271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46209</v>
      </c>
      <c r="C27" s="5">
        <f>IF(DAY(JulDim1)=1,IF(AND(YEAR(JulDim1+2)=AnnéeCalendrier,MONTH(JulDim1+2)=7),JulDim1+2,""),IF(AND(YEAR(JulDim1+9)=AnnéeCalendrier,MONTH(JulDim1+9)=7),JulDim1+9,""))</f>
        <v>46210</v>
      </c>
      <c r="D27" s="5">
        <f>IF(DAY(JulDim1)=1,IF(AND(YEAR(JulDim1+3)=AnnéeCalendrier,MONTH(JulDim1+3)=7),JulDim1+3,""),IF(AND(YEAR(JulDim1+10)=AnnéeCalendrier,MONTH(JulDim1+10)=7),JulDim1+10,""))</f>
        <v>46211</v>
      </c>
      <c r="E27" s="5">
        <f>IF(DAY(JulDim1)=1,IF(AND(YEAR(JulDim1+4)=AnnéeCalendrier,MONTH(JulDim1+4)=7),JulDim1+4,""),IF(AND(YEAR(JulDim1+11)=AnnéeCalendrier,MONTH(JulDim1+11)=7),JulDim1+11,""))</f>
        <v>46212</v>
      </c>
      <c r="F27" s="5">
        <f>IF(DAY(JulDim1)=1,IF(AND(YEAR(JulDim1+5)=AnnéeCalendrier,MONTH(JulDim1+5)=7),JulDim1+5,""),IF(AND(YEAR(JulDim1+12)=AnnéeCalendrier,MONTH(JulDim1+12)=7),JulDim1+12,""))</f>
        <v>46213</v>
      </c>
      <c r="G27" s="5">
        <f>IF(DAY(JulDim1)=1,IF(AND(YEAR(JulDim1+6)=AnnéeCalendrier,MONTH(JulDim1+6)=7),JulDim1+6,""),IF(AND(YEAR(JulDim1+13)=AnnéeCalendrier,MONTH(JulDim1+13)=7),JulDim1+13,""))</f>
        <v>46214</v>
      </c>
      <c r="H27" s="7">
        <f>IF(DAY(JulDim1)=1,IF(AND(YEAR(JulDim1+7)=AnnéeCalendrier,MONTH(JulDim1+7)=7),JulDim1+7,""),IF(AND(YEAR(JulDim1+14)=AnnéeCalendrier,MONTH(JulDim1+14)=7),JulDim1+14,""))</f>
        <v>46215</v>
      </c>
      <c r="J27" s="6">
        <f>IF(DAY(AouDim1)=1,IF(AND(YEAR(AouDim1+1)=AnnéeCalendrier,MONTH(AouDim1+1)=8),AouDim1+1,""),IF(AND(YEAR(AouDim1+8)=AnnéeCalendrier,MONTH(AouDim1+8)=8),AouDim1+8,""))</f>
        <v>46237</v>
      </c>
      <c r="K27" s="5">
        <f>IF(DAY(AouDim1)=1,IF(AND(YEAR(AouDim1+2)=AnnéeCalendrier,MONTH(AouDim1+2)=8),AouDim1+2,""),IF(AND(YEAR(AouDim1+9)=AnnéeCalendrier,MONTH(AouDim1+9)=8),AouDim1+9,""))</f>
        <v>46238</v>
      </c>
      <c r="L27" s="5">
        <f>IF(DAY(AouDim1)=1,IF(AND(YEAR(AouDim1+3)=AnnéeCalendrier,MONTH(AouDim1+3)=8),AouDim1+3,""),IF(AND(YEAR(AouDim1+10)=AnnéeCalendrier,MONTH(AouDim1+10)=8),AouDim1+10,""))</f>
        <v>46239</v>
      </c>
      <c r="M27" s="5">
        <f>IF(DAY(AouDim1)=1,IF(AND(YEAR(AouDim1+4)=AnnéeCalendrier,MONTH(AouDim1+4)=8),AouDim1+4,""),IF(AND(YEAR(AouDim1+11)=AnnéeCalendrier,MONTH(AouDim1+11)=8),AouDim1+11,""))</f>
        <v>46240</v>
      </c>
      <c r="N27" s="5">
        <f>IF(DAY(AouDim1)=1,IF(AND(YEAR(AouDim1+5)=AnnéeCalendrier,MONTH(AouDim1+5)=8),AouDim1+5,""),IF(AND(YEAR(AouDim1+12)=AnnéeCalendrier,MONTH(AouDim1+12)=8),AouDim1+12,""))</f>
        <v>46241</v>
      </c>
      <c r="O27" s="5">
        <f>IF(DAY(AouDim1)=1,IF(AND(YEAR(AouDim1+6)=AnnéeCalendrier,MONTH(AouDim1+6)=8),AouDim1+6,""),IF(AND(YEAR(AouDim1+13)=AnnéeCalendrier,MONTH(AouDim1+13)=8),AouDim1+13,""))</f>
        <v>46242</v>
      </c>
      <c r="P27" s="7">
        <f>IF(DAY(AouDim1)=1,IF(AND(YEAR(AouDim1+7)=AnnéeCalendrier,MONTH(AouDim1+7)=8),AouDim1+7,""),IF(AND(YEAR(AouDim1+14)=AnnéeCalendrier,MONTH(AouDim1+14)=8),AouDim1+14,""))</f>
        <v>46243</v>
      </c>
      <c r="Q27" s="1"/>
      <c r="R27" s="6">
        <f>IF(DAY(SepDim1)=1,IF(AND(YEAR(SepDim1+1)=AnnéeCalendrier,MONTH(SepDim1+1)=9),SepDim1+1,""),IF(AND(YEAR(SepDim1+8)=AnnéeCalendrier,MONTH(SepDim1+8)=9),SepDim1+8,""))</f>
        <v>46272</v>
      </c>
      <c r="S27" s="5">
        <f>IF(DAY(SepDim1)=1,IF(AND(YEAR(SepDim1+2)=AnnéeCalendrier,MONTH(SepDim1+2)=9),SepDim1+2,""),IF(AND(YEAR(SepDim1+9)=AnnéeCalendrier,MONTH(SepDim1+9)=9),SepDim1+9,""))</f>
        <v>46273</v>
      </c>
      <c r="T27" s="5">
        <f>IF(DAY(SepDim1)=1,IF(AND(YEAR(SepDim1+3)=AnnéeCalendrier,MONTH(SepDim1+3)=9),SepDim1+3,""),IF(AND(YEAR(SepDim1+10)=AnnéeCalendrier,MONTH(SepDim1+10)=9),SepDim1+10,""))</f>
        <v>46274</v>
      </c>
      <c r="U27" s="5">
        <f>IF(DAY(SepDim1)=1,IF(AND(YEAR(SepDim1+4)=AnnéeCalendrier,MONTH(SepDim1+4)=9),SepDim1+4,""),IF(AND(YEAR(SepDim1+11)=AnnéeCalendrier,MONTH(SepDim1+11)=9),SepDim1+11,""))</f>
        <v>46275</v>
      </c>
      <c r="V27" s="5">
        <f>IF(DAY(SepDim1)=1,IF(AND(YEAR(SepDim1+5)=AnnéeCalendrier,MONTH(SepDim1+5)=9),SepDim1+5,""),IF(AND(YEAR(SepDim1+12)=AnnéeCalendrier,MONTH(SepDim1+12)=9),SepDim1+12,""))</f>
        <v>46276</v>
      </c>
      <c r="W27" s="5">
        <f>IF(DAY(SepDim1)=1,IF(AND(YEAR(SepDim1+6)=AnnéeCalendrier,MONTH(SepDim1+6)=9),SepDim1+6,""),IF(AND(YEAR(SepDim1+13)=AnnéeCalendrier,MONTH(SepDim1+13)=9),SepDim1+13,""))</f>
        <v>46277</v>
      </c>
      <c r="X27" s="7">
        <f>IF(DAY(SepDim1)=1,IF(AND(YEAR(SepDim1+7)=AnnéeCalendrier,MONTH(SepDim1+7)=9),SepDim1+7,""),IF(AND(YEAR(SepDim1+14)=AnnéeCalendrier,MONTH(SepDim1+14)=9),SepDim1+14,""))</f>
        <v>46278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46216</v>
      </c>
      <c r="C28" s="5">
        <f>IF(DAY(JulDim1)=1,IF(AND(YEAR(JulDim1+9)=AnnéeCalendrier,MONTH(JulDim1+9)=7),JulDim1+9,""),IF(AND(YEAR(JulDim1+16)=AnnéeCalendrier,MONTH(JulDim1+16)=7),JulDim1+16,""))</f>
        <v>46217</v>
      </c>
      <c r="D28" s="5">
        <f>IF(DAY(JulDim1)=1,IF(AND(YEAR(JulDim1+10)=AnnéeCalendrier,MONTH(JulDim1+10)=7),JulDim1+10,""),IF(AND(YEAR(JulDim1+17)=AnnéeCalendrier,MONTH(JulDim1+17)=7),JulDim1+17,""))</f>
        <v>46218</v>
      </c>
      <c r="E28" s="5">
        <f>IF(DAY(JulDim1)=1,IF(AND(YEAR(JulDim1+11)=AnnéeCalendrier,MONTH(JulDim1+11)=7),JulDim1+11,""),IF(AND(YEAR(JulDim1+18)=AnnéeCalendrier,MONTH(JulDim1+18)=7),JulDim1+18,""))</f>
        <v>46219</v>
      </c>
      <c r="F28" s="5">
        <f>IF(DAY(JulDim1)=1,IF(AND(YEAR(JulDim1+12)=AnnéeCalendrier,MONTH(JulDim1+12)=7),JulDim1+12,""),IF(AND(YEAR(JulDim1+19)=AnnéeCalendrier,MONTH(JulDim1+19)=7),JulDim1+19,""))</f>
        <v>46220</v>
      </c>
      <c r="G28" s="5">
        <f>IF(DAY(JulDim1)=1,IF(AND(YEAR(JulDim1+13)=AnnéeCalendrier,MONTH(JulDim1+13)=7),JulDim1+13,""),IF(AND(YEAR(JulDim1+20)=AnnéeCalendrier,MONTH(JulDim1+20)=7),JulDim1+20,""))</f>
        <v>46221</v>
      </c>
      <c r="H28" s="7">
        <f>IF(DAY(JulDim1)=1,IF(AND(YEAR(JulDim1+14)=AnnéeCalendrier,MONTH(JulDim1+14)=7),JulDim1+14,""),IF(AND(YEAR(JulDim1+21)=AnnéeCalendrier,MONTH(JulDim1+21)=7),JulDim1+21,""))</f>
        <v>46222</v>
      </c>
      <c r="J28" s="6">
        <f>IF(DAY(AouDim1)=1,IF(AND(YEAR(AouDim1+8)=AnnéeCalendrier,MONTH(AouDim1+8)=8),AouDim1+8,""),IF(AND(YEAR(AouDim1+15)=AnnéeCalendrier,MONTH(AouDim1+15)=8),AouDim1+15,""))</f>
        <v>46244</v>
      </c>
      <c r="K28" s="5">
        <f>IF(DAY(AouDim1)=1,IF(AND(YEAR(AouDim1+9)=AnnéeCalendrier,MONTH(AouDim1+9)=8),AouDim1+9,""),IF(AND(YEAR(AouDim1+16)=AnnéeCalendrier,MONTH(AouDim1+16)=8),AouDim1+16,""))</f>
        <v>46245</v>
      </c>
      <c r="L28" s="5">
        <f>IF(DAY(AouDim1)=1,IF(AND(YEAR(AouDim1+10)=AnnéeCalendrier,MONTH(AouDim1+10)=8),AouDim1+10,""),IF(AND(YEAR(AouDim1+17)=AnnéeCalendrier,MONTH(AouDim1+17)=8),AouDim1+17,""))</f>
        <v>46246</v>
      </c>
      <c r="M28" s="5">
        <f>IF(DAY(AouDim1)=1,IF(AND(YEAR(AouDim1+11)=AnnéeCalendrier,MONTH(AouDim1+11)=8),AouDim1+11,""),IF(AND(YEAR(AouDim1+18)=AnnéeCalendrier,MONTH(AouDim1+18)=8),AouDim1+18,""))</f>
        <v>46247</v>
      </c>
      <c r="N28" s="5">
        <f>IF(DAY(AouDim1)=1,IF(AND(YEAR(AouDim1+12)=AnnéeCalendrier,MONTH(AouDim1+12)=8),AouDim1+12,""),IF(AND(YEAR(AouDim1+19)=AnnéeCalendrier,MONTH(AouDim1+19)=8),AouDim1+19,""))</f>
        <v>46248</v>
      </c>
      <c r="O28" s="5">
        <f>IF(DAY(AouDim1)=1,IF(AND(YEAR(AouDim1+13)=AnnéeCalendrier,MONTH(AouDim1+13)=8),AouDim1+13,""),IF(AND(YEAR(AouDim1+20)=AnnéeCalendrier,MONTH(AouDim1+20)=8),AouDim1+20,""))</f>
        <v>46249</v>
      </c>
      <c r="P28" s="7">
        <f>IF(DAY(AouDim1)=1,IF(AND(YEAR(AouDim1+14)=AnnéeCalendrier,MONTH(AouDim1+14)=8),AouDim1+14,""),IF(AND(YEAR(AouDim1+21)=AnnéeCalendrier,MONTH(AouDim1+21)=8),AouDim1+21,""))</f>
        <v>46250</v>
      </c>
      <c r="Q28" s="1"/>
      <c r="R28" s="6">
        <f>IF(DAY(SepDim1)=1,IF(AND(YEAR(SepDim1+8)=AnnéeCalendrier,MONTH(SepDim1+8)=9),SepDim1+8,""),IF(AND(YEAR(SepDim1+15)=AnnéeCalendrier,MONTH(SepDim1+15)=9),SepDim1+15,""))</f>
        <v>46279</v>
      </c>
      <c r="S28" s="5">
        <f>IF(DAY(SepDim1)=1,IF(AND(YEAR(SepDim1+9)=AnnéeCalendrier,MONTH(SepDim1+9)=9),SepDim1+9,""),IF(AND(YEAR(SepDim1+16)=AnnéeCalendrier,MONTH(SepDim1+16)=9),SepDim1+16,""))</f>
        <v>46280</v>
      </c>
      <c r="T28" s="5">
        <f>IF(DAY(SepDim1)=1,IF(AND(YEAR(SepDim1+10)=AnnéeCalendrier,MONTH(SepDim1+10)=9),SepDim1+10,""),IF(AND(YEAR(SepDim1+17)=AnnéeCalendrier,MONTH(SepDim1+17)=9),SepDim1+17,""))</f>
        <v>46281</v>
      </c>
      <c r="U28" s="5">
        <f>IF(DAY(SepDim1)=1,IF(AND(YEAR(SepDim1+11)=AnnéeCalendrier,MONTH(SepDim1+11)=9),SepDim1+11,""),IF(AND(YEAR(SepDim1+18)=AnnéeCalendrier,MONTH(SepDim1+18)=9),SepDim1+18,""))</f>
        <v>46282</v>
      </c>
      <c r="V28" s="5">
        <f>IF(DAY(SepDim1)=1,IF(AND(YEAR(SepDim1+12)=AnnéeCalendrier,MONTH(SepDim1+12)=9),SepDim1+12,""),IF(AND(YEAR(SepDim1+19)=AnnéeCalendrier,MONTH(SepDim1+19)=9),SepDim1+19,""))</f>
        <v>46283</v>
      </c>
      <c r="W28" s="5">
        <f>IF(DAY(SepDim1)=1,IF(AND(YEAR(SepDim1+13)=AnnéeCalendrier,MONTH(SepDim1+13)=9),SepDim1+13,""),IF(AND(YEAR(SepDim1+20)=AnnéeCalendrier,MONTH(SepDim1+20)=9),SepDim1+20,""))</f>
        <v>46284</v>
      </c>
      <c r="X28" s="7">
        <f>IF(DAY(SepDim1)=1,IF(AND(YEAR(SepDim1+14)=AnnéeCalendrier,MONTH(SepDim1+14)=9),SepDim1+14,""),IF(AND(YEAR(SepDim1+21)=AnnéeCalendrier,MONTH(SepDim1+21)=9),SepDim1+21,""))</f>
        <v>46285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46223</v>
      </c>
      <c r="C29" s="5">
        <f>IF(DAY(JulDim1)=1,IF(AND(YEAR(JulDim1+16)=AnnéeCalendrier,MONTH(JulDim1+16)=7),JulDim1+16,""),IF(AND(YEAR(JulDim1+23)=AnnéeCalendrier,MONTH(JulDim1+23)=7),JulDim1+23,""))</f>
        <v>46224</v>
      </c>
      <c r="D29" s="5">
        <f>IF(DAY(JulDim1)=1,IF(AND(YEAR(JulDim1+17)=AnnéeCalendrier,MONTH(JulDim1+17)=7),JulDim1+17,""),IF(AND(YEAR(JulDim1+24)=AnnéeCalendrier,MONTH(JulDim1+24)=7),JulDim1+24,""))</f>
        <v>46225</v>
      </c>
      <c r="E29" s="5">
        <f>IF(DAY(JulDim1)=1,IF(AND(YEAR(JulDim1+18)=AnnéeCalendrier,MONTH(JulDim1+18)=7),JulDim1+18,""),IF(AND(YEAR(JulDim1+25)=AnnéeCalendrier,MONTH(JulDim1+25)=7),JulDim1+25,""))</f>
        <v>46226</v>
      </c>
      <c r="F29" s="5">
        <f>IF(DAY(JulDim1)=1,IF(AND(YEAR(JulDim1+19)=AnnéeCalendrier,MONTH(JulDim1+19)=7),JulDim1+19,""),IF(AND(YEAR(JulDim1+26)=AnnéeCalendrier,MONTH(JulDim1+26)=7),JulDim1+26,""))</f>
        <v>46227</v>
      </c>
      <c r="G29" s="5">
        <f>IF(DAY(JulDim1)=1,IF(AND(YEAR(JulDim1+20)=AnnéeCalendrier,MONTH(JulDim1+20)=7),JulDim1+20,""),IF(AND(YEAR(JulDim1+27)=AnnéeCalendrier,MONTH(JulDim1+27)=7),JulDim1+27,""))</f>
        <v>46228</v>
      </c>
      <c r="H29" s="7">
        <f>IF(DAY(JulDim1)=1,IF(AND(YEAR(JulDim1+21)=AnnéeCalendrier,MONTH(JulDim1+21)=7),JulDim1+21,""),IF(AND(YEAR(JulDim1+28)=AnnéeCalendrier,MONTH(JulDim1+28)=7),JulDim1+28,""))</f>
        <v>46229</v>
      </c>
      <c r="J29" s="6">
        <f>IF(DAY(AouDim1)=1,IF(AND(YEAR(AouDim1+15)=AnnéeCalendrier,MONTH(AouDim1+15)=8),AouDim1+15,""),IF(AND(YEAR(AouDim1+22)=AnnéeCalendrier,MONTH(AouDim1+22)=8),AouDim1+22,""))</f>
        <v>46251</v>
      </c>
      <c r="K29" s="5">
        <f>IF(DAY(AouDim1)=1,IF(AND(YEAR(AouDim1+16)=AnnéeCalendrier,MONTH(AouDim1+16)=8),AouDim1+16,""),IF(AND(YEAR(AouDim1+23)=AnnéeCalendrier,MONTH(AouDim1+23)=8),AouDim1+23,""))</f>
        <v>46252</v>
      </c>
      <c r="L29" s="5">
        <f>IF(DAY(AouDim1)=1,IF(AND(YEAR(AouDim1+17)=AnnéeCalendrier,MONTH(AouDim1+17)=8),AouDim1+17,""),IF(AND(YEAR(AouDim1+24)=AnnéeCalendrier,MONTH(AouDim1+24)=8),AouDim1+24,""))</f>
        <v>46253</v>
      </c>
      <c r="M29" s="5">
        <f>IF(DAY(AouDim1)=1,IF(AND(YEAR(AouDim1+18)=AnnéeCalendrier,MONTH(AouDim1+18)=8),AouDim1+18,""),IF(AND(YEAR(AouDim1+25)=AnnéeCalendrier,MONTH(AouDim1+25)=8),AouDim1+25,""))</f>
        <v>46254</v>
      </c>
      <c r="N29" s="5">
        <f>IF(DAY(AouDim1)=1,IF(AND(YEAR(AouDim1+19)=AnnéeCalendrier,MONTH(AouDim1+19)=8),AouDim1+19,""),IF(AND(YEAR(AouDim1+26)=AnnéeCalendrier,MONTH(AouDim1+26)=8),AouDim1+26,""))</f>
        <v>46255</v>
      </c>
      <c r="O29" s="5">
        <f>IF(DAY(AouDim1)=1,IF(AND(YEAR(AouDim1+20)=AnnéeCalendrier,MONTH(AouDim1+20)=8),AouDim1+20,""),IF(AND(YEAR(AouDim1+27)=AnnéeCalendrier,MONTH(AouDim1+27)=8),AouDim1+27,""))</f>
        <v>46256</v>
      </c>
      <c r="P29" s="7">
        <f>IF(DAY(AouDim1)=1,IF(AND(YEAR(AouDim1+21)=AnnéeCalendrier,MONTH(AouDim1+21)=8),AouDim1+21,""),IF(AND(YEAR(AouDim1+28)=AnnéeCalendrier,MONTH(AouDim1+28)=8),AouDim1+28,""))</f>
        <v>46257</v>
      </c>
      <c r="Q29" s="1"/>
      <c r="R29" s="6">
        <f>IF(DAY(SepDim1)=1,IF(AND(YEAR(SepDim1+15)=AnnéeCalendrier,MONTH(SepDim1+15)=9),SepDim1+15,""),IF(AND(YEAR(SepDim1+22)=AnnéeCalendrier,MONTH(SepDim1+22)=9),SepDim1+22,""))</f>
        <v>46286</v>
      </c>
      <c r="S29" s="5">
        <f>IF(DAY(SepDim1)=1,IF(AND(YEAR(SepDim1+16)=AnnéeCalendrier,MONTH(SepDim1+16)=9),SepDim1+16,""),IF(AND(YEAR(SepDim1+23)=AnnéeCalendrier,MONTH(SepDim1+23)=9),SepDim1+23,""))</f>
        <v>46287</v>
      </c>
      <c r="T29" s="5">
        <f>IF(DAY(SepDim1)=1,IF(AND(YEAR(SepDim1+17)=AnnéeCalendrier,MONTH(SepDim1+17)=9),SepDim1+17,""),IF(AND(YEAR(SepDim1+24)=AnnéeCalendrier,MONTH(SepDim1+24)=9),SepDim1+24,""))</f>
        <v>46288</v>
      </c>
      <c r="U29" s="5">
        <f>IF(DAY(SepDim1)=1,IF(AND(YEAR(SepDim1+18)=AnnéeCalendrier,MONTH(SepDim1+18)=9),SepDim1+18,""),IF(AND(YEAR(SepDim1+25)=AnnéeCalendrier,MONTH(SepDim1+25)=9),SepDim1+25,""))</f>
        <v>46289</v>
      </c>
      <c r="V29" s="5">
        <f>IF(DAY(SepDim1)=1,IF(AND(YEAR(SepDim1+19)=AnnéeCalendrier,MONTH(SepDim1+19)=9),SepDim1+19,""),IF(AND(YEAR(SepDim1+26)=AnnéeCalendrier,MONTH(SepDim1+26)=9),SepDim1+26,""))</f>
        <v>46290</v>
      </c>
      <c r="W29" s="5">
        <f>IF(DAY(SepDim1)=1,IF(AND(YEAR(SepDim1+20)=AnnéeCalendrier,MONTH(SepDim1+20)=9),SepDim1+20,""),IF(AND(YEAR(SepDim1+27)=AnnéeCalendrier,MONTH(SepDim1+27)=9),SepDim1+27,""))</f>
        <v>46291</v>
      </c>
      <c r="X29" s="7">
        <f>IF(DAY(SepDim1)=1,IF(AND(YEAR(SepDim1+21)=AnnéeCalendrier,MONTH(SepDim1+21)=9),SepDim1+21,""),IF(AND(YEAR(SepDim1+28)=AnnéeCalendrier,MONTH(SepDim1+28)=9),SepDim1+28,""))</f>
        <v>46292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46230</v>
      </c>
      <c r="C30" s="5">
        <f>IF(DAY(JulDim1)=1,IF(AND(YEAR(JulDim1+23)=AnnéeCalendrier,MONTH(JulDim1+23)=7),JulDim1+23,""),IF(AND(YEAR(JulDim1+30)=AnnéeCalendrier,MONTH(JulDim1+30)=7),JulDim1+30,""))</f>
        <v>46231</v>
      </c>
      <c r="D30" s="5">
        <f>IF(DAY(JulDim1)=1,IF(AND(YEAR(JulDim1+24)=AnnéeCalendrier,MONTH(JulDim1+24)=7),JulDim1+24,""),IF(AND(YEAR(JulDim1+31)=AnnéeCalendrier,MONTH(JulDim1+31)=7),JulDim1+31,""))</f>
        <v>46232</v>
      </c>
      <c r="E30" s="5">
        <f>IF(DAY(JulDim1)=1,IF(AND(YEAR(JulDim1+25)=AnnéeCalendrier,MONTH(JulDim1+25)=7),JulDim1+25,""),IF(AND(YEAR(JulDim1+32)=AnnéeCalendrier,MONTH(JulDim1+32)=7),JulDim1+32,""))</f>
        <v>46233</v>
      </c>
      <c r="F30" s="5">
        <f>IF(DAY(JulDim1)=1,IF(AND(YEAR(JulDim1+26)=AnnéeCalendrier,MONTH(JulDim1+26)=7),JulDim1+26,""),IF(AND(YEAR(JulDim1+33)=AnnéeCalendrier,MONTH(JulDim1+33)=7),JulDim1+33,""))</f>
        <v>46234</v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46258</v>
      </c>
      <c r="K30" s="5">
        <f>IF(DAY(AouDim1)=1,IF(AND(YEAR(AouDim1+23)=AnnéeCalendrier,MONTH(AouDim1+23)=8),AouDim1+23,""),IF(AND(YEAR(AouDim1+30)=AnnéeCalendrier,MONTH(AouDim1+30)=8),AouDim1+30,""))</f>
        <v>46259</v>
      </c>
      <c r="L30" s="5">
        <f>IF(DAY(AouDim1)=1,IF(AND(YEAR(AouDim1+24)=AnnéeCalendrier,MONTH(AouDim1+24)=8),AouDim1+24,""),IF(AND(YEAR(AouDim1+31)=AnnéeCalendrier,MONTH(AouDim1+31)=8),AouDim1+31,""))</f>
        <v>46260</v>
      </c>
      <c r="M30" s="5">
        <f>IF(DAY(AouDim1)=1,IF(AND(YEAR(AouDim1+25)=AnnéeCalendrier,MONTH(AouDim1+25)=8),AouDim1+25,""),IF(AND(YEAR(AouDim1+32)=AnnéeCalendrier,MONTH(AouDim1+32)=8),AouDim1+32,""))</f>
        <v>46261</v>
      </c>
      <c r="N30" s="5">
        <f>IF(DAY(AouDim1)=1,IF(AND(YEAR(AouDim1+26)=AnnéeCalendrier,MONTH(AouDim1+26)=8),AouDim1+26,""),IF(AND(YEAR(AouDim1+33)=AnnéeCalendrier,MONTH(AouDim1+33)=8),AouDim1+33,""))</f>
        <v>46262</v>
      </c>
      <c r="O30" s="5">
        <f>IF(DAY(AouDim1)=1,IF(AND(YEAR(AouDim1+27)=AnnéeCalendrier,MONTH(AouDim1+27)=8),AouDim1+27,""),IF(AND(YEAR(AouDim1+34)=AnnéeCalendrier,MONTH(AouDim1+34)=8),AouDim1+34,""))</f>
        <v>46263</v>
      </c>
      <c r="P30" s="7">
        <f>IF(DAY(AouDim1)=1,IF(AND(YEAR(AouDim1+28)=AnnéeCalendrier,MONTH(AouDim1+28)=8),AouDim1+28,""),IF(AND(YEAR(AouDim1+35)=AnnéeCalendrier,MONTH(AouDim1+35)=8),AouDim1+35,""))</f>
        <v>46264</v>
      </c>
      <c r="Q30" s="1"/>
      <c r="R30" s="6">
        <f>IF(DAY(SepDim1)=1,IF(AND(YEAR(SepDim1+22)=AnnéeCalendrier,MONTH(SepDim1+22)=9),SepDim1+22,""),IF(AND(YEAR(SepDim1+29)=AnnéeCalendrier,MONTH(SepDim1+29)=9),SepDim1+29,""))</f>
        <v>46293</v>
      </c>
      <c r="S30" s="5">
        <f>IF(DAY(SepDim1)=1,IF(AND(YEAR(SepDim1+23)=AnnéeCalendrier,MONTH(SepDim1+23)=9),SepDim1+23,""),IF(AND(YEAR(SepDim1+30)=AnnéeCalendrier,MONTH(SepDim1+30)=9),SepDim1+30,""))</f>
        <v>46294</v>
      </c>
      <c r="T30" s="5">
        <f>IF(DAY(SepDim1)=1,IF(AND(YEAR(SepDim1+24)=AnnéeCalendrier,MONTH(SepDim1+24)=9),SepDim1+24,""),IF(AND(YEAR(SepDim1+31)=AnnéeCalendrier,MONTH(SepDim1+31)=9),SepDim1+31,""))</f>
        <v>46295</v>
      </c>
      <c r="U30" s="5" t="str">
        <f>IF(DAY(SepDim1)=1,IF(AND(YEAR(SepDim1+25)=AnnéeCalendrier,MONTH(SepDim1+25)=9),SepDim1+25,""),IF(AND(YEAR(SepDim1+32)=AnnéeCalendrier,MONTH(SepDim1+32)=9),SepDim1+32,""))</f>
        <v/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46265</v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>
        <f>IF(DAY(OctDim1)=1,"",IF(AND(YEAR(OctDim1+4)=AnnéeCalendrier,MONTH(OctDim1+4)=10),OctDim1+4,""))</f>
        <v>46296</v>
      </c>
      <c r="F35" s="5">
        <f>IF(DAY(OctDim1)=1,"",IF(AND(YEAR(OctDim1+5)=AnnéeCalendrier,MONTH(OctDim1+5)=10),OctDim1+5,""))</f>
        <v>46297</v>
      </c>
      <c r="G35" s="5">
        <f>IF(DAY(OctDim1)=1,"",IF(AND(YEAR(OctDim1+6)=AnnéeCalendrier,MONTH(OctDim1+6)=10),OctDim1+6,""))</f>
        <v>46298</v>
      </c>
      <c r="H35" s="7">
        <f>IF(DAY(OctDim1)=1,IF(AND(YEAR(OctDim1)=AnnéeCalendrier,MONTH(OctDim1)=10),OctDim1,""),IF(AND(YEAR(OctDim1+7)=AnnéeCalendrier,MONTH(OctDim1+7)=10),OctDim1+7,""))</f>
        <v>46299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 t="str">
        <f>IF(DAY(NovDim1)=1,"",IF(AND(YEAR(NovDim1+5)=AnnéeCalendrier,MONTH(NovDim1+5)=11),NovDim1+5,""))</f>
        <v/>
      </c>
      <c r="O35" s="5" t="str">
        <f>IF(DAY(NovDim1)=1,"",IF(AND(YEAR(NovDim1+6)=AnnéeCalendrier,MONTH(NovDim1+6)=11),NovDim1+6,""))</f>
        <v/>
      </c>
      <c r="P35" s="7">
        <f>IF(DAY(NovDim1)=1,IF(AND(YEAR(NovDim1)=AnnéeCalendrier,MONTH(NovDim1)=11),NovDim1,""),IF(AND(YEAR(NovDim1+7)=AnnéeCalendrier,MONTH(NovDim1+7)=11),NovDim1+7,""))</f>
        <v>46327</v>
      </c>
      <c r="R35" s="6" t="str">
        <f>IF(DAY(DécDim1)=1,"",IF(AND(YEAR(DécDim1+1)=AnnéeCalendrier,MONTH(DécDim1+1)=12),DécDim1+1,""))</f>
        <v/>
      </c>
      <c r="S35" s="5">
        <f>IF(DAY(DécDim1)=1,"",IF(AND(YEAR(DécDim1+2)=AnnéeCalendrier,MONTH(DécDim1+2)=12),DécDim1+2,""))</f>
        <v>46357</v>
      </c>
      <c r="T35" s="5">
        <f>IF(DAY(DécDim1)=1,"",IF(AND(YEAR(DécDim1+3)=AnnéeCalendrier,MONTH(DécDim1+3)=12),DécDim1+3,""))</f>
        <v>46358</v>
      </c>
      <c r="U35" s="5">
        <f>IF(DAY(DécDim1)=1,"",IF(AND(YEAR(DécDim1+4)=AnnéeCalendrier,MONTH(DécDim1+4)=12),DécDim1+4,""))</f>
        <v>46359</v>
      </c>
      <c r="V35" s="5">
        <f>IF(DAY(DécDim1)=1,"",IF(AND(YEAR(DécDim1+5)=AnnéeCalendrier,MONTH(DécDim1+5)=12),DécDim1+5,""))</f>
        <v>46360</v>
      </c>
      <c r="W35" s="5">
        <f>IF(DAY(DécDim1)=1,"",IF(AND(YEAR(DécDim1+6)=AnnéeCalendrier,MONTH(DécDim1+6)=12),DécDim1+6,""))</f>
        <v>46361</v>
      </c>
      <c r="X35" s="7">
        <f>IF(DAY(DécDim1)=1,IF(AND(YEAR(DécDim1)=AnnéeCalendrier,MONTH(DécDim1)=12),DécDim1,""),IF(AND(YEAR(DécDim1+7)=AnnéeCalendrier,MONTH(DécDim1+7)=12),DécDim1+7,""))</f>
        <v>46362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46300</v>
      </c>
      <c r="C36" s="5">
        <f>IF(DAY(OctDim1)=1,IF(AND(YEAR(OctDim1+2)=AnnéeCalendrier,MONTH(OctDim1+2)=10),OctDim1+2,""),IF(AND(YEAR(OctDim1+9)=AnnéeCalendrier,MONTH(OctDim1+9)=10),OctDim1+9,""))</f>
        <v>46301</v>
      </c>
      <c r="D36" s="5">
        <f>IF(DAY(OctDim1)=1,IF(AND(YEAR(OctDim1+3)=AnnéeCalendrier,MONTH(OctDim1+3)=10),OctDim1+3,""),IF(AND(YEAR(OctDim1+10)=AnnéeCalendrier,MONTH(OctDim1+10)=10),OctDim1+10,""))</f>
        <v>46302</v>
      </c>
      <c r="E36" s="5">
        <f>IF(DAY(OctDim1)=1,IF(AND(YEAR(OctDim1+4)=AnnéeCalendrier,MONTH(OctDim1+4)=10),OctDim1+4,""),IF(AND(YEAR(OctDim1+11)=AnnéeCalendrier,MONTH(OctDim1+11)=10),OctDim1+11,""))</f>
        <v>46303</v>
      </c>
      <c r="F36" s="5">
        <f>IF(DAY(OctDim1)=1,IF(AND(YEAR(OctDim1+5)=AnnéeCalendrier,MONTH(OctDim1+5)=10),OctDim1+5,""),IF(AND(YEAR(OctDim1+12)=AnnéeCalendrier,MONTH(OctDim1+12)=10),OctDim1+12,""))</f>
        <v>46304</v>
      </c>
      <c r="G36" s="5">
        <f>IF(DAY(OctDim1)=1,IF(AND(YEAR(OctDim1+6)=AnnéeCalendrier,MONTH(OctDim1+6)=10),OctDim1+6,""),IF(AND(YEAR(OctDim1+13)=AnnéeCalendrier,MONTH(OctDim1+13)=10),OctDim1+13,""))</f>
        <v>46305</v>
      </c>
      <c r="H36" s="7">
        <f>IF(DAY(OctDim1)=1,IF(AND(YEAR(OctDim1+7)=AnnéeCalendrier,MONTH(OctDim1+7)=10),OctDim1+7,""),IF(AND(YEAR(OctDim1+14)=AnnéeCalendrier,MONTH(OctDim1+14)=10),OctDim1+14,""))</f>
        <v>46306</v>
      </c>
      <c r="I36" s="4"/>
      <c r="J36" s="6">
        <f>IF(DAY(NovDim1)=1,IF(AND(YEAR(NovDim1+1)=AnnéeCalendrier,MONTH(NovDim1+1)=11),NovDim1+1,""),IF(AND(YEAR(NovDim1+8)=AnnéeCalendrier,MONTH(NovDim1+8)=11),NovDim1+8,""))</f>
        <v>46328</v>
      </c>
      <c r="K36" s="5">
        <f>IF(DAY(NovDim1)=1,IF(AND(YEAR(NovDim1+2)=AnnéeCalendrier,MONTH(NovDim1+2)=11),NovDim1+2,""),IF(AND(YEAR(NovDim1+9)=AnnéeCalendrier,MONTH(NovDim1+9)=11),NovDim1+9,""))</f>
        <v>46329</v>
      </c>
      <c r="L36" s="5">
        <f>IF(DAY(NovDim1)=1,IF(AND(YEAR(NovDim1+3)=AnnéeCalendrier,MONTH(NovDim1+3)=11),NovDim1+3,""),IF(AND(YEAR(NovDim1+10)=AnnéeCalendrier,MONTH(NovDim1+10)=11),NovDim1+10,""))</f>
        <v>46330</v>
      </c>
      <c r="M36" s="5">
        <f>IF(DAY(NovDim1)=1,IF(AND(YEAR(NovDim1+4)=AnnéeCalendrier,MONTH(NovDim1+4)=11),NovDim1+4,""),IF(AND(YEAR(NovDim1+11)=AnnéeCalendrier,MONTH(NovDim1+11)=11),NovDim1+11,""))</f>
        <v>46331</v>
      </c>
      <c r="N36" s="5">
        <f>IF(DAY(NovDim1)=1,IF(AND(YEAR(NovDim1+5)=AnnéeCalendrier,MONTH(NovDim1+5)=11),NovDim1+5,""),IF(AND(YEAR(NovDim1+12)=AnnéeCalendrier,MONTH(NovDim1+12)=11),NovDim1+12,""))</f>
        <v>46332</v>
      </c>
      <c r="O36" s="5">
        <f>IF(DAY(NovDim1)=1,IF(AND(YEAR(NovDim1+6)=AnnéeCalendrier,MONTH(NovDim1+6)=11),NovDim1+6,""),IF(AND(YEAR(NovDim1+13)=AnnéeCalendrier,MONTH(NovDim1+13)=11),NovDim1+13,""))</f>
        <v>46333</v>
      </c>
      <c r="P36" s="7">
        <f>IF(DAY(NovDim1)=1,IF(AND(YEAR(NovDim1+7)=AnnéeCalendrier,MONTH(NovDim1+7)=11),NovDim1+7,""),IF(AND(YEAR(NovDim1+14)=AnnéeCalendrier,MONTH(NovDim1+14)=11),NovDim1+14,""))</f>
        <v>46334</v>
      </c>
      <c r="R36" s="6">
        <f>IF(DAY(DécDim1)=1,IF(AND(YEAR(DécDim1+1)=AnnéeCalendrier,MONTH(DécDim1+1)=12),DécDim1+1,""),IF(AND(YEAR(DécDim1+8)=AnnéeCalendrier,MONTH(DécDim1+8)=12),DécDim1+8,""))</f>
        <v>46363</v>
      </c>
      <c r="S36" s="5">
        <f>IF(DAY(DécDim1)=1,IF(AND(YEAR(DécDim1+2)=AnnéeCalendrier,MONTH(DécDim1+2)=12),DécDim1+2,""),IF(AND(YEAR(DécDim1+9)=AnnéeCalendrier,MONTH(DécDim1+9)=12),DécDim1+9,""))</f>
        <v>46364</v>
      </c>
      <c r="T36" s="5">
        <f>IF(DAY(DécDim1)=1,IF(AND(YEAR(DécDim1+3)=AnnéeCalendrier,MONTH(DécDim1+3)=12),DécDim1+3,""),IF(AND(YEAR(DécDim1+10)=AnnéeCalendrier,MONTH(DécDim1+10)=12),DécDim1+10,""))</f>
        <v>46365</v>
      </c>
      <c r="U36" s="5">
        <f>IF(DAY(DécDim1)=1,IF(AND(YEAR(DécDim1+4)=AnnéeCalendrier,MONTH(DécDim1+4)=12),DécDim1+4,""),IF(AND(YEAR(DécDim1+11)=AnnéeCalendrier,MONTH(DécDim1+11)=12),DécDim1+11,""))</f>
        <v>46366</v>
      </c>
      <c r="V36" s="5">
        <f>IF(DAY(DécDim1)=1,IF(AND(YEAR(DécDim1+5)=AnnéeCalendrier,MONTH(DécDim1+5)=12),DécDim1+5,""),IF(AND(YEAR(DécDim1+12)=AnnéeCalendrier,MONTH(DécDim1+12)=12),DécDim1+12,""))</f>
        <v>46367</v>
      </c>
      <c r="W36" s="5">
        <f>IF(DAY(DécDim1)=1,IF(AND(YEAR(DécDim1+6)=AnnéeCalendrier,MONTH(DécDim1+6)=12),DécDim1+6,""),IF(AND(YEAR(DécDim1+13)=AnnéeCalendrier,MONTH(DécDim1+13)=12),DécDim1+13,""))</f>
        <v>46368</v>
      </c>
      <c r="X36" s="7">
        <f>IF(DAY(DécDim1)=1,IF(AND(YEAR(DécDim1+7)=AnnéeCalendrier,MONTH(DécDim1+7)=12),DécDim1+7,""),IF(AND(YEAR(DécDim1+14)=AnnéeCalendrier,MONTH(DécDim1+14)=12),DécDim1+14,""))</f>
        <v>46369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46307</v>
      </c>
      <c r="C37" s="5">
        <f>IF(DAY(OctDim1)=1,IF(AND(YEAR(OctDim1+9)=AnnéeCalendrier,MONTH(OctDim1+9)=10),OctDim1+9,""),IF(AND(YEAR(OctDim1+16)=AnnéeCalendrier,MONTH(OctDim1+16)=10),OctDim1+16,""))</f>
        <v>46308</v>
      </c>
      <c r="D37" s="5">
        <f>IF(DAY(OctDim1)=1,IF(AND(YEAR(OctDim1+10)=AnnéeCalendrier,MONTH(OctDim1+10)=10),OctDim1+10,""),IF(AND(YEAR(OctDim1+17)=AnnéeCalendrier,MONTH(OctDim1+17)=10),OctDim1+17,""))</f>
        <v>46309</v>
      </c>
      <c r="E37" s="5">
        <f>IF(DAY(OctDim1)=1,IF(AND(YEAR(OctDim1+11)=AnnéeCalendrier,MONTH(OctDim1+11)=10),OctDim1+11,""),IF(AND(YEAR(OctDim1+18)=AnnéeCalendrier,MONTH(OctDim1+18)=10),OctDim1+18,""))</f>
        <v>46310</v>
      </c>
      <c r="F37" s="5">
        <f>IF(DAY(OctDim1)=1,IF(AND(YEAR(OctDim1+12)=AnnéeCalendrier,MONTH(OctDim1+12)=10),OctDim1+12,""),IF(AND(YEAR(OctDim1+19)=AnnéeCalendrier,MONTH(OctDim1+19)=10),OctDim1+19,""))</f>
        <v>46311</v>
      </c>
      <c r="G37" s="5">
        <f>IF(DAY(OctDim1)=1,IF(AND(YEAR(OctDim1+13)=AnnéeCalendrier,MONTH(OctDim1+13)=10),OctDim1+13,""),IF(AND(YEAR(OctDim1+20)=AnnéeCalendrier,MONTH(OctDim1+20)=10),OctDim1+20,""))</f>
        <v>46312</v>
      </c>
      <c r="H37" s="7">
        <f>IF(DAY(OctDim1)=1,IF(AND(YEAR(OctDim1+14)=AnnéeCalendrier,MONTH(OctDim1+14)=10),OctDim1+14,""),IF(AND(YEAR(OctDim1+21)=AnnéeCalendrier,MONTH(OctDim1+21)=10),OctDim1+21,""))</f>
        <v>46313</v>
      </c>
      <c r="I37" s="4"/>
      <c r="J37" s="6">
        <f>IF(DAY(NovDim1)=1,IF(AND(YEAR(NovDim1+8)=AnnéeCalendrier,MONTH(NovDim1+8)=11),NovDim1+8,""),IF(AND(YEAR(NovDim1+15)=AnnéeCalendrier,MONTH(NovDim1+15)=11),NovDim1+15,""))</f>
        <v>46335</v>
      </c>
      <c r="K37" s="5">
        <f>IF(DAY(NovDim1)=1,IF(AND(YEAR(NovDim1+9)=AnnéeCalendrier,MONTH(NovDim1+9)=11),NovDim1+9,""),IF(AND(YEAR(NovDim1+16)=AnnéeCalendrier,MONTH(NovDim1+16)=11),NovDim1+16,""))</f>
        <v>46336</v>
      </c>
      <c r="L37" s="5">
        <f>IF(DAY(NovDim1)=1,IF(AND(YEAR(NovDim1+10)=AnnéeCalendrier,MONTH(NovDim1+10)=11),NovDim1+10,""),IF(AND(YEAR(NovDim1+17)=AnnéeCalendrier,MONTH(NovDim1+17)=11),NovDim1+17,""))</f>
        <v>46337</v>
      </c>
      <c r="M37" s="5">
        <f>IF(DAY(NovDim1)=1,IF(AND(YEAR(NovDim1+11)=AnnéeCalendrier,MONTH(NovDim1+11)=11),NovDim1+11,""),IF(AND(YEAR(NovDim1+18)=AnnéeCalendrier,MONTH(NovDim1+18)=11),NovDim1+18,""))</f>
        <v>46338</v>
      </c>
      <c r="N37" s="5">
        <f>IF(DAY(NovDim1)=1,IF(AND(YEAR(NovDim1+12)=AnnéeCalendrier,MONTH(NovDim1+12)=11),NovDim1+12,""),IF(AND(YEAR(NovDim1+19)=AnnéeCalendrier,MONTH(NovDim1+19)=11),NovDim1+19,""))</f>
        <v>46339</v>
      </c>
      <c r="O37" s="5">
        <f>IF(DAY(NovDim1)=1,IF(AND(YEAR(NovDim1+13)=AnnéeCalendrier,MONTH(NovDim1+13)=11),NovDim1+13,""),IF(AND(YEAR(NovDim1+20)=AnnéeCalendrier,MONTH(NovDim1+20)=11),NovDim1+20,""))</f>
        <v>46340</v>
      </c>
      <c r="P37" s="7">
        <f>IF(DAY(NovDim1)=1,IF(AND(YEAR(NovDim1+14)=AnnéeCalendrier,MONTH(NovDim1+14)=11),NovDim1+14,""),IF(AND(YEAR(NovDim1+21)=AnnéeCalendrier,MONTH(NovDim1+21)=11),NovDim1+21,""))</f>
        <v>46341</v>
      </c>
      <c r="R37" s="6">
        <f>IF(DAY(DécDim1)=1,IF(AND(YEAR(DécDim1+8)=AnnéeCalendrier,MONTH(DécDim1+8)=12),DécDim1+8,""),IF(AND(YEAR(DécDim1+15)=AnnéeCalendrier,MONTH(DécDim1+15)=12),DécDim1+15,""))</f>
        <v>46370</v>
      </c>
      <c r="S37" s="5">
        <f>IF(DAY(DécDim1)=1,IF(AND(YEAR(DécDim1+9)=AnnéeCalendrier,MONTH(DécDim1+9)=12),DécDim1+9,""),IF(AND(YEAR(DécDim1+16)=AnnéeCalendrier,MONTH(DécDim1+16)=12),DécDim1+16,""))</f>
        <v>46371</v>
      </c>
      <c r="T37" s="5">
        <f>IF(DAY(DécDim1)=1,IF(AND(YEAR(DécDim1+10)=AnnéeCalendrier,MONTH(DécDim1+10)=12),DécDim1+10,""),IF(AND(YEAR(DécDim1+17)=AnnéeCalendrier,MONTH(DécDim1+17)=12),DécDim1+17,""))</f>
        <v>46372</v>
      </c>
      <c r="U37" s="5">
        <f>IF(DAY(DécDim1)=1,IF(AND(YEAR(DécDim1+11)=AnnéeCalendrier,MONTH(DécDim1+11)=12),DécDim1+11,""),IF(AND(YEAR(DécDim1+18)=AnnéeCalendrier,MONTH(DécDim1+18)=12),DécDim1+18,""))</f>
        <v>46373</v>
      </c>
      <c r="V37" s="5">
        <f>IF(DAY(DécDim1)=1,IF(AND(YEAR(DécDim1+12)=AnnéeCalendrier,MONTH(DécDim1+12)=12),DécDim1+12,""),IF(AND(YEAR(DécDim1+19)=AnnéeCalendrier,MONTH(DécDim1+19)=12),DécDim1+19,""))</f>
        <v>46374</v>
      </c>
      <c r="W37" s="5">
        <f>IF(DAY(DécDim1)=1,IF(AND(YEAR(DécDim1+13)=AnnéeCalendrier,MONTH(DécDim1+13)=12),DécDim1+13,""),IF(AND(YEAR(DécDim1+20)=AnnéeCalendrier,MONTH(DécDim1+20)=12),DécDim1+20,""))</f>
        <v>46375</v>
      </c>
      <c r="X37" s="7">
        <f>IF(DAY(DécDim1)=1,IF(AND(YEAR(DécDim1+14)=AnnéeCalendrier,MONTH(DécDim1+14)=12),DécDim1+14,""),IF(AND(YEAR(DécDim1+21)=AnnéeCalendrier,MONTH(DécDim1+21)=12),DécDim1+21,""))</f>
        <v>46376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46314</v>
      </c>
      <c r="C38" s="5">
        <f>IF(DAY(OctDim1)=1,IF(AND(YEAR(OctDim1+16)=AnnéeCalendrier,MONTH(OctDim1+16)=10),OctDim1+16,""),IF(AND(YEAR(OctDim1+23)=AnnéeCalendrier,MONTH(OctDim1+23)=10),OctDim1+23,""))</f>
        <v>46315</v>
      </c>
      <c r="D38" s="5">
        <f>IF(DAY(OctDim1)=1,IF(AND(YEAR(OctDim1+17)=AnnéeCalendrier,MONTH(OctDim1+17)=10),OctDim1+17,""),IF(AND(YEAR(OctDim1+24)=AnnéeCalendrier,MONTH(OctDim1+24)=10),OctDim1+24,""))</f>
        <v>46316</v>
      </c>
      <c r="E38" s="5">
        <f>IF(DAY(OctDim1)=1,IF(AND(YEAR(OctDim1+18)=AnnéeCalendrier,MONTH(OctDim1+18)=10),OctDim1+18,""),IF(AND(YEAR(OctDim1+25)=AnnéeCalendrier,MONTH(OctDim1+25)=10),OctDim1+25,""))</f>
        <v>46317</v>
      </c>
      <c r="F38" s="5">
        <f>IF(DAY(OctDim1)=1,IF(AND(YEAR(OctDim1+19)=AnnéeCalendrier,MONTH(OctDim1+19)=10),OctDim1+19,""),IF(AND(YEAR(OctDim1+26)=AnnéeCalendrier,MONTH(OctDim1+26)=10),OctDim1+26,""))</f>
        <v>46318</v>
      </c>
      <c r="G38" s="5">
        <f>IF(DAY(OctDim1)=1,IF(AND(YEAR(OctDim1+20)=AnnéeCalendrier,MONTH(OctDim1+20)=10),OctDim1+20,""),IF(AND(YEAR(OctDim1+27)=AnnéeCalendrier,MONTH(OctDim1+27)=10),OctDim1+27,""))</f>
        <v>46319</v>
      </c>
      <c r="H38" s="7">
        <f>IF(DAY(OctDim1)=1,IF(AND(YEAR(OctDim1+21)=AnnéeCalendrier,MONTH(OctDim1+21)=10),OctDim1+21,""),IF(AND(YEAR(OctDim1+28)=AnnéeCalendrier,MONTH(OctDim1+28)=10),OctDim1+28,""))</f>
        <v>46320</v>
      </c>
      <c r="I38" s="4"/>
      <c r="J38" s="6">
        <f>IF(DAY(NovDim1)=1,IF(AND(YEAR(NovDim1+15)=AnnéeCalendrier,MONTH(NovDim1+15)=11),NovDim1+15,""),IF(AND(YEAR(NovDim1+22)=AnnéeCalendrier,MONTH(NovDim1+22)=11),NovDim1+22,""))</f>
        <v>46342</v>
      </c>
      <c r="K38" s="5">
        <f>IF(DAY(NovDim1)=1,IF(AND(YEAR(NovDim1+16)=AnnéeCalendrier,MONTH(NovDim1+16)=11),NovDim1+16,""),IF(AND(YEAR(NovDim1+23)=AnnéeCalendrier,MONTH(NovDim1+23)=11),NovDim1+23,""))</f>
        <v>46343</v>
      </c>
      <c r="L38" s="5">
        <f>IF(DAY(NovDim1)=1,IF(AND(YEAR(NovDim1+17)=AnnéeCalendrier,MONTH(NovDim1+17)=11),NovDim1+17,""),IF(AND(YEAR(NovDim1+24)=AnnéeCalendrier,MONTH(NovDim1+24)=11),NovDim1+24,""))</f>
        <v>46344</v>
      </c>
      <c r="M38" s="5">
        <f>IF(DAY(NovDim1)=1,IF(AND(YEAR(NovDim1+18)=AnnéeCalendrier,MONTH(NovDim1+18)=11),NovDim1+18,""),IF(AND(YEAR(NovDim1+25)=AnnéeCalendrier,MONTH(NovDim1+25)=11),NovDim1+25,""))</f>
        <v>46345</v>
      </c>
      <c r="N38" s="5">
        <f>IF(DAY(NovDim1)=1,IF(AND(YEAR(NovDim1+19)=AnnéeCalendrier,MONTH(NovDim1+19)=11),NovDim1+19,""),IF(AND(YEAR(NovDim1+26)=AnnéeCalendrier,MONTH(NovDim1+26)=11),NovDim1+26,""))</f>
        <v>46346</v>
      </c>
      <c r="O38" s="5">
        <f>IF(DAY(NovDim1)=1,IF(AND(YEAR(NovDim1+20)=AnnéeCalendrier,MONTH(NovDim1+20)=11),NovDim1+20,""),IF(AND(YEAR(NovDim1+27)=AnnéeCalendrier,MONTH(NovDim1+27)=11),NovDim1+27,""))</f>
        <v>46347</v>
      </c>
      <c r="P38" s="7">
        <f>IF(DAY(NovDim1)=1,IF(AND(YEAR(NovDim1+21)=AnnéeCalendrier,MONTH(NovDim1+21)=11),NovDim1+21,""),IF(AND(YEAR(NovDim1+28)=AnnéeCalendrier,MONTH(NovDim1+28)=11),NovDim1+28,""))</f>
        <v>46348</v>
      </c>
      <c r="R38" s="6">
        <f>IF(DAY(DécDim1)=1,IF(AND(YEAR(DécDim1+15)=AnnéeCalendrier,MONTH(DécDim1+15)=12),DécDim1+15,""),IF(AND(YEAR(DécDim1+22)=AnnéeCalendrier,MONTH(DécDim1+22)=12),DécDim1+22,""))</f>
        <v>46377</v>
      </c>
      <c r="S38" s="5">
        <f>IF(DAY(DécDim1)=1,IF(AND(YEAR(DécDim1+16)=AnnéeCalendrier,MONTH(DécDim1+16)=12),DécDim1+16,""),IF(AND(YEAR(DécDim1+23)=AnnéeCalendrier,MONTH(DécDim1+23)=12),DécDim1+23,""))</f>
        <v>46378</v>
      </c>
      <c r="T38" s="5">
        <f>IF(DAY(DécDim1)=1,IF(AND(YEAR(DécDim1+17)=AnnéeCalendrier,MONTH(DécDim1+17)=12),DécDim1+17,""),IF(AND(YEAR(DécDim1+24)=AnnéeCalendrier,MONTH(DécDim1+24)=12),DécDim1+24,""))</f>
        <v>46379</v>
      </c>
      <c r="U38" s="5">
        <f>IF(DAY(DécDim1)=1,IF(AND(YEAR(DécDim1+18)=AnnéeCalendrier,MONTH(DécDim1+18)=12),DécDim1+18,""),IF(AND(YEAR(DécDim1+25)=AnnéeCalendrier,MONTH(DécDim1+25)=12),DécDim1+25,""))</f>
        <v>46380</v>
      </c>
      <c r="V38" s="5">
        <f>IF(DAY(DécDim1)=1,IF(AND(YEAR(DécDim1+19)=AnnéeCalendrier,MONTH(DécDim1+19)=12),DécDim1+19,""),IF(AND(YEAR(DécDim1+26)=AnnéeCalendrier,MONTH(DécDim1+26)=12),DécDim1+26,""))</f>
        <v>46381</v>
      </c>
      <c r="W38" s="5">
        <f>IF(DAY(DécDim1)=1,IF(AND(YEAR(DécDim1+20)=AnnéeCalendrier,MONTH(DécDim1+20)=12),DécDim1+20,""),IF(AND(YEAR(DécDim1+27)=AnnéeCalendrier,MONTH(DécDim1+27)=12),DécDim1+27,""))</f>
        <v>46382</v>
      </c>
      <c r="X38" s="7">
        <f>IF(DAY(DécDim1)=1,IF(AND(YEAR(DécDim1+21)=AnnéeCalendrier,MONTH(DécDim1+21)=12),DécDim1+21,""),IF(AND(YEAR(DécDim1+28)=AnnéeCalendrier,MONTH(DécDim1+28)=12),DécDim1+28,""))</f>
        <v>46383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46321</v>
      </c>
      <c r="C39" s="5">
        <f>IF(DAY(OctDim1)=1,IF(AND(YEAR(OctDim1+23)=AnnéeCalendrier,MONTH(OctDim1+23)=10),OctDim1+23,""),IF(AND(YEAR(OctDim1+30)=AnnéeCalendrier,MONTH(OctDim1+30)=10),OctDim1+30,""))</f>
        <v>46322</v>
      </c>
      <c r="D39" s="5">
        <f>IF(DAY(OctDim1)=1,IF(AND(YEAR(OctDim1+24)=AnnéeCalendrier,MONTH(OctDim1+24)=10),OctDim1+24,""),IF(AND(YEAR(OctDim1+31)=AnnéeCalendrier,MONTH(OctDim1+31)=10),OctDim1+31,""))</f>
        <v>46323</v>
      </c>
      <c r="E39" s="5">
        <f>IF(DAY(OctDim1)=1,IF(AND(YEAR(OctDim1+25)=AnnéeCalendrier,MONTH(OctDim1+25)=10),OctDim1+25,""),IF(AND(YEAR(OctDim1+32)=AnnéeCalendrier,MONTH(OctDim1+32)=10),OctDim1+32,""))</f>
        <v>46324</v>
      </c>
      <c r="F39" s="5">
        <f>IF(DAY(OctDim1)=1,IF(AND(YEAR(OctDim1+26)=AnnéeCalendrier,MONTH(OctDim1+26)=10),OctDim1+26,""),IF(AND(YEAR(OctDim1+33)=AnnéeCalendrier,MONTH(OctDim1+33)=10),OctDim1+33,""))</f>
        <v>46325</v>
      </c>
      <c r="G39" s="5">
        <f>IF(DAY(OctDim1)=1,IF(AND(YEAR(OctDim1+27)=AnnéeCalendrier,MONTH(OctDim1+27)=10),OctDim1+27,""),IF(AND(YEAR(OctDim1+34)=AnnéeCalendrier,MONTH(OctDim1+34)=10),OctDim1+34,""))</f>
        <v>46326</v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46349</v>
      </c>
      <c r="K39" s="5">
        <f>IF(DAY(NovDim1)=1,IF(AND(YEAR(NovDim1+23)=AnnéeCalendrier,MONTH(NovDim1+23)=11),NovDim1+23,""),IF(AND(YEAR(NovDim1+30)=AnnéeCalendrier,MONTH(NovDim1+30)=11),NovDim1+30,""))</f>
        <v>46350</v>
      </c>
      <c r="L39" s="5">
        <f>IF(DAY(NovDim1)=1,IF(AND(YEAR(NovDim1+24)=AnnéeCalendrier,MONTH(NovDim1+24)=11),NovDim1+24,""),IF(AND(YEAR(NovDim1+31)=AnnéeCalendrier,MONTH(NovDim1+31)=11),NovDim1+31,""))</f>
        <v>46351</v>
      </c>
      <c r="M39" s="5">
        <f>IF(DAY(NovDim1)=1,IF(AND(YEAR(NovDim1+25)=AnnéeCalendrier,MONTH(NovDim1+25)=11),NovDim1+25,""),IF(AND(YEAR(NovDim1+32)=AnnéeCalendrier,MONTH(NovDim1+32)=11),NovDim1+32,""))</f>
        <v>46352</v>
      </c>
      <c r="N39" s="5">
        <f>IF(DAY(NovDim1)=1,IF(AND(YEAR(NovDim1+26)=AnnéeCalendrier,MONTH(NovDim1+26)=11),NovDim1+26,""),IF(AND(YEAR(NovDim1+33)=AnnéeCalendrier,MONTH(NovDim1+33)=11),NovDim1+33,""))</f>
        <v>46353</v>
      </c>
      <c r="O39" s="5">
        <f>IF(DAY(NovDim1)=1,IF(AND(YEAR(NovDim1+27)=AnnéeCalendrier,MONTH(NovDim1+27)=11),NovDim1+27,""),IF(AND(YEAR(NovDim1+34)=AnnéeCalendrier,MONTH(NovDim1+34)=11),NovDim1+34,""))</f>
        <v>46354</v>
      </c>
      <c r="P39" s="7">
        <f>IF(DAY(NovDim1)=1,IF(AND(YEAR(NovDim1+28)=AnnéeCalendrier,MONTH(NovDim1+28)=11),NovDim1+28,""),IF(AND(YEAR(NovDim1+35)=AnnéeCalendrier,MONTH(NovDim1+35)=11),NovDim1+35,""))</f>
        <v>46355</v>
      </c>
      <c r="R39" s="6">
        <f>IF(DAY(DécDim1)=1,IF(AND(YEAR(DécDim1+22)=AnnéeCalendrier,MONTH(DécDim1+22)=12),DécDim1+22,""),IF(AND(YEAR(DécDim1+29)=AnnéeCalendrier,MONTH(DécDim1+29)=12),DécDim1+29,""))</f>
        <v>46384</v>
      </c>
      <c r="S39" s="5">
        <f>IF(DAY(DécDim1)=1,IF(AND(YEAR(DécDim1+23)=AnnéeCalendrier,MONTH(DécDim1+23)=12),DécDim1+23,""),IF(AND(YEAR(DécDim1+30)=AnnéeCalendrier,MONTH(DécDim1+30)=12),DécDim1+30,""))</f>
        <v>46385</v>
      </c>
      <c r="T39" s="5">
        <f>IF(DAY(DécDim1)=1,IF(AND(YEAR(DécDim1+24)=AnnéeCalendrier,MONTH(DécDim1+24)=12),DécDim1+24,""),IF(AND(YEAR(DécDim1+31)=AnnéeCalendrier,MONTH(DécDim1+31)=12),DécDim1+31,""))</f>
        <v>46386</v>
      </c>
      <c r="U39" s="5">
        <f>IF(DAY(DécDim1)=1,IF(AND(YEAR(DécDim1+25)=AnnéeCalendrier,MONTH(DécDim1+25)=12),DécDim1+25,""),IF(AND(YEAR(DécDim1+32)=AnnéeCalendrier,MONTH(DécDim1+32)=12),DécDim1+32,""))</f>
        <v>46387</v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>
        <f>IF(DAY(NovDim1)=1,IF(AND(YEAR(NovDim1+29)=AnnéeCalendrier,MONTH(NovDim1+29)=11),NovDim1+29,""),IF(AND(YEAR(NovDim1+36)=AnnéeCalendrier,MONTH(NovDim1+36)=11),NovDim1+36,""))</f>
        <v>46356</v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625" priority="1">
      <formula>LEN(TRIM(B8))&gt;0</formula>
    </cfRule>
  </conditionalFormatting>
  <conditionalFormatting sqref="J8:P13">
    <cfRule type="notContainsBlanks" dxfId="624" priority="2">
      <formula>LEN(TRIM(J8))&gt;0</formula>
    </cfRule>
  </conditionalFormatting>
  <conditionalFormatting sqref="R8:X13">
    <cfRule type="notContainsBlanks" dxfId="623" priority="3">
      <formula>LEN(TRIM(R8))&gt;0</formula>
    </cfRule>
  </conditionalFormatting>
  <conditionalFormatting sqref="B17:H22">
    <cfRule type="notContainsBlanks" dxfId="622" priority="4">
      <formula>LEN(TRIM(B17))&gt;0</formula>
    </cfRule>
  </conditionalFormatting>
  <conditionalFormatting sqref="J17:P22">
    <cfRule type="notContainsBlanks" dxfId="621" priority="5">
      <formula>LEN(TRIM(J17))&gt;0</formula>
    </cfRule>
  </conditionalFormatting>
  <conditionalFormatting sqref="R17:X22">
    <cfRule type="notContainsBlanks" dxfId="620" priority="6">
      <formula>LEN(TRIM(R17))&gt;0</formula>
    </cfRule>
  </conditionalFormatting>
  <conditionalFormatting sqref="R35:X40">
    <cfRule type="notContainsBlanks" dxfId="619" priority="12">
      <formula>LEN(TRIM(R35))&gt;0</formula>
    </cfRule>
  </conditionalFormatting>
  <conditionalFormatting sqref="B26:H31">
    <cfRule type="notContainsBlanks" dxfId="618" priority="7">
      <formula>LEN(TRIM(B26))&gt;0</formula>
    </cfRule>
  </conditionalFormatting>
  <conditionalFormatting sqref="J26:P31">
    <cfRule type="notContainsBlanks" dxfId="617" priority="8">
      <formula>LEN(TRIM(J26))&gt;0</formula>
    </cfRule>
  </conditionalFormatting>
  <conditionalFormatting sqref="R26:X31">
    <cfRule type="notContainsBlanks" dxfId="616" priority="9">
      <formula>LEN(TRIM(R26))&gt;0</formula>
    </cfRule>
  </conditionalFormatting>
  <conditionalFormatting sqref="B35:H40">
    <cfRule type="notContainsBlanks" dxfId="615" priority="10">
      <formula>LEN(TRIM(B35))&gt;0</formula>
    </cfRule>
  </conditionalFormatting>
  <conditionalFormatting sqref="J35:P40">
    <cfRule type="notContainsBlanks" dxfId="614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9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9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wsTCalendar11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2027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>
        <f>IF(DAY(JanDim1)=1,"",IF(AND(YEAR(JanDim1+5)=AnnéeCalendrier,MONTH(JanDim1+5)=1),JanDim1+5,""))</f>
        <v>46388</v>
      </c>
      <c r="G8" s="5">
        <f>IF(DAY(JanDim1)=1,"",IF(AND(YEAR(JanDim1+6)=AnnéeCalendrier,MONTH(JanDim1+6)=1),JanDim1+6,""))</f>
        <v>46389</v>
      </c>
      <c r="H8" s="5">
        <f>IF(DAY(JanDim1)=1,IF(AND(YEAR(JanDim1)=AnnéeCalendrier,MONTH(JanDim1)=1),JanDim1,""),IF(AND(YEAR(JanDim1+7)=AnnéeCalendrier,MONTH(JanDim1+7)=1),JanDim1+7,""))</f>
        <v>46390</v>
      </c>
      <c r="I8" s="4"/>
      <c r="J8" s="5">
        <f>IF(DAY(FévDim1)=1,"",IF(AND(YEAR(FévDim1+1)=AnnéeCalendrier,MONTH(FévDim1+1)=2),FévDim1+1,""))</f>
        <v>46419</v>
      </c>
      <c r="K8" s="5">
        <f>IF(DAY(FévDim1)=1,"",IF(AND(YEAR(FévDim1+2)=AnnéeCalendrier,MONTH(FévDim1+2)=2),FévDim1+2,""))</f>
        <v>46420</v>
      </c>
      <c r="L8" s="5">
        <f>IF(DAY(FévDim1)=1,"",IF(AND(YEAR(FévDim1+3)=AnnéeCalendrier,MONTH(FévDim1+3)=2),FévDim1+3,""))</f>
        <v>46421</v>
      </c>
      <c r="M8" s="5">
        <f>IF(DAY(FévDim1)=1,"",IF(AND(YEAR(FévDim1+4)=AnnéeCalendrier,MONTH(FévDim1+4)=2),FévDim1+4,""))</f>
        <v>46422</v>
      </c>
      <c r="N8" s="5">
        <f>IF(DAY(FévDim1)=1,"",IF(AND(YEAR(FévDim1+5)=AnnéeCalendrier,MONTH(FévDim1+5)=2),FévDim1+5,""))</f>
        <v>46423</v>
      </c>
      <c r="O8" s="5">
        <f>IF(DAY(FévDim1)=1,"",IF(AND(YEAR(FévDim1+6)=AnnéeCalendrier,MONTH(FévDim1+6)=2),FévDim1+6,""))</f>
        <v>46424</v>
      </c>
      <c r="P8" s="5">
        <f>IF(DAY(FévDim1)=1,IF(AND(YEAR(FévDim1)=AnnéeCalendrier,MONTH(FévDim1)=2),FévDim1,""),IF(AND(YEAR(FévDim1+7)=AnnéeCalendrier,MONTH(FévDim1+7)=2),FévDim1+7,""))</f>
        <v>46425</v>
      </c>
      <c r="Q8" s="4"/>
      <c r="R8" s="5">
        <f>IF(DAY(MarDim1)=1,"",IF(AND(YEAR(MarDim1+1)=AnnéeCalendrier,MONTH(MarDim1+1)=3),MarDim1+1,""))</f>
        <v>46447</v>
      </c>
      <c r="S8" s="5">
        <f>IF(DAY(MarDim1)=1,"",IF(AND(YEAR(MarDim1+2)=AnnéeCalendrier,MONTH(MarDim1+2)=3),MarDim1+2,""))</f>
        <v>46448</v>
      </c>
      <c r="T8" s="5">
        <f>IF(DAY(MarDim1)=1,"",IF(AND(YEAR(MarDim1+3)=AnnéeCalendrier,MONTH(MarDim1+3)=3),MarDim1+3,""))</f>
        <v>46449</v>
      </c>
      <c r="U8" s="5">
        <f>IF(DAY(MarDim1)=1,"",IF(AND(YEAR(MarDim1+4)=AnnéeCalendrier,MONTH(MarDim1+4)=3),MarDim1+4,""))</f>
        <v>46450</v>
      </c>
      <c r="V8" s="5">
        <f>IF(DAY(MarDim1)=1,"",IF(AND(YEAR(MarDim1+5)=AnnéeCalendrier,MONTH(MarDim1+5)=3),MarDim1+5,""))</f>
        <v>46451</v>
      </c>
      <c r="W8" s="5">
        <f>IF(DAY(MarDim1)=1,"",IF(AND(YEAR(MarDim1+6)=AnnéeCalendrier,MONTH(MarDim1+6)=3),MarDim1+6,""))</f>
        <v>46452</v>
      </c>
      <c r="X8" s="5">
        <f>IF(DAY(MarDim1)=1,IF(AND(YEAR(MarDim1)=AnnéeCalendrier,MONTH(MarDim1)=3),MarDim1,""),IF(AND(YEAR(MarDim1+7)=AnnéeCalendrier,MONTH(MarDim1+7)=3),MarDim1+7,""))</f>
        <v>46453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46391</v>
      </c>
      <c r="C9" s="5">
        <f>IF(DAY(JanDim1)=1,IF(AND(YEAR(JanDim1+2)=AnnéeCalendrier,MONTH(JanDim1+2)=1),JanDim1+2,""),IF(AND(YEAR(JanDim1+9)=AnnéeCalendrier,MONTH(JanDim1+9)=1),JanDim1+9,""))</f>
        <v>46392</v>
      </c>
      <c r="D9" s="5">
        <f>IF(DAY(JanDim1)=1,IF(AND(YEAR(JanDim1+3)=AnnéeCalendrier,MONTH(JanDim1+3)=1),JanDim1+3,""),IF(AND(YEAR(JanDim1+10)=AnnéeCalendrier,MONTH(JanDim1+10)=1),JanDim1+10,""))</f>
        <v>46393</v>
      </c>
      <c r="E9" s="5">
        <f>IF(DAY(JanDim1)=1,IF(AND(YEAR(JanDim1+4)=AnnéeCalendrier,MONTH(JanDim1+4)=1),JanDim1+4,""),IF(AND(YEAR(JanDim1+11)=AnnéeCalendrier,MONTH(JanDim1+11)=1),JanDim1+11,""))</f>
        <v>46394</v>
      </c>
      <c r="F9" s="5">
        <f>IF(DAY(JanDim1)=1,IF(AND(YEAR(JanDim1+5)=AnnéeCalendrier,MONTH(JanDim1+5)=1),JanDim1+5,""),IF(AND(YEAR(JanDim1+12)=AnnéeCalendrier,MONTH(JanDim1+12)=1),JanDim1+12,""))</f>
        <v>46395</v>
      </c>
      <c r="G9" s="5">
        <f>IF(DAY(JanDim1)=1,IF(AND(YEAR(JanDim1+6)=AnnéeCalendrier,MONTH(JanDim1+6)=1),JanDim1+6,""),IF(AND(YEAR(JanDim1+13)=AnnéeCalendrier,MONTH(JanDim1+13)=1),JanDim1+13,""))</f>
        <v>46396</v>
      </c>
      <c r="H9" s="5">
        <f>IF(DAY(JanDim1)=1,IF(AND(YEAR(JanDim1+7)=AnnéeCalendrier,MONTH(JanDim1+7)=1),JanDim1+7,""),IF(AND(YEAR(JanDim1+14)=AnnéeCalendrier,MONTH(JanDim1+14)=1),JanDim1+14,""))</f>
        <v>46397</v>
      </c>
      <c r="I9" s="4"/>
      <c r="J9" s="5">
        <f>IF(DAY(FévDim1)=1,IF(AND(YEAR(FévDim1+1)=AnnéeCalendrier,MONTH(FévDim1+1)=2),FévDim1+1,""),IF(AND(YEAR(FévDim1+8)=AnnéeCalendrier,MONTH(FévDim1+8)=2),FévDim1+8,""))</f>
        <v>46426</v>
      </c>
      <c r="K9" s="5">
        <f>IF(DAY(FévDim1)=1,IF(AND(YEAR(FévDim1+2)=AnnéeCalendrier,MONTH(FévDim1+2)=2),FévDim1+2,""),IF(AND(YEAR(FévDim1+9)=AnnéeCalendrier,MONTH(FévDim1+9)=2),FévDim1+9,""))</f>
        <v>46427</v>
      </c>
      <c r="L9" s="5">
        <f>IF(DAY(FévDim1)=1,IF(AND(YEAR(FévDim1+3)=AnnéeCalendrier,MONTH(FévDim1+3)=2),FévDim1+3,""),IF(AND(YEAR(FévDim1+10)=AnnéeCalendrier,MONTH(FévDim1+10)=2),FévDim1+10,""))</f>
        <v>46428</v>
      </c>
      <c r="M9" s="5">
        <f>IF(DAY(FévDim1)=1,IF(AND(YEAR(FévDim1+4)=AnnéeCalendrier,MONTH(FévDim1+4)=2),FévDim1+4,""),IF(AND(YEAR(FévDim1+11)=AnnéeCalendrier,MONTH(FévDim1+11)=2),FévDim1+11,""))</f>
        <v>46429</v>
      </c>
      <c r="N9" s="5">
        <f>IF(DAY(FévDim1)=1,IF(AND(YEAR(FévDim1+5)=AnnéeCalendrier,MONTH(FévDim1+5)=2),FévDim1+5,""),IF(AND(YEAR(FévDim1+12)=AnnéeCalendrier,MONTH(FévDim1+12)=2),FévDim1+12,""))</f>
        <v>46430</v>
      </c>
      <c r="O9" s="5">
        <f>IF(DAY(FévDim1)=1,IF(AND(YEAR(FévDim1+6)=AnnéeCalendrier,MONTH(FévDim1+6)=2),FévDim1+6,""),IF(AND(YEAR(FévDim1+13)=AnnéeCalendrier,MONTH(FévDim1+13)=2),FévDim1+13,""))</f>
        <v>46431</v>
      </c>
      <c r="P9" s="5">
        <f>IF(DAY(FévDim1)=1,IF(AND(YEAR(FévDim1+7)=AnnéeCalendrier,MONTH(FévDim1+7)=2),FévDim1+7,""),IF(AND(YEAR(FévDim1+14)=AnnéeCalendrier,MONTH(FévDim1+14)=2),FévDim1+14,""))</f>
        <v>46432</v>
      </c>
      <c r="Q9" s="4"/>
      <c r="R9" s="5">
        <f>IF(DAY(MarDim1)=1,IF(AND(YEAR(MarDim1+1)=AnnéeCalendrier,MONTH(MarDim1+1)=3),MarDim1+1,""),IF(AND(YEAR(MarDim1+8)=AnnéeCalendrier,MONTH(MarDim1+8)=3),MarDim1+8,""))</f>
        <v>46454</v>
      </c>
      <c r="S9" s="5">
        <f>IF(DAY(MarDim1)=1,IF(AND(YEAR(MarDim1+2)=AnnéeCalendrier,MONTH(MarDim1+2)=3),MarDim1+2,""),IF(AND(YEAR(MarDim1+9)=AnnéeCalendrier,MONTH(MarDim1+9)=3),MarDim1+9,""))</f>
        <v>46455</v>
      </c>
      <c r="T9" s="5">
        <f>IF(DAY(MarDim1)=1,IF(AND(YEAR(MarDim1+3)=AnnéeCalendrier,MONTH(MarDim1+3)=3),MarDim1+3,""),IF(AND(YEAR(MarDim1+10)=AnnéeCalendrier,MONTH(MarDim1+10)=3),MarDim1+10,""))</f>
        <v>46456</v>
      </c>
      <c r="U9" s="5">
        <f>IF(DAY(MarDim1)=1,IF(AND(YEAR(MarDim1+4)=AnnéeCalendrier,MONTH(MarDim1+4)=3),MarDim1+4,""),IF(AND(YEAR(MarDim1+11)=AnnéeCalendrier,MONTH(MarDim1+11)=3),MarDim1+11,""))</f>
        <v>46457</v>
      </c>
      <c r="V9" s="5">
        <f>IF(DAY(MarDim1)=1,IF(AND(YEAR(MarDim1+5)=AnnéeCalendrier,MONTH(MarDim1+5)=3),MarDim1+5,""),IF(AND(YEAR(MarDim1+12)=AnnéeCalendrier,MONTH(MarDim1+12)=3),MarDim1+12,""))</f>
        <v>46458</v>
      </c>
      <c r="W9" s="5">
        <f>IF(DAY(MarDim1)=1,IF(AND(YEAR(MarDim1+6)=AnnéeCalendrier,MONTH(MarDim1+6)=3),MarDim1+6,""),IF(AND(YEAR(MarDim1+13)=AnnéeCalendrier,MONTH(MarDim1+13)=3),MarDim1+13,""))</f>
        <v>46459</v>
      </c>
      <c r="X9" s="5">
        <f>IF(DAY(MarDim1)=1,IF(AND(YEAR(MarDim1+7)=AnnéeCalendrier,MONTH(MarDim1+7)=3),MarDim1+7,""),IF(AND(YEAR(MarDim1+14)=AnnéeCalendrier,MONTH(MarDim1+14)=3),MarDim1+14,""))</f>
        <v>46460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46398</v>
      </c>
      <c r="C10" s="5">
        <f>IF(DAY(JanDim1)=1,IF(AND(YEAR(JanDim1+9)=AnnéeCalendrier,MONTH(JanDim1+9)=1),JanDim1+9,""),IF(AND(YEAR(JanDim1+16)=AnnéeCalendrier,MONTH(JanDim1+16)=1),JanDim1+16,""))</f>
        <v>46399</v>
      </c>
      <c r="D10" s="5">
        <f>IF(DAY(JanDim1)=1,IF(AND(YEAR(JanDim1+10)=AnnéeCalendrier,MONTH(JanDim1+10)=1),JanDim1+10,""),IF(AND(YEAR(JanDim1+17)=AnnéeCalendrier,MONTH(JanDim1+17)=1),JanDim1+17,""))</f>
        <v>46400</v>
      </c>
      <c r="E10" s="5">
        <f>IF(DAY(JanDim1)=1,IF(AND(YEAR(JanDim1+11)=AnnéeCalendrier,MONTH(JanDim1+11)=1),JanDim1+11,""),IF(AND(YEAR(JanDim1+18)=AnnéeCalendrier,MONTH(JanDim1+18)=1),JanDim1+18,""))</f>
        <v>46401</v>
      </c>
      <c r="F10" s="5">
        <f>IF(DAY(JanDim1)=1,IF(AND(YEAR(JanDim1+12)=AnnéeCalendrier,MONTH(JanDim1+12)=1),JanDim1+12,""),IF(AND(YEAR(JanDim1+19)=AnnéeCalendrier,MONTH(JanDim1+19)=1),JanDim1+19,""))</f>
        <v>46402</v>
      </c>
      <c r="G10" s="5">
        <f>IF(DAY(JanDim1)=1,IF(AND(YEAR(JanDim1+13)=AnnéeCalendrier,MONTH(JanDim1+13)=1),JanDim1+13,""),IF(AND(YEAR(JanDim1+20)=AnnéeCalendrier,MONTH(JanDim1+20)=1),JanDim1+20,""))</f>
        <v>46403</v>
      </c>
      <c r="H10" s="5">
        <f>IF(DAY(JanDim1)=1,IF(AND(YEAR(JanDim1+14)=AnnéeCalendrier,MONTH(JanDim1+14)=1),JanDim1+14,""),IF(AND(YEAR(JanDim1+21)=AnnéeCalendrier,MONTH(JanDim1+21)=1),JanDim1+21,""))</f>
        <v>46404</v>
      </c>
      <c r="I10" s="4"/>
      <c r="J10" s="5">
        <f>IF(DAY(FévDim1)=1,IF(AND(YEAR(FévDim1+8)=AnnéeCalendrier,MONTH(FévDim1+8)=2),FévDim1+8,""),IF(AND(YEAR(FévDim1+15)=AnnéeCalendrier,MONTH(FévDim1+15)=2),FévDim1+15,""))</f>
        <v>46433</v>
      </c>
      <c r="K10" s="5">
        <f>IF(DAY(FévDim1)=1,IF(AND(YEAR(FévDim1+9)=AnnéeCalendrier,MONTH(FévDim1+9)=2),FévDim1+9,""),IF(AND(YEAR(FévDim1+16)=AnnéeCalendrier,MONTH(FévDim1+16)=2),FévDim1+16,""))</f>
        <v>46434</v>
      </c>
      <c r="L10" s="5">
        <f>IF(DAY(FévDim1)=1,IF(AND(YEAR(FévDim1+10)=AnnéeCalendrier,MONTH(FévDim1+10)=2),FévDim1+10,""),IF(AND(YEAR(FévDim1+17)=AnnéeCalendrier,MONTH(FévDim1+17)=2),FévDim1+17,""))</f>
        <v>46435</v>
      </c>
      <c r="M10" s="5">
        <f>IF(DAY(FévDim1)=1,IF(AND(YEAR(FévDim1+11)=AnnéeCalendrier,MONTH(FévDim1+11)=2),FévDim1+11,""),IF(AND(YEAR(FévDim1+18)=AnnéeCalendrier,MONTH(FévDim1+18)=2),FévDim1+18,""))</f>
        <v>46436</v>
      </c>
      <c r="N10" s="5">
        <f>IF(DAY(FévDim1)=1,IF(AND(YEAR(FévDim1+12)=AnnéeCalendrier,MONTH(FévDim1+12)=2),FévDim1+12,""),IF(AND(YEAR(FévDim1+19)=AnnéeCalendrier,MONTH(FévDim1+19)=2),FévDim1+19,""))</f>
        <v>46437</v>
      </c>
      <c r="O10" s="5">
        <f>IF(DAY(FévDim1)=1,IF(AND(YEAR(FévDim1+13)=AnnéeCalendrier,MONTH(FévDim1+13)=2),FévDim1+13,""),IF(AND(YEAR(FévDim1+20)=AnnéeCalendrier,MONTH(FévDim1+20)=2),FévDim1+20,""))</f>
        <v>46438</v>
      </c>
      <c r="P10" s="5">
        <f>IF(DAY(FévDim1)=1,IF(AND(YEAR(FévDim1+14)=AnnéeCalendrier,MONTH(FévDim1+14)=2),FévDim1+14,""),IF(AND(YEAR(FévDim1+21)=AnnéeCalendrier,MONTH(FévDim1+21)=2),FévDim1+21,""))</f>
        <v>46439</v>
      </c>
      <c r="Q10" s="4"/>
      <c r="R10" s="5">
        <f>IF(DAY(MarDim1)=1,IF(AND(YEAR(MarDim1+8)=AnnéeCalendrier,MONTH(MarDim1+8)=3),MarDim1+8,""),IF(AND(YEAR(MarDim1+15)=AnnéeCalendrier,MONTH(MarDim1+15)=3),MarDim1+15,""))</f>
        <v>46461</v>
      </c>
      <c r="S10" s="5">
        <f>IF(DAY(MarDim1)=1,IF(AND(YEAR(MarDim1+9)=AnnéeCalendrier,MONTH(MarDim1+9)=3),MarDim1+9,""),IF(AND(YEAR(MarDim1+16)=AnnéeCalendrier,MONTH(MarDim1+16)=3),MarDim1+16,""))</f>
        <v>46462</v>
      </c>
      <c r="T10" s="5">
        <f>IF(DAY(MarDim1)=1,IF(AND(YEAR(MarDim1+10)=AnnéeCalendrier,MONTH(MarDim1+10)=3),MarDim1+10,""),IF(AND(YEAR(MarDim1+17)=AnnéeCalendrier,MONTH(MarDim1+17)=3),MarDim1+17,""))</f>
        <v>46463</v>
      </c>
      <c r="U10" s="5">
        <f>IF(DAY(MarDim1)=1,IF(AND(YEAR(MarDim1+11)=AnnéeCalendrier,MONTH(MarDim1+11)=3),MarDim1+11,""),IF(AND(YEAR(MarDim1+18)=AnnéeCalendrier,MONTH(MarDim1+18)=3),MarDim1+18,""))</f>
        <v>46464</v>
      </c>
      <c r="V10" s="5">
        <f>IF(DAY(MarDim1)=1,IF(AND(YEAR(MarDim1+12)=AnnéeCalendrier,MONTH(MarDim1+12)=3),MarDim1+12,""),IF(AND(YEAR(MarDim1+19)=AnnéeCalendrier,MONTH(MarDim1+19)=3),MarDim1+19,""))</f>
        <v>46465</v>
      </c>
      <c r="W10" s="5">
        <f>IF(DAY(MarDim1)=1,IF(AND(YEAR(MarDim1+13)=AnnéeCalendrier,MONTH(MarDim1+13)=3),MarDim1+13,""),IF(AND(YEAR(MarDim1+20)=AnnéeCalendrier,MONTH(MarDim1+20)=3),MarDim1+20,""))</f>
        <v>46466</v>
      </c>
      <c r="X10" s="5">
        <f>IF(DAY(MarDim1)=1,IF(AND(YEAR(MarDim1+14)=AnnéeCalendrier,MONTH(MarDim1+14)=3),MarDim1+14,""),IF(AND(YEAR(MarDim1+21)=AnnéeCalendrier,MONTH(MarDim1+21)=3),MarDim1+21,""))</f>
        <v>46467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46405</v>
      </c>
      <c r="C11" s="5">
        <f>IF(DAY(JanDim1)=1,IF(AND(YEAR(JanDim1+16)=AnnéeCalendrier,MONTH(JanDim1+16)=1),JanDim1+16,""),IF(AND(YEAR(JanDim1+23)=AnnéeCalendrier,MONTH(JanDim1+23)=1),JanDim1+23,""))</f>
        <v>46406</v>
      </c>
      <c r="D11" s="5">
        <f>IF(DAY(JanDim1)=1,IF(AND(YEAR(JanDim1+17)=AnnéeCalendrier,MONTH(JanDim1+17)=1),JanDim1+17,""),IF(AND(YEAR(JanDim1+24)=AnnéeCalendrier,MONTH(JanDim1+24)=1),JanDim1+24,""))</f>
        <v>46407</v>
      </c>
      <c r="E11" s="5">
        <f>IF(DAY(JanDim1)=1,IF(AND(YEAR(JanDim1+18)=AnnéeCalendrier,MONTH(JanDim1+18)=1),JanDim1+18,""),IF(AND(YEAR(JanDim1+25)=AnnéeCalendrier,MONTH(JanDim1+25)=1),JanDim1+25,""))</f>
        <v>46408</v>
      </c>
      <c r="F11" s="5">
        <f>IF(DAY(JanDim1)=1,IF(AND(YEAR(JanDim1+19)=AnnéeCalendrier,MONTH(JanDim1+19)=1),JanDim1+19,""),IF(AND(YEAR(JanDim1+26)=AnnéeCalendrier,MONTH(JanDim1+26)=1),JanDim1+26,""))</f>
        <v>46409</v>
      </c>
      <c r="G11" s="5">
        <f>IF(DAY(JanDim1)=1,IF(AND(YEAR(JanDim1+20)=AnnéeCalendrier,MONTH(JanDim1+20)=1),JanDim1+20,""),IF(AND(YEAR(JanDim1+27)=AnnéeCalendrier,MONTH(JanDim1+27)=1),JanDim1+27,""))</f>
        <v>46410</v>
      </c>
      <c r="H11" s="5">
        <f>IF(DAY(JanDim1)=1,IF(AND(YEAR(JanDim1+21)=AnnéeCalendrier,MONTH(JanDim1+21)=1),JanDim1+21,""),IF(AND(YEAR(JanDim1+28)=AnnéeCalendrier,MONTH(JanDim1+28)=1),JanDim1+28,""))</f>
        <v>46411</v>
      </c>
      <c r="I11" s="4"/>
      <c r="J11" s="5">
        <f>IF(DAY(FévDim1)=1,IF(AND(YEAR(FévDim1+15)=AnnéeCalendrier,MONTH(FévDim1+15)=2),FévDim1+15,""),IF(AND(YEAR(FévDim1+22)=AnnéeCalendrier,MONTH(FévDim1+22)=2),FévDim1+22,""))</f>
        <v>46440</v>
      </c>
      <c r="K11" s="5">
        <f>IF(DAY(FévDim1)=1,IF(AND(YEAR(FévDim1+16)=AnnéeCalendrier,MONTH(FévDim1+16)=2),FévDim1+16,""),IF(AND(YEAR(FévDim1+23)=AnnéeCalendrier,MONTH(FévDim1+23)=2),FévDim1+23,""))</f>
        <v>46441</v>
      </c>
      <c r="L11" s="5">
        <f>IF(DAY(FévDim1)=1,IF(AND(YEAR(FévDim1+17)=AnnéeCalendrier,MONTH(FévDim1+17)=2),FévDim1+17,""),IF(AND(YEAR(FévDim1+24)=AnnéeCalendrier,MONTH(FévDim1+24)=2),FévDim1+24,""))</f>
        <v>46442</v>
      </c>
      <c r="M11" s="5">
        <f>IF(DAY(FévDim1)=1,IF(AND(YEAR(FévDim1+18)=AnnéeCalendrier,MONTH(FévDim1+18)=2),FévDim1+18,""),IF(AND(YEAR(FévDim1+25)=AnnéeCalendrier,MONTH(FévDim1+25)=2),FévDim1+25,""))</f>
        <v>46443</v>
      </c>
      <c r="N11" s="5">
        <f>IF(DAY(FévDim1)=1,IF(AND(YEAR(FévDim1+19)=AnnéeCalendrier,MONTH(FévDim1+19)=2),FévDim1+19,""),IF(AND(YEAR(FévDim1+26)=AnnéeCalendrier,MONTH(FévDim1+26)=2),FévDim1+26,""))</f>
        <v>46444</v>
      </c>
      <c r="O11" s="5">
        <f>IF(DAY(FévDim1)=1,IF(AND(YEAR(FévDim1+20)=AnnéeCalendrier,MONTH(FévDim1+20)=2),FévDim1+20,""),IF(AND(YEAR(FévDim1+27)=AnnéeCalendrier,MONTH(FévDim1+27)=2),FévDim1+27,""))</f>
        <v>46445</v>
      </c>
      <c r="P11" s="5">
        <f>IF(DAY(FévDim1)=1,IF(AND(YEAR(FévDim1+21)=AnnéeCalendrier,MONTH(FévDim1+21)=2),FévDim1+21,""),IF(AND(YEAR(FévDim1+28)=AnnéeCalendrier,MONTH(FévDim1+28)=2),FévDim1+28,""))</f>
        <v>46446</v>
      </c>
      <c r="Q11" s="4"/>
      <c r="R11" s="5">
        <f>IF(DAY(MarDim1)=1,IF(AND(YEAR(MarDim1+15)=AnnéeCalendrier,MONTH(MarDim1+15)=3),MarDim1+15,""),IF(AND(YEAR(MarDim1+22)=AnnéeCalendrier,MONTH(MarDim1+22)=3),MarDim1+22,""))</f>
        <v>46468</v>
      </c>
      <c r="S11" s="5">
        <f>IF(DAY(MarDim1)=1,IF(AND(YEAR(MarDim1+16)=AnnéeCalendrier,MONTH(MarDim1+16)=3),MarDim1+16,""),IF(AND(YEAR(MarDim1+23)=AnnéeCalendrier,MONTH(MarDim1+23)=3),MarDim1+23,""))</f>
        <v>46469</v>
      </c>
      <c r="T11" s="5">
        <f>IF(DAY(MarDim1)=1,IF(AND(YEAR(MarDim1+17)=AnnéeCalendrier,MONTH(MarDim1+17)=3),MarDim1+17,""),IF(AND(YEAR(MarDim1+24)=AnnéeCalendrier,MONTH(MarDim1+24)=3),MarDim1+24,""))</f>
        <v>46470</v>
      </c>
      <c r="U11" s="5">
        <f>IF(DAY(MarDim1)=1,IF(AND(YEAR(MarDim1+18)=AnnéeCalendrier,MONTH(MarDim1+18)=3),MarDim1+18,""),IF(AND(YEAR(MarDim1+25)=AnnéeCalendrier,MONTH(MarDim1+25)=3),MarDim1+25,""))</f>
        <v>46471</v>
      </c>
      <c r="V11" s="5">
        <f>IF(DAY(MarDim1)=1,IF(AND(YEAR(MarDim1+19)=AnnéeCalendrier,MONTH(MarDim1+19)=3),MarDim1+19,""),IF(AND(YEAR(MarDim1+26)=AnnéeCalendrier,MONTH(MarDim1+26)=3),MarDim1+26,""))</f>
        <v>46472</v>
      </c>
      <c r="W11" s="5">
        <f>IF(DAY(MarDim1)=1,IF(AND(YEAR(MarDim1+20)=AnnéeCalendrier,MONTH(MarDim1+20)=3),MarDim1+20,""),IF(AND(YEAR(MarDim1+27)=AnnéeCalendrier,MONTH(MarDim1+27)=3),MarDim1+27,""))</f>
        <v>46473</v>
      </c>
      <c r="X11" s="5">
        <f>IF(DAY(MarDim1)=1,IF(AND(YEAR(MarDim1+21)=AnnéeCalendrier,MONTH(MarDim1+21)=3),MarDim1+21,""),IF(AND(YEAR(MarDim1+28)=AnnéeCalendrier,MONTH(MarDim1+28)=3),MarDim1+28,""))</f>
        <v>46474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46412</v>
      </c>
      <c r="C12" s="5">
        <f>IF(DAY(JanDim1)=1,IF(AND(YEAR(JanDim1+23)=AnnéeCalendrier,MONTH(JanDim1+23)=1),JanDim1+23,""),IF(AND(YEAR(JanDim1+30)=AnnéeCalendrier,MONTH(JanDim1+30)=1),JanDim1+30,""))</f>
        <v>46413</v>
      </c>
      <c r="D12" s="5">
        <f>IF(DAY(JanDim1)=1,IF(AND(YEAR(JanDim1+24)=AnnéeCalendrier,MONTH(JanDim1+24)=1),JanDim1+24,""),IF(AND(YEAR(JanDim1+31)=AnnéeCalendrier,MONTH(JanDim1+31)=1),JanDim1+31,""))</f>
        <v>46414</v>
      </c>
      <c r="E12" s="5">
        <f>IF(DAY(JanDim1)=1,IF(AND(YEAR(JanDim1+25)=AnnéeCalendrier,MONTH(JanDim1+25)=1),JanDim1+25,""),IF(AND(YEAR(JanDim1+32)=AnnéeCalendrier,MONTH(JanDim1+32)=1),JanDim1+32,""))</f>
        <v>46415</v>
      </c>
      <c r="F12" s="5">
        <f>IF(DAY(JanDim1)=1,IF(AND(YEAR(JanDim1+26)=AnnéeCalendrier,MONTH(JanDim1+26)=1),JanDim1+26,""),IF(AND(YEAR(JanDim1+33)=AnnéeCalendrier,MONTH(JanDim1+33)=1),JanDim1+33,""))</f>
        <v>46416</v>
      </c>
      <c r="G12" s="5">
        <f>IF(DAY(JanDim1)=1,IF(AND(YEAR(JanDim1+27)=AnnéeCalendrier,MONTH(JanDim1+27)=1),JanDim1+27,""),IF(AND(YEAR(JanDim1+34)=AnnéeCalendrier,MONTH(JanDim1+34)=1),JanDim1+34,""))</f>
        <v>46417</v>
      </c>
      <c r="H12" s="5">
        <f>IF(DAY(JanDim1)=1,IF(AND(YEAR(JanDim1+28)=AnnéeCalendrier,MONTH(JanDim1+28)=1),JanDim1+28,""),IF(AND(YEAR(JanDim1+35)=AnnéeCalendrier,MONTH(JanDim1+35)=1),JanDim1+35,""))</f>
        <v>46418</v>
      </c>
      <c r="I12" s="4"/>
      <c r="J12" s="5" t="str">
        <f>IF(DAY(FévDim1)=1,IF(AND(YEAR(FévDim1+22)=AnnéeCalendrier,MONTH(FévDim1+22)=2),FévDim1+22,""),IF(AND(YEAR(FévDim1+29)=AnnéeCalendrier,MONTH(FévDim1+29)=2),FévDim1+29,""))</f>
        <v/>
      </c>
      <c r="K12" s="5" t="str">
        <f>IF(DAY(FévDim1)=1,IF(AND(YEAR(FévDim1+23)=AnnéeCalendrier,MONTH(FévDim1+23)=2),FévDim1+23,""),IF(AND(YEAR(FévDim1+30)=AnnéeCalendrier,MONTH(FévDim1+30)=2),FévDim1+30,""))</f>
        <v/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46475</v>
      </c>
      <c r="S12" s="5">
        <f>IF(DAY(MarDim1)=1,IF(AND(YEAR(MarDim1+23)=AnnéeCalendrier,MONTH(MarDim1+23)=3),MarDim1+23,""),IF(AND(YEAR(MarDim1+30)=AnnéeCalendrier,MONTH(MarDim1+30)=3),MarDim1+30,""))</f>
        <v>46476</v>
      </c>
      <c r="T12" s="5">
        <f>IF(DAY(MarDim1)=1,IF(AND(YEAR(MarDim1+24)=AnnéeCalendrier,MONTH(MarDim1+24)=3),MarDim1+24,""),IF(AND(YEAR(MarDim1+31)=AnnéeCalendrier,MONTH(MarDim1+31)=3),MarDim1+31,""))</f>
        <v>46477</v>
      </c>
      <c r="U12" s="5" t="str">
        <f>IF(DAY(MarDim1)=1,IF(AND(YEAR(MarDim1+25)=AnnéeCalendrier,MONTH(MarDim1+25)=3),MarDim1+25,""),IF(AND(YEAR(MarDim1+32)=AnnéeCalendrier,MONTH(MarDim1+32)=3),MarDim1+32,""))</f>
        <v/>
      </c>
      <c r="V12" s="5" t="str">
        <f>IF(DAY(MarDim1)=1,IF(AND(YEAR(MarDim1+26)=AnnéeCalendrier,MONTH(MarDim1+26)=3),MarDim1+26,""),IF(AND(YEAR(MarDim1+33)=AnnéeCalendrier,MONTH(MarDim1+33)=3),MarDim1+33,""))</f>
        <v/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>
        <f>IF(DAY(AvrDim1)=1,"",IF(AND(YEAR(AvrDim1+4)=AnnéeCalendrier,MONTH(AvrDim1+4)=4),AvrDim1+4,""))</f>
        <v>46478</v>
      </c>
      <c r="F17" s="5">
        <f>IF(DAY(AvrDim1)=1,"",IF(AND(YEAR(AvrDim1+5)=AnnéeCalendrier,MONTH(AvrDim1+5)=4),AvrDim1+5,""))</f>
        <v>46479</v>
      </c>
      <c r="G17" s="5">
        <f>IF(DAY(AvrDim1)=1,"",IF(AND(YEAR(AvrDim1+6)=AnnéeCalendrier,MONTH(AvrDim1+6)=4),AvrDim1+6,""))</f>
        <v>46480</v>
      </c>
      <c r="H17" s="7">
        <f>IF(DAY(AvrDim1)=1,IF(AND(YEAR(AvrDim1)=AnnéeCalendrier,MONTH(AvrDim1)=4),AvrDim1,""),IF(AND(YEAR(AvrDim1+7)=AnnéeCalendrier,MONTH(AvrDim1+7)=4),AvrDim1+7,""))</f>
        <v>46481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 t="str">
        <f>IF(DAY(MaiDim1)=1,"",IF(AND(YEAR(MaiDim1+5)=AnnéeCalendrier,MONTH(MaiDim1+5)=5),MaiDim1+5,""))</f>
        <v/>
      </c>
      <c r="O17" s="5">
        <f>IF(DAY(MaiDim1)=1,"",IF(AND(YEAR(MaiDim1+6)=AnnéeCalendrier,MONTH(MaiDim1+6)=5),MaiDim1+6,""))</f>
        <v>46508</v>
      </c>
      <c r="P17" s="7">
        <f>IF(DAY(MaiDim1)=1,IF(AND(YEAR(MaiDim1)=AnnéeCalendrier,MONTH(MaiDim1)=5),MaiDim1,""),IF(AND(YEAR(MaiDim1+7)=AnnéeCalendrier,MONTH(MaiDim1+7)=5),MaiDim1+7,""))</f>
        <v>46509</v>
      </c>
      <c r="Q17" s="4"/>
      <c r="R17" s="6" t="str">
        <f>IF(DAY(JunDim1)=1,"",IF(AND(YEAR(JunDim1+1)=AnnéeCalendrier,MONTH(JunDim1+1)=6),JunDim1+1,""))</f>
        <v/>
      </c>
      <c r="S17" s="5">
        <f>IF(DAY(JunDim1)=1,"",IF(AND(YEAR(JunDim1+2)=AnnéeCalendrier,MONTH(JunDim1+2)=6),JunDim1+2,""))</f>
        <v>46539</v>
      </c>
      <c r="T17" s="5">
        <f>IF(DAY(JunDim1)=1,"",IF(AND(YEAR(JunDim1+3)=AnnéeCalendrier,MONTH(JunDim1+3)=6),JunDim1+3,""))</f>
        <v>46540</v>
      </c>
      <c r="U17" s="5">
        <f>IF(DAY(JunDim1)=1,"",IF(AND(YEAR(JunDim1+4)=AnnéeCalendrier,MONTH(JunDim1+4)=6),JunDim1+4,""))</f>
        <v>46541</v>
      </c>
      <c r="V17" s="5">
        <f>IF(DAY(JunDim1)=1,"",IF(AND(YEAR(JunDim1+5)=AnnéeCalendrier,MONTH(JunDim1+5)=6),JunDim1+5,""))</f>
        <v>46542</v>
      </c>
      <c r="W17" s="5">
        <f>IF(DAY(JunDim1)=1,"",IF(AND(YEAR(JunDim1+6)=AnnéeCalendrier,MONTH(JunDim1+6)=6),JunDim1+6,""))</f>
        <v>46543</v>
      </c>
      <c r="X17" s="7">
        <f>IF(DAY(JunDim1)=1,IF(AND(YEAR(JunDim1)=AnnéeCalendrier,MONTH(JunDim1)=6),JunDim1,""),IF(AND(YEAR(JunDim1+7)=AnnéeCalendrier,MONTH(JunDim1+7)=6),JunDim1+7,""))</f>
        <v>46544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46482</v>
      </c>
      <c r="C18" s="5">
        <f>IF(DAY(AvrDim1)=1,IF(AND(YEAR(AvrDim1+2)=AnnéeCalendrier,MONTH(AvrDim1+2)=4),AvrDim1+2,""),IF(AND(YEAR(AvrDim1+9)=AnnéeCalendrier,MONTH(AvrDim1+9)=4),AvrDim1+9,""))</f>
        <v>46483</v>
      </c>
      <c r="D18" s="5">
        <f>IF(DAY(AvrDim1)=1,IF(AND(YEAR(AvrDim1+3)=AnnéeCalendrier,MONTH(AvrDim1+3)=4),AvrDim1+3,""),IF(AND(YEAR(AvrDim1+10)=AnnéeCalendrier,MONTH(AvrDim1+10)=4),AvrDim1+10,""))</f>
        <v>46484</v>
      </c>
      <c r="E18" s="5">
        <f>IF(DAY(AvrDim1)=1,IF(AND(YEAR(AvrDim1+4)=AnnéeCalendrier,MONTH(AvrDim1+4)=4),AvrDim1+4,""),IF(AND(YEAR(AvrDim1+11)=AnnéeCalendrier,MONTH(AvrDim1+11)=4),AvrDim1+11,""))</f>
        <v>46485</v>
      </c>
      <c r="F18" s="5">
        <f>IF(DAY(AvrDim1)=1,IF(AND(YEAR(AvrDim1+5)=AnnéeCalendrier,MONTH(AvrDim1+5)=4),AvrDim1+5,""),IF(AND(YEAR(AvrDim1+12)=AnnéeCalendrier,MONTH(AvrDim1+12)=4),AvrDim1+12,""))</f>
        <v>46486</v>
      </c>
      <c r="G18" s="5">
        <f>IF(DAY(AvrDim1)=1,IF(AND(YEAR(AvrDim1+6)=AnnéeCalendrier,MONTH(AvrDim1+6)=4),AvrDim1+6,""),IF(AND(YEAR(AvrDim1+13)=AnnéeCalendrier,MONTH(AvrDim1+13)=4),AvrDim1+13,""))</f>
        <v>46487</v>
      </c>
      <c r="H18" s="7">
        <f>IF(DAY(AvrDim1)=1,IF(AND(YEAR(AvrDim1+7)=AnnéeCalendrier,MONTH(AvrDim1+7)=4),AvrDim1+7,""),IF(AND(YEAR(AvrDim1+14)=AnnéeCalendrier,MONTH(AvrDim1+14)=4),AvrDim1+14,""))</f>
        <v>46488</v>
      </c>
      <c r="I18" s="4"/>
      <c r="J18" s="6">
        <f>IF(DAY(MaiDim1)=1,IF(AND(YEAR(MaiDim1+1)=AnnéeCalendrier,MONTH(MaiDim1+1)=5),MaiDim1+1,""),IF(AND(YEAR(MaiDim1+8)=AnnéeCalendrier,MONTH(MaiDim1+8)=5),MaiDim1+8,""))</f>
        <v>46510</v>
      </c>
      <c r="K18" s="5">
        <f>IF(DAY(MaiDim1)=1,IF(AND(YEAR(MaiDim1+2)=AnnéeCalendrier,MONTH(MaiDim1+2)=5),MaiDim1+2,""),IF(AND(YEAR(MaiDim1+9)=AnnéeCalendrier,MONTH(MaiDim1+9)=5),MaiDim1+9,""))</f>
        <v>46511</v>
      </c>
      <c r="L18" s="5">
        <f>IF(DAY(MaiDim1)=1,IF(AND(YEAR(MaiDim1+3)=AnnéeCalendrier,MONTH(MaiDim1+3)=5),MaiDim1+3,""),IF(AND(YEAR(MaiDim1+10)=AnnéeCalendrier,MONTH(MaiDim1+10)=5),MaiDim1+10,""))</f>
        <v>46512</v>
      </c>
      <c r="M18" s="5">
        <f>IF(DAY(MaiDim1)=1,IF(AND(YEAR(MaiDim1+4)=AnnéeCalendrier,MONTH(MaiDim1+4)=5),MaiDim1+4,""),IF(AND(YEAR(MaiDim1+11)=AnnéeCalendrier,MONTH(MaiDim1+11)=5),MaiDim1+11,""))</f>
        <v>46513</v>
      </c>
      <c r="N18" s="5">
        <f>IF(DAY(MaiDim1)=1,IF(AND(YEAR(MaiDim1+5)=AnnéeCalendrier,MONTH(MaiDim1+5)=5),MaiDim1+5,""),IF(AND(YEAR(MaiDim1+12)=AnnéeCalendrier,MONTH(MaiDim1+12)=5),MaiDim1+12,""))</f>
        <v>46514</v>
      </c>
      <c r="O18" s="5">
        <f>IF(DAY(MaiDim1)=1,IF(AND(YEAR(MaiDim1+6)=AnnéeCalendrier,MONTH(MaiDim1+6)=5),MaiDim1+6,""),IF(AND(YEAR(MaiDim1+13)=AnnéeCalendrier,MONTH(MaiDim1+13)=5),MaiDim1+13,""))</f>
        <v>46515</v>
      </c>
      <c r="P18" s="7">
        <f>IF(DAY(MaiDim1)=1,IF(AND(YEAR(MaiDim1+7)=AnnéeCalendrier,MONTH(MaiDim1+7)=5),MaiDim1+7,""),IF(AND(YEAR(MaiDim1+14)=AnnéeCalendrier,MONTH(MaiDim1+14)=5),MaiDim1+14,""))</f>
        <v>46516</v>
      </c>
      <c r="Q18" s="4"/>
      <c r="R18" s="6">
        <f>IF(DAY(JunDim1)=1,IF(AND(YEAR(JunDim1+1)=AnnéeCalendrier,MONTH(JunDim1+1)=6),JunDim1+1,""),IF(AND(YEAR(JunDim1+8)=AnnéeCalendrier,MONTH(JunDim1+8)=6),JunDim1+8,""))</f>
        <v>46545</v>
      </c>
      <c r="S18" s="5">
        <f>IF(DAY(JunDim1)=1,IF(AND(YEAR(JunDim1+2)=AnnéeCalendrier,MONTH(JunDim1+2)=6),JunDim1+2,""),IF(AND(YEAR(JunDim1+9)=AnnéeCalendrier,MONTH(JunDim1+9)=6),JunDim1+9,""))</f>
        <v>46546</v>
      </c>
      <c r="T18" s="5">
        <f>IF(DAY(JunDim1)=1,IF(AND(YEAR(JunDim1+3)=AnnéeCalendrier,MONTH(JunDim1+3)=6),JunDim1+3,""),IF(AND(YEAR(JunDim1+10)=AnnéeCalendrier,MONTH(JunDim1+10)=6),JunDim1+10,""))</f>
        <v>46547</v>
      </c>
      <c r="U18" s="5">
        <f>IF(DAY(JunDim1)=1,IF(AND(YEAR(JunDim1+4)=AnnéeCalendrier,MONTH(JunDim1+4)=6),JunDim1+4,""),IF(AND(YEAR(JunDim1+11)=AnnéeCalendrier,MONTH(JunDim1+11)=6),JunDim1+11,""))</f>
        <v>46548</v>
      </c>
      <c r="V18" s="5">
        <f>IF(DAY(JunDim1)=1,IF(AND(YEAR(JunDim1+5)=AnnéeCalendrier,MONTH(JunDim1+5)=6),JunDim1+5,""),IF(AND(YEAR(JunDim1+12)=AnnéeCalendrier,MONTH(JunDim1+12)=6),JunDim1+12,""))</f>
        <v>46549</v>
      </c>
      <c r="W18" s="5">
        <f>IF(DAY(JunDim1)=1,IF(AND(YEAR(JunDim1+6)=AnnéeCalendrier,MONTH(JunDim1+6)=6),JunDim1+6,""),IF(AND(YEAR(JunDim1+13)=AnnéeCalendrier,MONTH(JunDim1+13)=6),JunDim1+13,""))</f>
        <v>46550</v>
      </c>
      <c r="X18" s="7">
        <f>IF(DAY(JunDim1)=1,IF(AND(YEAR(JunDim1+7)=AnnéeCalendrier,MONTH(JunDim1+7)=6),JunDim1+7,""),IF(AND(YEAR(JunDim1+14)=AnnéeCalendrier,MONTH(JunDim1+14)=6),JunDim1+14,""))</f>
        <v>46551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46489</v>
      </c>
      <c r="C19" s="5">
        <f>IF(DAY(AvrDim1)=1,IF(AND(YEAR(AvrDim1+9)=AnnéeCalendrier,MONTH(AvrDim1+9)=4),AvrDim1+9,""),IF(AND(YEAR(AvrDim1+16)=AnnéeCalendrier,MONTH(AvrDim1+16)=4),AvrDim1+16,""))</f>
        <v>46490</v>
      </c>
      <c r="D19" s="5">
        <f>IF(DAY(AvrDim1)=1,IF(AND(YEAR(AvrDim1+10)=AnnéeCalendrier,MONTH(AvrDim1+10)=4),AvrDim1+10,""),IF(AND(YEAR(AvrDim1+17)=AnnéeCalendrier,MONTH(AvrDim1+17)=4),AvrDim1+17,""))</f>
        <v>46491</v>
      </c>
      <c r="E19" s="5">
        <f>IF(DAY(AvrDim1)=1,IF(AND(YEAR(AvrDim1+11)=AnnéeCalendrier,MONTH(AvrDim1+11)=4),AvrDim1+11,""),IF(AND(YEAR(AvrDim1+18)=AnnéeCalendrier,MONTH(AvrDim1+18)=4),AvrDim1+18,""))</f>
        <v>46492</v>
      </c>
      <c r="F19" s="5">
        <f>IF(DAY(AvrDim1)=1,IF(AND(YEAR(AvrDim1+12)=AnnéeCalendrier,MONTH(AvrDim1+12)=4),AvrDim1+12,""),IF(AND(YEAR(AvrDim1+19)=AnnéeCalendrier,MONTH(AvrDim1+19)=4),AvrDim1+19,""))</f>
        <v>46493</v>
      </c>
      <c r="G19" s="5">
        <f>IF(DAY(AvrDim1)=1,IF(AND(YEAR(AvrDim1+13)=AnnéeCalendrier,MONTH(AvrDim1+13)=4),AvrDim1+13,""),IF(AND(YEAR(AvrDim1+20)=AnnéeCalendrier,MONTH(AvrDim1+20)=4),AvrDim1+20,""))</f>
        <v>46494</v>
      </c>
      <c r="H19" s="7">
        <f>IF(DAY(AvrDim1)=1,IF(AND(YEAR(AvrDim1+14)=AnnéeCalendrier,MONTH(AvrDim1+14)=4),AvrDim1+14,""),IF(AND(YEAR(AvrDim1+21)=AnnéeCalendrier,MONTH(AvrDim1+21)=4),AvrDim1+21,""))</f>
        <v>46495</v>
      </c>
      <c r="I19" s="4"/>
      <c r="J19" s="6">
        <f>IF(DAY(MaiDim1)=1,IF(AND(YEAR(MaiDim1+8)=AnnéeCalendrier,MONTH(MaiDim1+8)=5),MaiDim1+8,""),IF(AND(YEAR(MaiDim1+15)=AnnéeCalendrier,MONTH(MaiDim1+15)=5),MaiDim1+15,""))</f>
        <v>46517</v>
      </c>
      <c r="K19" s="5">
        <f>IF(DAY(MaiDim1)=1,IF(AND(YEAR(MaiDim1+9)=AnnéeCalendrier,MONTH(MaiDim1+9)=5),MaiDim1+9,""),IF(AND(YEAR(MaiDim1+16)=AnnéeCalendrier,MONTH(MaiDim1+16)=5),MaiDim1+16,""))</f>
        <v>46518</v>
      </c>
      <c r="L19" s="5">
        <f>IF(DAY(MaiDim1)=1,IF(AND(YEAR(MaiDim1+10)=AnnéeCalendrier,MONTH(MaiDim1+10)=5),MaiDim1+10,""),IF(AND(YEAR(MaiDim1+17)=AnnéeCalendrier,MONTH(MaiDim1+17)=5),MaiDim1+17,""))</f>
        <v>46519</v>
      </c>
      <c r="M19" s="5">
        <f>IF(DAY(MaiDim1)=1,IF(AND(YEAR(MaiDim1+11)=AnnéeCalendrier,MONTH(MaiDim1+11)=5),MaiDim1+11,""),IF(AND(YEAR(MaiDim1+18)=AnnéeCalendrier,MONTH(MaiDim1+18)=5),MaiDim1+18,""))</f>
        <v>46520</v>
      </c>
      <c r="N19" s="5">
        <f>IF(DAY(MaiDim1)=1,IF(AND(YEAR(MaiDim1+12)=AnnéeCalendrier,MONTH(MaiDim1+12)=5),MaiDim1+12,""),IF(AND(YEAR(MaiDim1+19)=AnnéeCalendrier,MONTH(MaiDim1+19)=5),MaiDim1+19,""))</f>
        <v>46521</v>
      </c>
      <c r="O19" s="5">
        <f>IF(DAY(MaiDim1)=1,IF(AND(YEAR(MaiDim1+13)=AnnéeCalendrier,MONTH(MaiDim1+13)=5),MaiDim1+13,""),IF(AND(YEAR(MaiDim1+20)=AnnéeCalendrier,MONTH(MaiDim1+20)=5),MaiDim1+20,""))</f>
        <v>46522</v>
      </c>
      <c r="P19" s="7">
        <f>IF(DAY(MaiDim1)=1,IF(AND(YEAR(MaiDim1+14)=AnnéeCalendrier,MONTH(MaiDim1+14)=5),MaiDim1+14,""),IF(AND(YEAR(MaiDim1+21)=AnnéeCalendrier,MONTH(MaiDim1+21)=5),MaiDim1+21,""))</f>
        <v>46523</v>
      </c>
      <c r="Q19" s="4"/>
      <c r="R19" s="6">
        <f>IF(DAY(JunDim1)=1,IF(AND(YEAR(JunDim1+8)=AnnéeCalendrier,MONTH(JunDim1+8)=6),JunDim1+8,""),IF(AND(YEAR(JunDim1+15)=AnnéeCalendrier,MONTH(JunDim1+15)=6),JunDim1+15,""))</f>
        <v>46552</v>
      </c>
      <c r="S19" s="5">
        <f>IF(DAY(JunDim1)=1,IF(AND(YEAR(JunDim1+9)=AnnéeCalendrier,MONTH(JunDim1+9)=6),JunDim1+9,""),IF(AND(YEAR(JunDim1+16)=AnnéeCalendrier,MONTH(JunDim1+16)=6),JunDim1+16,""))</f>
        <v>46553</v>
      </c>
      <c r="T19" s="5">
        <f>IF(DAY(JunDim1)=1,IF(AND(YEAR(JunDim1+10)=AnnéeCalendrier,MONTH(JunDim1+10)=6),JunDim1+10,""),IF(AND(YEAR(JunDim1+17)=AnnéeCalendrier,MONTH(JunDim1+17)=6),JunDim1+17,""))</f>
        <v>46554</v>
      </c>
      <c r="U19" s="5">
        <f>IF(DAY(JunDim1)=1,IF(AND(YEAR(JunDim1+11)=AnnéeCalendrier,MONTH(JunDim1+11)=6),JunDim1+11,""),IF(AND(YEAR(JunDim1+18)=AnnéeCalendrier,MONTH(JunDim1+18)=6),JunDim1+18,""))</f>
        <v>46555</v>
      </c>
      <c r="V19" s="5">
        <f>IF(DAY(JunDim1)=1,IF(AND(YEAR(JunDim1+12)=AnnéeCalendrier,MONTH(JunDim1+12)=6),JunDim1+12,""),IF(AND(YEAR(JunDim1+19)=AnnéeCalendrier,MONTH(JunDim1+19)=6),JunDim1+19,""))</f>
        <v>46556</v>
      </c>
      <c r="W19" s="5">
        <f>IF(DAY(JunDim1)=1,IF(AND(YEAR(JunDim1+13)=AnnéeCalendrier,MONTH(JunDim1+13)=6),JunDim1+13,""),IF(AND(YEAR(JunDim1+20)=AnnéeCalendrier,MONTH(JunDim1+20)=6),JunDim1+20,""))</f>
        <v>46557</v>
      </c>
      <c r="X19" s="7">
        <f>IF(DAY(JunDim1)=1,IF(AND(YEAR(JunDim1+14)=AnnéeCalendrier,MONTH(JunDim1+14)=6),JunDim1+14,""),IF(AND(YEAR(JunDim1+21)=AnnéeCalendrier,MONTH(JunDim1+21)=6),JunDim1+21,""))</f>
        <v>46558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46496</v>
      </c>
      <c r="C20" s="5">
        <f>IF(DAY(AvrDim1)=1,IF(AND(YEAR(AvrDim1+16)=AnnéeCalendrier,MONTH(AvrDim1+16)=4),AvrDim1+16,""),IF(AND(YEAR(AvrDim1+23)=AnnéeCalendrier,MONTH(AvrDim1+23)=4),AvrDim1+23,""))</f>
        <v>46497</v>
      </c>
      <c r="D20" s="5">
        <f>IF(DAY(AvrDim1)=1,IF(AND(YEAR(AvrDim1+17)=AnnéeCalendrier,MONTH(AvrDim1+17)=4),AvrDim1+17,""),IF(AND(YEAR(AvrDim1+24)=AnnéeCalendrier,MONTH(AvrDim1+24)=4),AvrDim1+24,""))</f>
        <v>46498</v>
      </c>
      <c r="E20" s="5">
        <f>IF(DAY(AvrDim1)=1,IF(AND(YEAR(AvrDim1+18)=AnnéeCalendrier,MONTH(AvrDim1+18)=4),AvrDim1+18,""),IF(AND(YEAR(AvrDim1+25)=AnnéeCalendrier,MONTH(AvrDim1+25)=4),AvrDim1+25,""))</f>
        <v>46499</v>
      </c>
      <c r="F20" s="5">
        <f>IF(DAY(AvrDim1)=1,IF(AND(YEAR(AvrDim1+19)=AnnéeCalendrier,MONTH(AvrDim1+19)=4),AvrDim1+19,""),IF(AND(YEAR(AvrDim1+26)=AnnéeCalendrier,MONTH(AvrDim1+26)=4),AvrDim1+26,""))</f>
        <v>46500</v>
      </c>
      <c r="G20" s="5">
        <f>IF(DAY(AvrDim1)=1,IF(AND(YEAR(AvrDim1+20)=AnnéeCalendrier,MONTH(AvrDim1+20)=4),AvrDim1+20,""),IF(AND(YEAR(AvrDim1+27)=AnnéeCalendrier,MONTH(AvrDim1+27)=4),AvrDim1+27,""))</f>
        <v>46501</v>
      </c>
      <c r="H20" s="7">
        <f>IF(DAY(AvrDim1)=1,IF(AND(YEAR(AvrDim1+21)=AnnéeCalendrier,MONTH(AvrDim1+21)=4),AvrDim1+21,""),IF(AND(YEAR(AvrDim1+28)=AnnéeCalendrier,MONTH(AvrDim1+28)=4),AvrDim1+28,""))</f>
        <v>46502</v>
      </c>
      <c r="I20" s="4"/>
      <c r="J20" s="6">
        <f>IF(DAY(MaiDim1)=1,IF(AND(YEAR(MaiDim1+15)=AnnéeCalendrier,MONTH(MaiDim1+15)=5),MaiDim1+15,""),IF(AND(YEAR(MaiDim1+22)=AnnéeCalendrier,MONTH(MaiDim1+22)=5),MaiDim1+22,""))</f>
        <v>46524</v>
      </c>
      <c r="K20" s="5">
        <f>IF(DAY(MaiDim1)=1,IF(AND(YEAR(MaiDim1+16)=AnnéeCalendrier,MONTH(MaiDim1+16)=5),MaiDim1+16,""),IF(AND(YEAR(MaiDim1+23)=AnnéeCalendrier,MONTH(MaiDim1+23)=5),MaiDim1+23,""))</f>
        <v>46525</v>
      </c>
      <c r="L20" s="5">
        <f>IF(DAY(MaiDim1)=1,IF(AND(YEAR(MaiDim1+17)=AnnéeCalendrier,MONTH(MaiDim1+17)=5),MaiDim1+17,""),IF(AND(YEAR(MaiDim1+24)=AnnéeCalendrier,MONTH(MaiDim1+24)=5),MaiDim1+24,""))</f>
        <v>46526</v>
      </c>
      <c r="M20" s="5">
        <f>IF(DAY(MaiDim1)=1,IF(AND(YEAR(MaiDim1+18)=AnnéeCalendrier,MONTH(MaiDim1+18)=5),MaiDim1+18,""),IF(AND(YEAR(MaiDim1+25)=AnnéeCalendrier,MONTH(MaiDim1+25)=5),MaiDim1+25,""))</f>
        <v>46527</v>
      </c>
      <c r="N20" s="5">
        <f>IF(DAY(MaiDim1)=1,IF(AND(YEAR(MaiDim1+19)=AnnéeCalendrier,MONTH(MaiDim1+19)=5),MaiDim1+19,""),IF(AND(YEAR(MaiDim1+26)=AnnéeCalendrier,MONTH(MaiDim1+26)=5),MaiDim1+26,""))</f>
        <v>46528</v>
      </c>
      <c r="O20" s="5">
        <f>IF(DAY(MaiDim1)=1,IF(AND(YEAR(MaiDim1+20)=AnnéeCalendrier,MONTH(MaiDim1+20)=5),MaiDim1+20,""),IF(AND(YEAR(MaiDim1+27)=AnnéeCalendrier,MONTH(MaiDim1+27)=5),MaiDim1+27,""))</f>
        <v>46529</v>
      </c>
      <c r="P20" s="7">
        <f>IF(DAY(MaiDim1)=1,IF(AND(YEAR(MaiDim1+21)=AnnéeCalendrier,MONTH(MaiDim1+21)=5),MaiDim1+21,""),IF(AND(YEAR(MaiDim1+28)=AnnéeCalendrier,MONTH(MaiDim1+28)=5),MaiDim1+28,""))</f>
        <v>46530</v>
      </c>
      <c r="Q20" s="4"/>
      <c r="R20" s="6">
        <f>IF(DAY(JunDim1)=1,IF(AND(YEAR(JunDim1+15)=AnnéeCalendrier,MONTH(JunDim1+15)=6),JunDim1+15,""),IF(AND(YEAR(JunDim1+22)=AnnéeCalendrier,MONTH(JunDim1+22)=6),JunDim1+22,""))</f>
        <v>46559</v>
      </c>
      <c r="S20" s="5">
        <f>IF(DAY(JunDim1)=1,IF(AND(YEAR(JunDim1+16)=AnnéeCalendrier,MONTH(JunDim1+16)=6),JunDim1+16,""),IF(AND(YEAR(JunDim1+23)=AnnéeCalendrier,MONTH(JunDim1+23)=6),JunDim1+23,""))</f>
        <v>46560</v>
      </c>
      <c r="T20" s="5">
        <f>IF(DAY(JunDim1)=1,IF(AND(YEAR(JunDim1+17)=AnnéeCalendrier,MONTH(JunDim1+17)=6),JunDim1+17,""),IF(AND(YEAR(JunDim1+24)=AnnéeCalendrier,MONTH(JunDim1+24)=6),JunDim1+24,""))</f>
        <v>46561</v>
      </c>
      <c r="U20" s="5">
        <f>IF(DAY(JunDim1)=1,IF(AND(YEAR(JunDim1+18)=AnnéeCalendrier,MONTH(JunDim1+18)=6),JunDim1+18,""),IF(AND(YEAR(JunDim1+25)=AnnéeCalendrier,MONTH(JunDim1+25)=6),JunDim1+25,""))</f>
        <v>46562</v>
      </c>
      <c r="V20" s="5">
        <f>IF(DAY(JunDim1)=1,IF(AND(YEAR(JunDim1+19)=AnnéeCalendrier,MONTH(JunDim1+19)=6),JunDim1+19,""),IF(AND(YEAR(JunDim1+26)=AnnéeCalendrier,MONTH(JunDim1+26)=6),JunDim1+26,""))</f>
        <v>46563</v>
      </c>
      <c r="W20" s="5">
        <f>IF(DAY(JunDim1)=1,IF(AND(YEAR(JunDim1+20)=AnnéeCalendrier,MONTH(JunDim1+20)=6),JunDim1+20,""),IF(AND(YEAR(JunDim1+27)=AnnéeCalendrier,MONTH(JunDim1+27)=6),JunDim1+27,""))</f>
        <v>46564</v>
      </c>
      <c r="X20" s="7">
        <f>IF(DAY(JunDim1)=1,IF(AND(YEAR(JunDim1+21)=AnnéeCalendrier,MONTH(JunDim1+21)=6),JunDim1+21,""),IF(AND(YEAR(JunDim1+28)=AnnéeCalendrier,MONTH(JunDim1+28)=6),JunDim1+28,""))</f>
        <v>46565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46503</v>
      </c>
      <c r="C21" s="5">
        <f>IF(DAY(AvrDim1)=1,IF(AND(YEAR(AvrDim1+23)=AnnéeCalendrier,MONTH(AvrDim1+23)=4),AvrDim1+23,""),IF(AND(YEAR(AvrDim1+30)=AnnéeCalendrier,MONTH(AvrDim1+30)=4),AvrDim1+30,""))</f>
        <v>46504</v>
      </c>
      <c r="D21" s="5">
        <f>IF(DAY(AvrDim1)=1,IF(AND(YEAR(AvrDim1+24)=AnnéeCalendrier,MONTH(AvrDim1+24)=4),AvrDim1+24,""),IF(AND(YEAR(AvrDim1+31)=AnnéeCalendrier,MONTH(AvrDim1+31)=4),AvrDim1+31,""))</f>
        <v>46505</v>
      </c>
      <c r="E21" s="5">
        <f>IF(DAY(AvrDim1)=1,IF(AND(YEAR(AvrDim1+25)=AnnéeCalendrier,MONTH(AvrDim1+25)=4),AvrDim1+25,""),IF(AND(YEAR(AvrDim1+32)=AnnéeCalendrier,MONTH(AvrDim1+32)=4),AvrDim1+32,""))</f>
        <v>46506</v>
      </c>
      <c r="F21" s="5">
        <f>IF(DAY(AvrDim1)=1,IF(AND(YEAR(AvrDim1+26)=AnnéeCalendrier,MONTH(AvrDim1+26)=4),AvrDim1+26,""),IF(AND(YEAR(AvrDim1+33)=AnnéeCalendrier,MONTH(AvrDim1+33)=4),AvrDim1+33,""))</f>
        <v>46507</v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46531</v>
      </c>
      <c r="K21" s="5">
        <f>IF(DAY(MaiDim1)=1,IF(AND(YEAR(MaiDim1+23)=AnnéeCalendrier,MONTH(MaiDim1+23)=5),MaiDim1+23,""),IF(AND(YEAR(MaiDim1+30)=AnnéeCalendrier,MONTH(MaiDim1+30)=5),MaiDim1+30,""))</f>
        <v>46532</v>
      </c>
      <c r="L21" s="5">
        <f>IF(DAY(MaiDim1)=1,IF(AND(YEAR(MaiDim1+24)=AnnéeCalendrier,MONTH(MaiDim1+24)=5),MaiDim1+24,""),IF(AND(YEAR(MaiDim1+31)=AnnéeCalendrier,MONTH(MaiDim1+31)=5),MaiDim1+31,""))</f>
        <v>46533</v>
      </c>
      <c r="M21" s="5">
        <f>IF(DAY(MaiDim1)=1,IF(AND(YEAR(MaiDim1+25)=AnnéeCalendrier,MONTH(MaiDim1+25)=5),MaiDim1+25,""),IF(AND(YEAR(MaiDim1+32)=AnnéeCalendrier,MONTH(MaiDim1+32)=5),MaiDim1+32,""))</f>
        <v>46534</v>
      </c>
      <c r="N21" s="5">
        <f>IF(DAY(MaiDim1)=1,IF(AND(YEAR(MaiDim1+26)=AnnéeCalendrier,MONTH(MaiDim1+26)=5),MaiDim1+26,""),IF(AND(YEAR(MaiDim1+33)=AnnéeCalendrier,MONTH(MaiDim1+33)=5),MaiDim1+33,""))</f>
        <v>46535</v>
      </c>
      <c r="O21" s="5">
        <f>IF(DAY(MaiDim1)=1,IF(AND(YEAR(MaiDim1+27)=AnnéeCalendrier,MONTH(MaiDim1+27)=5),MaiDim1+27,""),IF(AND(YEAR(MaiDim1+34)=AnnéeCalendrier,MONTH(MaiDim1+34)=5),MaiDim1+34,""))</f>
        <v>46536</v>
      </c>
      <c r="P21" s="7">
        <f>IF(DAY(MaiDim1)=1,IF(AND(YEAR(MaiDim1+28)=AnnéeCalendrier,MONTH(MaiDim1+28)=5),MaiDim1+28,""),IF(AND(YEAR(MaiDim1+35)=AnnéeCalendrier,MONTH(MaiDim1+35)=5),MaiDim1+35,""))</f>
        <v>46537</v>
      </c>
      <c r="Q21" s="4"/>
      <c r="R21" s="6">
        <f>IF(DAY(JunDim1)=1,IF(AND(YEAR(JunDim1+22)=AnnéeCalendrier,MONTH(JunDim1+22)=6),JunDim1+22,""),IF(AND(YEAR(JunDim1+29)=AnnéeCalendrier,MONTH(JunDim1+29)=6),JunDim1+29,""))</f>
        <v>46566</v>
      </c>
      <c r="S21" s="5">
        <f>IF(DAY(JunDim1)=1,IF(AND(YEAR(JunDim1+23)=AnnéeCalendrier,MONTH(JunDim1+23)=6),JunDim1+23,""),IF(AND(YEAR(JunDim1+30)=AnnéeCalendrier,MONTH(JunDim1+30)=6),JunDim1+30,""))</f>
        <v>46567</v>
      </c>
      <c r="T21" s="5">
        <f>IF(DAY(JunDim1)=1,IF(AND(YEAR(JunDim1+24)=AnnéeCalendrier,MONTH(JunDim1+24)=6),JunDim1+24,""),IF(AND(YEAR(JunDim1+31)=AnnéeCalendrier,MONTH(JunDim1+31)=6),JunDim1+31,""))</f>
        <v>46568</v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>
        <f>IF(DAY(MaiDim1)=1,IF(AND(YEAR(MaiDim1+29)=AnnéeCalendrier,MONTH(MaiDim1+29)=5),MaiDim1+29,""),IF(AND(YEAR(MaiDim1+36)=AnnéeCalendrier,MONTH(MaiDim1+36)=5),MaiDim1+36,""))</f>
        <v>46538</v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>
        <f>IF(DAY(JulDim1)=1,"",IF(AND(YEAR(JulDim1+4)=AnnéeCalendrier,MONTH(JulDim1+4)=7),JulDim1+4,""))</f>
        <v>46569</v>
      </c>
      <c r="F26" s="5">
        <f>IF(DAY(JulDim1)=1,"",IF(AND(YEAR(JulDim1+5)=AnnéeCalendrier,MONTH(JulDim1+5)=7),JulDim1+5,""))</f>
        <v>46570</v>
      </c>
      <c r="G26" s="5">
        <f>IF(DAY(JulDim1)=1,"",IF(AND(YEAR(JulDim1+6)=AnnéeCalendrier,MONTH(JulDim1+6)=7),JulDim1+6,""))</f>
        <v>46571</v>
      </c>
      <c r="H26" s="7">
        <f>IF(DAY(JulDim1)=1,IF(AND(YEAR(JulDim1)=AnnéeCalendrier,MONTH(JulDim1)=7),JulDim1,""),IF(AND(YEAR(JulDim1+7)=AnnéeCalendrier,MONTH(JulDim1+7)=7),JulDim1+7,""))</f>
        <v>46572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 t="str">
        <f>IF(DAY(AouDim1)=1,"",IF(AND(YEAR(AouDim1+6)=AnnéeCalendrier,MONTH(AouDim1+6)=8),AouDim1+6,""))</f>
        <v/>
      </c>
      <c r="P26" s="7">
        <f>IF(DAY(AouDim1)=1,IF(AND(YEAR(AouDim1)=AnnéeCalendrier,MONTH(AouDim1)=8),AouDim1,""),IF(AND(YEAR(AouDim1+7)=AnnéeCalendrier,MONTH(AouDim1+7)=8),AouDim1+7,""))</f>
        <v>46600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>
        <f>IF(DAY(SepDim1)=1,"",IF(AND(YEAR(SepDim1+3)=AnnéeCalendrier,MONTH(SepDim1+3)=9),SepDim1+3,""))</f>
        <v>46631</v>
      </c>
      <c r="U26" s="5">
        <f>IF(DAY(SepDim1)=1,"",IF(AND(YEAR(SepDim1+4)=AnnéeCalendrier,MONTH(SepDim1+4)=9),SepDim1+4,""))</f>
        <v>46632</v>
      </c>
      <c r="V26" s="5">
        <f>IF(DAY(SepDim1)=1,"",IF(AND(YEAR(SepDim1+5)=AnnéeCalendrier,MONTH(SepDim1+5)=9),SepDim1+5,""))</f>
        <v>46633</v>
      </c>
      <c r="W26" s="5">
        <f>IF(DAY(SepDim1)=1,"",IF(AND(YEAR(SepDim1+6)=AnnéeCalendrier,MONTH(SepDim1+6)=9),SepDim1+6,""))</f>
        <v>46634</v>
      </c>
      <c r="X26" s="7">
        <f>IF(DAY(SepDim1)=1,IF(AND(YEAR(SepDim1)=AnnéeCalendrier,MONTH(SepDim1)=9),SepDim1,""),IF(AND(YEAR(SepDim1+7)=AnnéeCalendrier,MONTH(SepDim1+7)=9),SepDim1+7,""))</f>
        <v>46635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46573</v>
      </c>
      <c r="C27" s="5">
        <f>IF(DAY(JulDim1)=1,IF(AND(YEAR(JulDim1+2)=AnnéeCalendrier,MONTH(JulDim1+2)=7),JulDim1+2,""),IF(AND(YEAR(JulDim1+9)=AnnéeCalendrier,MONTH(JulDim1+9)=7),JulDim1+9,""))</f>
        <v>46574</v>
      </c>
      <c r="D27" s="5">
        <f>IF(DAY(JulDim1)=1,IF(AND(YEAR(JulDim1+3)=AnnéeCalendrier,MONTH(JulDim1+3)=7),JulDim1+3,""),IF(AND(YEAR(JulDim1+10)=AnnéeCalendrier,MONTH(JulDim1+10)=7),JulDim1+10,""))</f>
        <v>46575</v>
      </c>
      <c r="E27" s="5">
        <f>IF(DAY(JulDim1)=1,IF(AND(YEAR(JulDim1+4)=AnnéeCalendrier,MONTH(JulDim1+4)=7),JulDim1+4,""),IF(AND(YEAR(JulDim1+11)=AnnéeCalendrier,MONTH(JulDim1+11)=7),JulDim1+11,""))</f>
        <v>46576</v>
      </c>
      <c r="F27" s="5">
        <f>IF(DAY(JulDim1)=1,IF(AND(YEAR(JulDim1+5)=AnnéeCalendrier,MONTH(JulDim1+5)=7),JulDim1+5,""),IF(AND(YEAR(JulDim1+12)=AnnéeCalendrier,MONTH(JulDim1+12)=7),JulDim1+12,""))</f>
        <v>46577</v>
      </c>
      <c r="G27" s="5">
        <f>IF(DAY(JulDim1)=1,IF(AND(YEAR(JulDim1+6)=AnnéeCalendrier,MONTH(JulDim1+6)=7),JulDim1+6,""),IF(AND(YEAR(JulDim1+13)=AnnéeCalendrier,MONTH(JulDim1+13)=7),JulDim1+13,""))</f>
        <v>46578</v>
      </c>
      <c r="H27" s="7">
        <f>IF(DAY(JulDim1)=1,IF(AND(YEAR(JulDim1+7)=AnnéeCalendrier,MONTH(JulDim1+7)=7),JulDim1+7,""),IF(AND(YEAR(JulDim1+14)=AnnéeCalendrier,MONTH(JulDim1+14)=7),JulDim1+14,""))</f>
        <v>46579</v>
      </c>
      <c r="J27" s="6">
        <f>IF(DAY(AouDim1)=1,IF(AND(YEAR(AouDim1+1)=AnnéeCalendrier,MONTH(AouDim1+1)=8),AouDim1+1,""),IF(AND(YEAR(AouDim1+8)=AnnéeCalendrier,MONTH(AouDim1+8)=8),AouDim1+8,""))</f>
        <v>46601</v>
      </c>
      <c r="K27" s="5">
        <f>IF(DAY(AouDim1)=1,IF(AND(YEAR(AouDim1+2)=AnnéeCalendrier,MONTH(AouDim1+2)=8),AouDim1+2,""),IF(AND(YEAR(AouDim1+9)=AnnéeCalendrier,MONTH(AouDim1+9)=8),AouDim1+9,""))</f>
        <v>46602</v>
      </c>
      <c r="L27" s="5">
        <f>IF(DAY(AouDim1)=1,IF(AND(YEAR(AouDim1+3)=AnnéeCalendrier,MONTH(AouDim1+3)=8),AouDim1+3,""),IF(AND(YEAR(AouDim1+10)=AnnéeCalendrier,MONTH(AouDim1+10)=8),AouDim1+10,""))</f>
        <v>46603</v>
      </c>
      <c r="M27" s="5">
        <f>IF(DAY(AouDim1)=1,IF(AND(YEAR(AouDim1+4)=AnnéeCalendrier,MONTH(AouDim1+4)=8),AouDim1+4,""),IF(AND(YEAR(AouDim1+11)=AnnéeCalendrier,MONTH(AouDim1+11)=8),AouDim1+11,""))</f>
        <v>46604</v>
      </c>
      <c r="N27" s="5">
        <f>IF(DAY(AouDim1)=1,IF(AND(YEAR(AouDim1+5)=AnnéeCalendrier,MONTH(AouDim1+5)=8),AouDim1+5,""),IF(AND(YEAR(AouDim1+12)=AnnéeCalendrier,MONTH(AouDim1+12)=8),AouDim1+12,""))</f>
        <v>46605</v>
      </c>
      <c r="O27" s="5">
        <f>IF(DAY(AouDim1)=1,IF(AND(YEAR(AouDim1+6)=AnnéeCalendrier,MONTH(AouDim1+6)=8),AouDim1+6,""),IF(AND(YEAR(AouDim1+13)=AnnéeCalendrier,MONTH(AouDim1+13)=8),AouDim1+13,""))</f>
        <v>46606</v>
      </c>
      <c r="P27" s="7">
        <f>IF(DAY(AouDim1)=1,IF(AND(YEAR(AouDim1+7)=AnnéeCalendrier,MONTH(AouDim1+7)=8),AouDim1+7,""),IF(AND(YEAR(AouDim1+14)=AnnéeCalendrier,MONTH(AouDim1+14)=8),AouDim1+14,""))</f>
        <v>46607</v>
      </c>
      <c r="Q27" s="1"/>
      <c r="R27" s="6">
        <f>IF(DAY(SepDim1)=1,IF(AND(YEAR(SepDim1+1)=AnnéeCalendrier,MONTH(SepDim1+1)=9),SepDim1+1,""),IF(AND(YEAR(SepDim1+8)=AnnéeCalendrier,MONTH(SepDim1+8)=9),SepDim1+8,""))</f>
        <v>46636</v>
      </c>
      <c r="S27" s="5">
        <f>IF(DAY(SepDim1)=1,IF(AND(YEAR(SepDim1+2)=AnnéeCalendrier,MONTH(SepDim1+2)=9),SepDim1+2,""),IF(AND(YEAR(SepDim1+9)=AnnéeCalendrier,MONTH(SepDim1+9)=9),SepDim1+9,""))</f>
        <v>46637</v>
      </c>
      <c r="T27" s="5">
        <f>IF(DAY(SepDim1)=1,IF(AND(YEAR(SepDim1+3)=AnnéeCalendrier,MONTH(SepDim1+3)=9),SepDim1+3,""),IF(AND(YEAR(SepDim1+10)=AnnéeCalendrier,MONTH(SepDim1+10)=9),SepDim1+10,""))</f>
        <v>46638</v>
      </c>
      <c r="U27" s="5">
        <f>IF(DAY(SepDim1)=1,IF(AND(YEAR(SepDim1+4)=AnnéeCalendrier,MONTH(SepDim1+4)=9),SepDim1+4,""),IF(AND(YEAR(SepDim1+11)=AnnéeCalendrier,MONTH(SepDim1+11)=9),SepDim1+11,""))</f>
        <v>46639</v>
      </c>
      <c r="V27" s="5">
        <f>IF(DAY(SepDim1)=1,IF(AND(YEAR(SepDim1+5)=AnnéeCalendrier,MONTH(SepDim1+5)=9),SepDim1+5,""),IF(AND(YEAR(SepDim1+12)=AnnéeCalendrier,MONTH(SepDim1+12)=9),SepDim1+12,""))</f>
        <v>46640</v>
      </c>
      <c r="W27" s="5">
        <f>IF(DAY(SepDim1)=1,IF(AND(YEAR(SepDim1+6)=AnnéeCalendrier,MONTH(SepDim1+6)=9),SepDim1+6,""),IF(AND(YEAR(SepDim1+13)=AnnéeCalendrier,MONTH(SepDim1+13)=9),SepDim1+13,""))</f>
        <v>46641</v>
      </c>
      <c r="X27" s="7">
        <f>IF(DAY(SepDim1)=1,IF(AND(YEAR(SepDim1+7)=AnnéeCalendrier,MONTH(SepDim1+7)=9),SepDim1+7,""),IF(AND(YEAR(SepDim1+14)=AnnéeCalendrier,MONTH(SepDim1+14)=9),SepDim1+14,""))</f>
        <v>46642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46580</v>
      </c>
      <c r="C28" s="5">
        <f>IF(DAY(JulDim1)=1,IF(AND(YEAR(JulDim1+9)=AnnéeCalendrier,MONTH(JulDim1+9)=7),JulDim1+9,""),IF(AND(YEAR(JulDim1+16)=AnnéeCalendrier,MONTH(JulDim1+16)=7),JulDim1+16,""))</f>
        <v>46581</v>
      </c>
      <c r="D28" s="5">
        <f>IF(DAY(JulDim1)=1,IF(AND(YEAR(JulDim1+10)=AnnéeCalendrier,MONTH(JulDim1+10)=7),JulDim1+10,""),IF(AND(YEAR(JulDim1+17)=AnnéeCalendrier,MONTH(JulDim1+17)=7),JulDim1+17,""))</f>
        <v>46582</v>
      </c>
      <c r="E28" s="5">
        <f>IF(DAY(JulDim1)=1,IF(AND(YEAR(JulDim1+11)=AnnéeCalendrier,MONTH(JulDim1+11)=7),JulDim1+11,""),IF(AND(YEAR(JulDim1+18)=AnnéeCalendrier,MONTH(JulDim1+18)=7),JulDim1+18,""))</f>
        <v>46583</v>
      </c>
      <c r="F28" s="5">
        <f>IF(DAY(JulDim1)=1,IF(AND(YEAR(JulDim1+12)=AnnéeCalendrier,MONTH(JulDim1+12)=7),JulDim1+12,""),IF(AND(YEAR(JulDim1+19)=AnnéeCalendrier,MONTH(JulDim1+19)=7),JulDim1+19,""))</f>
        <v>46584</v>
      </c>
      <c r="G28" s="5">
        <f>IF(DAY(JulDim1)=1,IF(AND(YEAR(JulDim1+13)=AnnéeCalendrier,MONTH(JulDim1+13)=7),JulDim1+13,""),IF(AND(YEAR(JulDim1+20)=AnnéeCalendrier,MONTH(JulDim1+20)=7),JulDim1+20,""))</f>
        <v>46585</v>
      </c>
      <c r="H28" s="7">
        <f>IF(DAY(JulDim1)=1,IF(AND(YEAR(JulDim1+14)=AnnéeCalendrier,MONTH(JulDim1+14)=7),JulDim1+14,""),IF(AND(YEAR(JulDim1+21)=AnnéeCalendrier,MONTH(JulDim1+21)=7),JulDim1+21,""))</f>
        <v>46586</v>
      </c>
      <c r="J28" s="6">
        <f>IF(DAY(AouDim1)=1,IF(AND(YEAR(AouDim1+8)=AnnéeCalendrier,MONTH(AouDim1+8)=8),AouDim1+8,""),IF(AND(YEAR(AouDim1+15)=AnnéeCalendrier,MONTH(AouDim1+15)=8),AouDim1+15,""))</f>
        <v>46608</v>
      </c>
      <c r="K28" s="5">
        <f>IF(DAY(AouDim1)=1,IF(AND(YEAR(AouDim1+9)=AnnéeCalendrier,MONTH(AouDim1+9)=8),AouDim1+9,""),IF(AND(YEAR(AouDim1+16)=AnnéeCalendrier,MONTH(AouDim1+16)=8),AouDim1+16,""))</f>
        <v>46609</v>
      </c>
      <c r="L28" s="5">
        <f>IF(DAY(AouDim1)=1,IF(AND(YEAR(AouDim1+10)=AnnéeCalendrier,MONTH(AouDim1+10)=8),AouDim1+10,""),IF(AND(YEAR(AouDim1+17)=AnnéeCalendrier,MONTH(AouDim1+17)=8),AouDim1+17,""))</f>
        <v>46610</v>
      </c>
      <c r="M28" s="5">
        <f>IF(DAY(AouDim1)=1,IF(AND(YEAR(AouDim1+11)=AnnéeCalendrier,MONTH(AouDim1+11)=8),AouDim1+11,""),IF(AND(YEAR(AouDim1+18)=AnnéeCalendrier,MONTH(AouDim1+18)=8),AouDim1+18,""))</f>
        <v>46611</v>
      </c>
      <c r="N28" s="5">
        <f>IF(DAY(AouDim1)=1,IF(AND(YEAR(AouDim1+12)=AnnéeCalendrier,MONTH(AouDim1+12)=8),AouDim1+12,""),IF(AND(YEAR(AouDim1+19)=AnnéeCalendrier,MONTH(AouDim1+19)=8),AouDim1+19,""))</f>
        <v>46612</v>
      </c>
      <c r="O28" s="5">
        <f>IF(DAY(AouDim1)=1,IF(AND(YEAR(AouDim1+13)=AnnéeCalendrier,MONTH(AouDim1+13)=8),AouDim1+13,""),IF(AND(YEAR(AouDim1+20)=AnnéeCalendrier,MONTH(AouDim1+20)=8),AouDim1+20,""))</f>
        <v>46613</v>
      </c>
      <c r="P28" s="7">
        <f>IF(DAY(AouDim1)=1,IF(AND(YEAR(AouDim1+14)=AnnéeCalendrier,MONTH(AouDim1+14)=8),AouDim1+14,""),IF(AND(YEAR(AouDim1+21)=AnnéeCalendrier,MONTH(AouDim1+21)=8),AouDim1+21,""))</f>
        <v>46614</v>
      </c>
      <c r="Q28" s="1"/>
      <c r="R28" s="6">
        <f>IF(DAY(SepDim1)=1,IF(AND(YEAR(SepDim1+8)=AnnéeCalendrier,MONTH(SepDim1+8)=9),SepDim1+8,""),IF(AND(YEAR(SepDim1+15)=AnnéeCalendrier,MONTH(SepDim1+15)=9),SepDim1+15,""))</f>
        <v>46643</v>
      </c>
      <c r="S28" s="5">
        <f>IF(DAY(SepDim1)=1,IF(AND(YEAR(SepDim1+9)=AnnéeCalendrier,MONTH(SepDim1+9)=9),SepDim1+9,""),IF(AND(YEAR(SepDim1+16)=AnnéeCalendrier,MONTH(SepDim1+16)=9),SepDim1+16,""))</f>
        <v>46644</v>
      </c>
      <c r="T28" s="5">
        <f>IF(DAY(SepDim1)=1,IF(AND(YEAR(SepDim1+10)=AnnéeCalendrier,MONTH(SepDim1+10)=9),SepDim1+10,""),IF(AND(YEAR(SepDim1+17)=AnnéeCalendrier,MONTH(SepDim1+17)=9),SepDim1+17,""))</f>
        <v>46645</v>
      </c>
      <c r="U28" s="5">
        <f>IF(DAY(SepDim1)=1,IF(AND(YEAR(SepDim1+11)=AnnéeCalendrier,MONTH(SepDim1+11)=9),SepDim1+11,""),IF(AND(YEAR(SepDim1+18)=AnnéeCalendrier,MONTH(SepDim1+18)=9),SepDim1+18,""))</f>
        <v>46646</v>
      </c>
      <c r="V28" s="5">
        <f>IF(DAY(SepDim1)=1,IF(AND(YEAR(SepDim1+12)=AnnéeCalendrier,MONTH(SepDim1+12)=9),SepDim1+12,""),IF(AND(YEAR(SepDim1+19)=AnnéeCalendrier,MONTH(SepDim1+19)=9),SepDim1+19,""))</f>
        <v>46647</v>
      </c>
      <c r="W28" s="5">
        <f>IF(DAY(SepDim1)=1,IF(AND(YEAR(SepDim1+13)=AnnéeCalendrier,MONTH(SepDim1+13)=9),SepDim1+13,""),IF(AND(YEAR(SepDim1+20)=AnnéeCalendrier,MONTH(SepDim1+20)=9),SepDim1+20,""))</f>
        <v>46648</v>
      </c>
      <c r="X28" s="7">
        <f>IF(DAY(SepDim1)=1,IF(AND(YEAR(SepDim1+14)=AnnéeCalendrier,MONTH(SepDim1+14)=9),SepDim1+14,""),IF(AND(YEAR(SepDim1+21)=AnnéeCalendrier,MONTH(SepDim1+21)=9),SepDim1+21,""))</f>
        <v>46649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46587</v>
      </c>
      <c r="C29" s="5">
        <f>IF(DAY(JulDim1)=1,IF(AND(YEAR(JulDim1+16)=AnnéeCalendrier,MONTH(JulDim1+16)=7),JulDim1+16,""),IF(AND(YEAR(JulDim1+23)=AnnéeCalendrier,MONTH(JulDim1+23)=7),JulDim1+23,""))</f>
        <v>46588</v>
      </c>
      <c r="D29" s="5">
        <f>IF(DAY(JulDim1)=1,IF(AND(YEAR(JulDim1+17)=AnnéeCalendrier,MONTH(JulDim1+17)=7),JulDim1+17,""),IF(AND(YEAR(JulDim1+24)=AnnéeCalendrier,MONTH(JulDim1+24)=7),JulDim1+24,""))</f>
        <v>46589</v>
      </c>
      <c r="E29" s="5">
        <f>IF(DAY(JulDim1)=1,IF(AND(YEAR(JulDim1+18)=AnnéeCalendrier,MONTH(JulDim1+18)=7),JulDim1+18,""),IF(AND(YEAR(JulDim1+25)=AnnéeCalendrier,MONTH(JulDim1+25)=7),JulDim1+25,""))</f>
        <v>46590</v>
      </c>
      <c r="F29" s="5">
        <f>IF(DAY(JulDim1)=1,IF(AND(YEAR(JulDim1+19)=AnnéeCalendrier,MONTH(JulDim1+19)=7),JulDim1+19,""),IF(AND(YEAR(JulDim1+26)=AnnéeCalendrier,MONTH(JulDim1+26)=7),JulDim1+26,""))</f>
        <v>46591</v>
      </c>
      <c r="G29" s="5">
        <f>IF(DAY(JulDim1)=1,IF(AND(YEAR(JulDim1+20)=AnnéeCalendrier,MONTH(JulDim1+20)=7),JulDim1+20,""),IF(AND(YEAR(JulDim1+27)=AnnéeCalendrier,MONTH(JulDim1+27)=7),JulDim1+27,""))</f>
        <v>46592</v>
      </c>
      <c r="H29" s="7">
        <f>IF(DAY(JulDim1)=1,IF(AND(YEAR(JulDim1+21)=AnnéeCalendrier,MONTH(JulDim1+21)=7),JulDim1+21,""),IF(AND(YEAR(JulDim1+28)=AnnéeCalendrier,MONTH(JulDim1+28)=7),JulDim1+28,""))</f>
        <v>46593</v>
      </c>
      <c r="J29" s="6">
        <f>IF(DAY(AouDim1)=1,IF(AND(YEAR(AouDim1+15)=AnnéeCalendrier,MONTH(AouDim1+15)=8),AouDim1+15,""),IF(AND(YEAR(AouDim1+22)=AnnéeCalendrier,MONTH(AouDim1+22)=8),AouDim1+22,""))</f>
        <v>46615</v>
      </c>
      <c r="K29" s="5">
        <f>IF(DAY(AouDim1)=1,IF(AND(YEAR(AouDim1+16)=AnnéeCalendrier,MONTH(AouDim1+16)=8),AouDim1+16,""),IF(AND(YEAR(AouDim1+23)=AnnéeCalendrier,MONTH(AouDim1+23)=8),AouDim1+23,""))</f>
        <v>46616</v>
      </c>
      <c r="L29" s="5">
        <f>IF(DAY(AouDim1)=1,IF(AND(YEAR(AouDim1+17)=AnnéeCalendrier,MONTH(AouDim1+17)=8),AouDim1+17,""),IF(AND(YEAR(AouDim1+24)=AnnéeCalendrier,MONTH(AouDim1+24)=8),AouDim1+24,""))</f>
        <v>46617</v>
      </c>
      <c r="M29" s="5">
        <f>IF(DAY(AouDim1)=1,IF(AND(YEAR(AouDim1+18)=AnnéeCalendrier,MONTH(AouDim1+18)=8),AouDim1+18,""),IF(AND(YEAR(AouDim1+25)=AnnéeCalendrier,MONTH(AouDim1+25)=8),AouDim1+25,""))</f>
        <v>46618</v>
      </c>
      <c r="N29" s="5">
        <f>IF(DAY(AouDim1)=1,IF(AND(YEAR(AouDim1+19)=AnnéeCalendrier,MONTH(AouDim1+19)=8),AouDim1+19,""),IF(AND(YEAR(AouDim1+26)=AnnéeCalendrier,MONTH(AouDim1+26)=8),AouDim1+26,""))</f>
        <v>46619</v>
      </c>
      <c r="O29" s="5">
        <f>IF(DAY(AouDim1)=1,IF(AND(YEAR(AouDim1+20)=AnnéeCalendrier,MONTH(AouDim1+20)=8),AouDim1+20,""),IF(AND(YEAR(AouDim1+27)=AnnéeCalendrier,MONTH(AouDim1+27)=8),AouDim1+27,""))</f>
        <v>46620</v>
      </c>
      <c r="P29" s="7">
        <f>IF(DAY(AouDim1)=1,IF(AND(YEAR(AouDim1+21)=AnnéeCalendrier,MONTH(AouDim1+21)=8),AouDim1+21,""),IF(AND(YEAR(AouDim1+28)=AnnéeCalendrier,MONTH(AouDim1+28)=8),AouDim1+28,""))</f>
        <v>46621</v>
      </c>
      <c r="Q29" s="1"/>
      <c r="R29" s="6">
        <f>IF(DAY(SepDim1)=1,IF(AND(YEAR(SepDim1+15)=AnnéeCalendrier,MONTH(SepDim1+15)=9),SepDim1+15,""),IF(AND(YEAR(SepDim1+22)=AnnéeCalendrier,MONTH(SepDim1+22)=9),SepDim1+22,""))</f>
        <v>46650</v>
      </c>
      <c r="S29" s="5">
        <f>IF(DAY(SepDim1)=1,IF(AND(YEAR(SepDim1+16)=AnnéeCalendrier,MONTH(SepDim1+16)=9),SepDim1+16,""),IF(AND(YEAR(SepDim1+23)=AnnéeCalendrier,MONTH(SepDim1+23)=9),SepDim1+23,""))</f>
        <v>46651</v>
      </c>
      <c r="T29" s="5">
        <f>IF(DAY(SepDim1)=1,IF(AND(YEAR(SepDim1+17)=AnnéeCalendrier,MONTH(SepDim1+17)=9),SepDim1+17,""),IF(AND(YEAR(SepDim1+24)=AnnéeCalendrier,MONTH(SepDim1+24)=9),SepDim1+24,""))</f>
        <v>46652</v>
      </c>
      <c r="U29" s="5">
        <f>IF(DAY(SepDim1)=1,IF(AND(YEAR(SepDim1+18)=AnnéeCalendrier,MONTH(SepDim1+18)=9),SepDim1+18,""),IF(AND(YEAR(SepDim1+25)=AnnéeCalendrier,MONTH(SepDim1+25)=9),SepDim1+25,""))</f>
        <v>46653</v>
      </c>
      <c r="V29" s="5">
        <f>IF(DAY(SepDim1)=1,IF(AND(YEAR(SepDim1+19)=AnnéeCalendrier,MONTH(SepDim1+19)=9),SepDim1+19,""),IF(AND(YEAR(SepDim1+26)=AnnéeCalendrier,MONTH(SepDim1+26)=9),SepDim1+26,""))</f>
        <v>46654</v>
      </c>
      <c r="W29" s="5">
        <f>IF(DAY(SepDim1)=1,IF(AND(YEAR(SepDim1+20)=AnnéeCalendrier,MONTH(SepDim1+20)=9),SepDim1+20,""),IF(AND(YEAR(SepDim1+27)=AnnéeCalendrier,MONTH(SepDim1+27)=9),SepDim1+27,""))</f>
        <v>46655</v>
      </c>
      <c r="X29" s="7">
        <f>IF(DAY(SepDim1)=1,IF(AND(YEAR(SepDim1+21)=AnnéeCalendrier,MONTH(SepDim1+21)=9),SepDim1+21,""),IF(AND(YEAR(SepDim1+28)=AnnéeCalendrier,MONTH(SepDim1+28)=9),SepDim1+28,""))</f>
        <v>46656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46594</v>
      </c>
      <c r="C30" s="5">
        <f>IF(DAY(JulDim1)=1,IF(AND(YEAR(JulDim1+23)=AnnéeCalendrier,MONTH(JulDim1+23)=7),JulDim1+23,""),IF(AND(YEAR(JulDim1+30)=AnnéeCalendrier,MONTH(JulDim1+30)=7),JulDim1+30,""))</f>
        <v>46595</v>
      </c>
      <c r="D30" s="5">
        <f>IF(DAY(JulDim1)=1,IF(AND(YEAR(JulDim1+24)=AnnéeCalendrier,MONTH(JulDim1+24)=7),JulDim1+24,""),IF(AND(YEAR(JulDim1+31)=AnnéeCalendrier,MONTH(JulDim1+31)=7),JulDim1+31,""))</f>
        <v>46596</v>
      </c>
      <c r="E30" s="5">
        <f>IF(DAY(JulDim1)=1,IF(AND(YEAR(JulDim1+25)=AnnéeCalendrier,MONTH(JulDim1+25)=7),JulDim1+25,""),IF(AND(YEAR(JulDim1+32)=AnnéeCalendrier,MONTH(JulDim1+32)=7),JulDim1+32,""))</f>
        <v>46597</v>
      </c>
      <c r="F30" s="5">
        <f>IF(DAY(JulDim1)=1,IF(AND(YEAR(JulDim1+26)=AnnéeCalendrier,MONTH(JulDim1+26)=7),JulDim1+26,""),IF(AND(YEAR(JulDim1+33)=AnnéeCalendrier,MONTH(JulDim1+33)=7),JulDim1+33,""))</f>
        <v>46598</v>
      </c>
      <c r="G30" s="5">
        <f>IF(DAY(JulDim1)=1,IF(AND(YEAR(JulDim1+27)=AnnéeCalendrier,MONTH(JulDim1+27)=7),JulDim1+27,""),IF(AND(YEAR(JulDim1+34)=AnnéeCalendrier,MONTH(JulDim1+34)=7),JulDim1+34,""))</f>
        <v>46599</v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46622</v>
      </c>
      <c r="K30" s="5">
        <f>IF(DAY(AouDim1)=1,IF(AND(YEAR(AouDim1+23)=AnnéeCalendrier,MONTH(AouDim1+23)=8),AouDim1+23,""),IF(AND(YEAR(AouDim1+30)=AnnéeCalendrier,MONTH(AouDim1+30)=8),AouDim1+30,""))</f>
        <v>46623</v>
      </c>
      <c r="L30" s="5">
        <f>IF(DAY(AouDim1)=1,IF(AND(YEAR(AouDim1+24)=AnnéeCalendrier,MONTH(AouDim1+24)=8),AouDim1+24,""),IF(AND(YEAR(AouDim1+31)=AnnéeCalendrier,MONTH(AouDim1+31)=8),AouDim1+31,""))</f>
        <v>46624</v>
      </c>
      <c r="M30" s="5">
        <f>IF(DAY(AouDim1)=1,IF(AND(YEAR(AouDim1+25)=AnnéeCalendrier,MONTH(AouDim1+25)=8),AouDim1+25,""),IF(AND(YEAR(AouDim1+32)=AnnéeCalendrier,MONTH(AouDim1+32)=8),AouDim1+32,""))</f>
        <v>46625</v>
      </c>
      <c r="N30" s="5">
        <f>IF(DAY(AouDim1)=1,IF(AND(YEAR(AouDim1+26)=AnnéeCalendrier,MONTH(AouDim1+26)=8),AouDim1+26,""),IF(AND(YEAR(AouDim1+33)=AnnéeCalendrier,MONTH(AouDim1+33)=8),AouDim1+33,""))</f>
        <v>46626</v>
      </c>
      <c r="O30" s="5">
        <f>IF(DAY(AouDim1)=1,IF(AND(YEAR(AouDim1+27)=AnnéeCalendrier,MONTH(AouDim1+27)=8),AouDim1+27,""),IF(AND(YEAR(AouDim1+34)=AnnéeCalendrier,MONTH(AouDim1+34)=8),AouDim1+34,""))</f>
        <v>46627</v>
      </c>
      <c r="P30" s="7">
        <f>IF(DAY(AouDim1)=1,IF(AND(YEAR(AouDim1+28)=AnnéeCalendrier,MONTH(AouDim1+28)=8),AouDim1+28,""),IF(AND(YEAR(AouDim1+35)=AnnéeCalendrier,MONTH(AouDim1+35)=8),AouDim1+35,""))</f>
        <v>46628</v>
      </c>
      <c r="Q30" s="1"/>
      <c r="R30" s="6">
        <f>IF(DAY(SepDim1)=1,IF(AND(YEAR(SepDim1+22)=AnnéeCalendrier,MONTH(SepDim1+22)=9),SepDim1+22,""),IF(AND(YEAR(SepDim1+29)=AnnéeCalendrier,MONTH(SepDim1+29)=9),SepDim1+29,""))</f>
        <v>46657</v>
      </c>
      <c r="S30" s="5">
        <f>IF(DAY(SepDim1)=1,IF(AND(YEAR(SepDim1+23)=AnnéeCalendrier,MONTH(SepDim1+23)=9),SepDim1+23,""),IF(AND(YEAR(SepDim1+30)=AnnéeCalendrier,MONTH(SepDim1+30)=9),SepDim1+30,""))</f>
        <v>46658</v>
      </c>
      <c r="T30" s="5">
        <f>IF(DAY(SepDim1)=1,IF(AND(YEAR(SepDim1+24)=AnnéeCalendrier,MONTH(SepDim1+24)=9),SepDim1+24,""),IF(AND(YEAR(SepDim1+31)=AnnéeCalendrier,MONTH(SepDim1+31)=9),SepDim1+31,""))</f>
        <v>46659</v>
      </c>
      <c r="U30" s="5">
        <f>IF(DAY(SepDim1)=1,IF(AND(YEAR(SepDim1+25)=AnnéeCalendrier,MONTH(SepDim1+25)=9),SepDim1+25,""),IF(AND(YEAR(SepDim1+32)=AnnéeCalendrier,MONTH(SepDim1+32)=9),SepDim1+32,""))</f>
        <v>46660</v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46629</v>
      </c>
      <c r="K31" s="9">
        <f>IF(DAY(AouDim1)=1,IF(AND(YEAR(AouDim1+30)=AnnéeCalendrier,MONTH(AouDim1+30)=8),AouDim1+30,""),IF(AND(YEAR(AouDim1+37)=AnnéeCalendrier,MONTH(AouDim1+37)=8),AouDim1+37,""))</f>
        <v>46630</v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>
        <f>IF(DAY(OctDim1)=1,"",IF(AND(YEAR(OctDim1+5)=AnnéeCalendrier,MONTH(OctDim1+5)=10),OctDim1+5,""))</f>
        <v>46661</v>
      </c>
      <c r="G35" s="5">
        <f>IF(DAY(OctDim1)=1,"",IF(AND(YEAR(OctDim1+6)=AnnéeCalendrier,MONTH(OctDim1+6)=10),OctDim1+6,""))</f>
        <v>46662</v>
      </c>
      <c r="H35" s="7">
        <f>IF(DAY(OctDim1)=1,IF(AND(YEAR(OctDim1)=AnnéeCalendrier,MONTH(OctDim1)=10),OctDim1,""),IF(AND(YEAR(OctDim1+7)=AnnéeCalendrier,MONTH(OctDim1+7)=10),OctDim1+7,""))</f>
        <v>46663</v>
      </c>
      <c r="I35" s="4"/>
      <c r="J35" s="6">
        <f>IF(DAY(NovDim1)=1,"",IF(AND(YEAR(NovDim1+1)=AnnéeCalendrier,MONTH(NovDim1+1)=11),NovDim1+1,""))</f>
        <v>46692</v>
      </c>
      <c r="K35" s="5">
        <f>IF(DAY(NovDim1)=1,"",IF(AND(YEAR(NovDim1+2)=AnnéeCalendrier,MONTH(NovDim1+2)=11),NovDim1+2,""))</f>
        <v>46693</v>
      </c>
      <c r="L35" s="5">
        <f>IF(DAY(NovDim1)=1,"",IF(AND(YEAR(NovDim1+3)=AnnéeCalendrier,MONTH(NovDim1+3)=11),NovDim1+3,""))</f>
        <v>46694</v>
      </c>
      <c r="M35" s="5">
        <f>IF(DAY(NovDim1)=1,"",IF(AND(YEAR(NovDim1+4)=AnnéeCalendrier,MONTH(NovDim1+4)=11),NovDim1+4,""))</f>
        <v>46695</v>
      </c>
      <c r="N35" s="5">
        <f>IF(DAY(NovDim1)=1,"",IF(AND(YEAR(NovDim1+5)=AnnéeCalendrier,MONTH(NovDim1+5)=11),NovDim1+5,""))</f>
        <v>46696</v>
      </c>
      <c r="O35" s="5">
        <f>IF(DAY(NovDim1)=1,"",IF(AND(YEAR(NovDim1+6)=AnnéeCalendrier,MONTH(NovDim1+6)=11),NovDim1+6,""))</f>
        <v>46697</v>
      </c>
      <c r="P35" s="7">
        <f>IF(DAY(NovDim1)=1,IF(AND(YEAR(NovDim1)=AnnéeCalendrier,MONTH(NovDim1)=11),NovDim1,""),IF(AND(YEAR(NovDim1+7)=AnnéeCalendrier,MONTH(NovDim1+7)=11),NovDim1+7,""))</f>
        <v>46698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>
        <f>IF(DAY(DécDim1)=1,"",IF(AND(YEAR(DécDim1+3)=AnnéeCalendrier,MONTH(DécDim1+3)=12),DécDim1+3,""))</f>
        <v>46722</v>
      </c>
      <c r="U35" s="5">
        <f>IF(DAY(DécDim1)=1,"",IF(AND(YEAR(DécDim1+4)=AnnéeCalendrier,MONTH(DécDim1+4)=12),DécDim1+4,""))</f>
        <v>46723</v>
      </c>
      <c r="V35" s="5">
        <f>IF(DAY(DécDim1)=1,"",IF(AND(YEAR(DécDim1+5)=AnnéeCalendrier,MONTH(DécDim1+5)=12),DécDim1+5,""))</f>
        <v>46724</v>
      </c>
      <c r="W35" s="5">
        <f>IF(DAY(DécDim1)=1,"",IF(AND(YEAR(DécDim1+6)=AnnéeCalendrier,MONTH(DécDim1+6)=12),DécDim1+6,""))</f>
        <v>46725</v>
      </c>
      <c r="X35" s="7">
        <f>IF(DAY(DécDim1)=1,IF(AND(YEAR(DécDim1)=AnnéeCalendrier,MONTH(DécDim1)=12),DécDim1,""),IF(AND(YEAR(DécDim1+7)=AnnéeCalendrier,MONTH(DécDim1+7)=12),DécDim1+7,""))</f>
        <v>46726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46664</v>
      </c>
      <c r="C36" s="5">
        <f>IF(DAY(OctDim1)=1,IF(AND(YEAR(OctDim1+2)=AnnéeCalendrier,MONTH(OctDim1+2)=10),OctDim1+2,""),IF(AND(YEAR(OctDim1+9)=AnnéeCalendrier,MONTH(OctDim1+9)=10),OctDim1+9,""))</f>
        <v>46665</v>
      </c>
      <c r="D36" s="5">
        <f>IF(DAY(OctDim1)=1,IF(AND(YEAR(OctDim1+3)=AnnéeCalendrier,MONTH(OctDim1+3)=10),OctDim1+3,""),IF(AND(YEAR(OctDim1+10)=AnnéeCalendrier,MONTH(OctDim1+10)=10),OctDim1+10,""))</f>
        <v>46666</v>
      </c>
      <c r="E36" s="5">
        <f>IF(DAY(OctDim1)=1,IF(AND(YEAR(OctDim1+4)=AnnéeCalendrier,MONTH(OctDim1+4)=10),OctDim1+4,""),IF(AND(YEAR(OctDim1+11)=AnnéeCalendrier,MONTH(OctDim1+11)=10),OctDim1+11,""))</f>
        <v>46667</v>
      </c>
      <c r="F36" s="5">
        <f>IF(DAY(OctDim1)=1,IF(AND(YEAR(OctDim1+5)=AnnéeCalendrier,MONTH(OctDim1+5)=10),OctDim1+5,""),IF(AND(YEAR(OctDim1+12)=AnnéeCalendrier,MONTH(OctDim1+12)=10),OctDim1+12,""))</f>
        <v>46668</v>
      </c>
      <c r="G36" s="5">
        <f>IF(DAY(OctDim1)=1,IF(AND(YEAR(OctDim1+6)=AnnéeCalendrier,MONTH(OctDim1+6)=10),OctDim1+6,""),IF(AND(YEAR(OctDim1+13)=AnnéeCalendrier,MONTH(OctDim1+13)=10),OctDim1+13,""))</f>
        <v>46669</v>
      </c>
      <c r="H36" s="7">
        <f>IF(DAY(OctDim1)=1,IF(AND(YEAR(OctDim1+7)=AnnéeCalendrier,MONTH(OctDim1+7)=10),OctDim1+7,""),IF(AND(YEAR(OctDim1+14)=AnnéeCalendrier,MONTH(OctDim1+14)=10),OctDim1+14,""))</f>
        <v>46670</v>
      </c>
      <c r="I36" s="4"/>
      <c r="J36" s="6">
        <f>IF(DAY(NovDim1)=1,IF(AND(YEAR(NovDim1+1)=AnnéeCalendrier,MONTH(NovDim1+1)=11),NovDim1+1,""),IF(AND(YEAR(NovDim1+8)=AnnéeCalendrier,MONTH(NovDim1+8)=11),NovDim1+8,""))</f>
        <v>46699</v>
      </c>
      <c r="K36" s="5">
        <f>IF(DAY(NovDim1)=1,IF(AND(YEAR(NovDim1+2)=AnnéeCalendrier,MONTH(NovDim1+2)=11),NovDim1+2,""),IF(AND(YEAR(NovDim1+9)=AnnéeCalendrier,MONTH(NovDim1+9)=11),NovDim1+9,""))</f>
        <v>46700</v>
      </c>
      <c r="L36" s="5">
        <f>IF(DAY(NovDim1)=1,IF(AND(YEAR(NovDim1+3)=AnnéeCalendrier,MONTH(NovDim1+3)=11),NovDim1+3,""),IF(AND(YEAR(NovDim1+10)=AnnéeCalendrier,MONTH(NovDim1+10)=11),NovDim1+10,""))</f>
        <v>46701</v>
      </c>
      <c r="M36" s="5">
        <f>IF(DAY(NovDim1)=1,IF(AND(YEAR(NovDim1+4)=AnnéeCalendrier,MONTH(NovDim1+4)=11),NovDim1+4,""),IF(AND(YEAR(NovDim1+11)=AnnéeCalendrier,MONTH(NovDim1+11)=11),NovDim1+11,""))</f>
        <v>46702</v>
      </c>
      <c r="N36" s="5">
        <f>IF(DAY(NovDim1)=1,IF(AND(YEAR(NovDim1+5)=AnnéeCalendrier,MONTH(NovDim1+5)=11),NovDim1+5,""),IF(AND(YEAR(NovDim1+12)=AnnéeCalendrier,MONTH(NovDim1+12)=11),NovDim1+12,""))</f>
        <v>46703</v>
      </c>
      <c r="O36" s="5">
        <f>IF(DAY(NovDim1)=1,IF(AND(YEAR(NovDim1+6)=AnnéeCalendrier,MONTH(NovDim1+6)=11),NovDim1+6,""),IF(AND(YEAR(NovDim1+13)=AnnéeCalendrier,MONTH(NovDim1+13)=11),NovDim1+13,""))</f>
        <v>46704</v>
      </c>
      <c r="P36" s="7">
        <f>IF(DAY(NovDim1)=1,IF(AND(YEAR(NovDim1+7)=AnnéeCalendrier,MONTH(NovDim1+7)=11),NovDim1+7,""),IF(AND(YEAR(NovDim1+14)=AnnéeCalendrier,MONTH(NovDim1+14)=11),NovDim1+14,""))</f>
        <v>46705</v>
      </c>
      <c r="R36" s="6">
        <f>IF(DAY(DécDim1)=1,IF(AND(YEAR(DécDim1+1)=AnnéeCalendrier,MONTH(DécDim1+1)=12),DécDim1+1,""),IF(AND(YEAR(DécDim1+8)=AnnéeCalendrier,MONTH(DécDim1+8)=12),DécDim1+8,""))</f>
        <v>46727</v>
      </c>
      <c r="S36" s="5">
        <f>IF(DAY(DécDim1)=1,IF(AND(YEAR(DécDim1+2)=AnnéeCalendrier,MONTH(DécDim1+2)=12),DécDim1+2,""),IF(AND(YEAR(DécDim1+9)=AnnéeCalendrier,MONTH(DécDim1+9)=12),DécDim1+9,""))</f>
        <v>46728</v>
      </c>
      <c r="T36" s="5">
        <f>IF(DAY(DécDim1)=1,IF(AND(YEAR(DécDim1+3)=AnnéeCalendrier,MONTH(DécDim1+3)=12),DécDim1+3,""),IF(AND(YEAR(DécDim1+10)=AnnéeCalendrier,MONTH(DécDim1+10)=12),DécDim1+10,""))</f>
        <v>46729</v>
      </c>
      <c r="U36" s="5">
        <f>IF(DAY(DécDim1)=1,IF(AND(YEAR(DécDim1+4)=AnnéeCalendrier,MONTH(DécDim1+4)=12),DécDim1+4,""),IF(AND(YEAR(DécDim1+11)=AnnéeCalendrier,MONTH(DécDim1+11)=12),DécDim1+11,""))</f>
        <v>46730</v>
      </c>
      <c r="V36" s="5">
        <f>IF(DAY(DécDim1)=1,IF(AND(YEAR(DécDim1+5)=AnnéeCalendrier,MONTH(DécDim1+5)=12),DécDim1+5,""),IF(AND(YEAR(DécDim1+12)=AnnéeCalendrier,MONTH(DécDim1+12)=12),DécDim1+12,""))</f>
        <v>46731</v>
      </c>
      <c r="W36" s="5">
        <f>IF(DAY(DécDim1)=1,IF(AND(YEAR(DécDim1+6)=AnnéeCalendrier,MONTH(DécDim1+6)=12),DécDim1+6,""),IF(AND(YEAR(DécDim1+13)=AnnéeCalendrier,MONTH(DécDim1+13)=12),DécDim1+13,""))</f>
        <v>46732</v>
      </c>
      <c r="X36" s="7">
        <f>IF(DAY(DécDim1)=1,IF(AND(YEAR(DécDim1+7)=AnnéeCalendrier,MONTH(DécDim1+7)=12),DécDim1+7,""),IF(AND(YEAR(DécDim1+14)=AnnéeCalendrier,MONTH(DécDim1+14)=12),DécDim1+14,""))</f>
        <v>46733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46671</v>
      </c>
      <c r="C37" s="5">
        <f>IF(DAY(OctDim1)=1,IF(AND(YEAR(OctDim1+9)=AnnéeCalendrier,MONTH(OctDim1+9)=10),OctDim1+9,""),IF(AND(YEAR(OctDim1+16)=AnnéeCalendrier,MONTH(OctDim1+16)=10),OctDim1+16,""))</f>
        <v>46672</v>
      </c>
      <c r="D37" s="5">
        <f>IF(DAY(OctDim1)=1,IF(AND(YEAR(OctDim1+10)=AnnéeCalendrier,MONTH(OctDim1+10)=10),OctDim1+10,""),IF(AND(YEAR(OctDim1+17)=AnnéeCalendrier,MONTH(OctDim1+17)=10),OctDim1+17,""))</f>
        <v>46673</v>
      </c>
      <c r="E37" s="5">
        <f>IF(DAY(OctDim1)=1,IF(AND(YEAR(OctDim1+11)=AnnéeCalendrier,MONTH(OctDim1+11)=10),OctDim1+11,""),IF(AND(YEAR(OctDim1+18)=AnnéeCalendrier,MONTH(OctDim1+18)=10),OctDim1+18,""))</f>
        <v>46674</v>
      </c>
      <c r="F37" s="5">
        <f>IF(DAY(OctDim1)=1,IF(AND(YEAR(OctDim1+12)=AnnéeCalendrier,MONTH(OctDim1+12)=10),OctDim1+12,""),IF(AND(YEAR(OctDim1+19)=AnnéeCalendrier,MONTH(OctDim1+19)=10),OctDim1+19,""))</f>
        <v>46675</v>
      </c>
      <c r="G37" s="5">
        <f>IF(DAY(OctDim1)=1,IF(AND(YEAR(OctDim1+13)=AnnéeCalendrier,MONTH(OctDim1+13)=10),OctDim1+13,""),IF(AND(YEAR(OctDim1+20)=AnnéeCalendrier,MONTH(OctDim1+20)=10),OctDim1+20,""))</f>
        <v>46676</v>
      </c>
      <c r="H37" s="7">
        <f>IF(DAY(OctDim1)=1,IF(AND(YEAR(OctDim1+14)=AnnéeCalendrier,MONTH(OctDim1+14)=10),OctDim1+14,""),IF(AND(YEAR(OctDim1+21)=AnnéeCalendrier,MONTH(OctDim1+21)=10),OctDim1+21,""))</f>
        <v>46677</v>
      </c>
      <c r="I37" s="4"/>
      <c r="J37" s="6">
        <f>IF(DAY(NovDim1)=1,IF(AND(YEAR(NovDim1+8)=AnnéeCalendrier,MONTH(NovDim1+8)=11),NovDim1+8,""),IF(AND(YEAR(NovDim1+15)=AnnéeCalendrier,MONTH(NovDim1+15)=11),NovDim1+15,""))</f>
        <v>46706</v>
      </c>
      <c r="K37" s="5">
        <f>IF(DAY(NovDim1)=1,IF(AND(YEAR(NovDim1+9)=AnnéeCalendrier,MONTH(NovDim1+9)=11),NovDim1+9,""),IF(AND(YEAR(NovDim1+16)=AnnéeCalendrier,MONTH(NovDim1+16)=11),NovDim1+16,""))</f>
        <v>46707</v>
      </c>
      <c r="L37" s="5">
        <f>IF(DAY(NovDim1)=1,IF(AND(YEAR(NovDim1+10)=AnnéeCalendrier,MONTH(NovDim1+10)=11),NovDim1+10,""),IF(AND(YEAR(NovDim1+17)=AnnéeCalendrier,MONTH(NovDim1+17)=11),NovDim1+17,""))</f>
        <v>46708</v>
      </c>
      <c r="M37" s="5">
        <f>IF(DAY(NovDim1)=1,IF(AND(YEAR(NovDim1+11)=AnnéeCalendrier,MONTH(NovDim1+11)=11),NovDim1+11,""),IF(AND(YEAR(NovDim1+18)=AnnéeCalendrier,MONTH(NovDim1+18)=11),NovDim1+18,""))</f>
        <v>46709</v>
      </c>
      <c r="N37" s="5">
        <f>IF(DAY(NovDim1)=1,IF(AND(YEAR(NovDim1+12)=AnnéeCalendrier,MONTH(NovDim1+12)=11),NovDim1+12,""),IF(AND(YEAR(NovDim1+19)=AnnéeCalendrier,MONTH(NovDim1+19)=11),NovDim1+19,""))</f>
        <v>46710</v>
      </c>
      <c r="O37" s="5">
        <f>IF(DAY(NovDim1)=1,IF(AND(YEAR(NovDim1+13)=AnnéeCalendrier,MONTH(NovDim1+13)=11),NovDim1+13,""),IF(AND(YEAR(NovDim1+20)=AnnéeCalendrier,MONTH(NovDim1+20)=11),NovDim1+20,""))</f>
        <v>46711</v>
      </c>
      <c r="P37" s="7">
        <f>IF(DAY(NovDim1)=1,IF(AND(YEAR(NovDim1+14)=AnnéeCalendrier,MONTH(NovDim1+14)=11),NovDim1+14,""),IF(AND(YEAR(NovDim1+21)=AnnéeCalendrier,MONTH(NovDim1+21)=11),NovDim1+21,""))</f>
        <v>46712</v>
      </c>
      <c r="R37" s="6">
        <f>IF(DAY(DécDim1)=1,IF(AND(YEAR(DécDim1+8)=AnnéeCalendrier,MONTH(DécDim1+8)=12),DécDim1+8,""),IF(AND(YEAR(DécDim1+15)=AnnéeCalendrier,MONTH(DécDim1+15)=12),DécDim1+15,""))</f>
        <v>46734</v>
      </c>
      <c r="S37" s="5">
        <f>IF(DAY(DécDim1)=1,IF(AND(YEAR(DécDim1+9)=AnnéeCalendrier,MONTH(DécDim1+9)=12),DécDim1+9,""),IF(AND(YEAR(DécDim1+16)=AnnéeCalendrier,MONTH(DécDim1+16)=12),DécDim1+16,""))</f>
        <v>46735</v>
      </c>
      <c r="T37" s="5">
        <f>IF(DAY(DécDim1)=1,IF(AND(YEAR(DécDim1+10)=AnnéeCalendrier,MONTH(DécDim1+10)=12),DécDim1+10,""),IF(AND(YEAR(DécDim1+17)=AnnéeCalendrier,MONTH(DécDim1+17)=12),DécDim1+17,""))</f>
        <v>46736</v>
      </c>
      <c r="U37" s="5">
        <f>IF(DAY(DécDim1)=1,IF(AND(YEAR(DécDim1+11)=AnnéeCalendrier,MONTH(DécDim1+11)=12),DécDim1+11,""),IF(AND(YEAR(DécDim1+18)=AnnéeCalendrier,MONTH(DécDim1+18)=12),DécDim1+18,""))</f>
        <v>46737</v>
      </c>
      <c r="V37" s="5">
        <f>IF(DAY(DécDim1)=1,IF(AND(YEAR(DécDim1+12)=AnnéeCalendrier,MONTH(DécDim1+12)=12),DécDim1+12,""),IF(AND(YEAR(DécDim1+19)=AnnéeCalendrier,MONTH(DécDim1+19)=12),DécDim1+19,""))</f>
        <v>46738</v>
      </c>
      <c r="W37" s="5">
        <f>IF(DAY(DécDim1)=1,IF(AND(YEAR(DécDim1+13)=AnnéeCalendrier,MONTH(DécDim1+13)=12),DécDim1+13,""),IF(AND(YEAR(DécDim1+20)=AnnéeCalendrier,MONTH(DécDim1+20)=12),DécDim1+20,""))</f>
        <v>46739</v>
      </c>
      <c r="X37" s="7">
        <f>IF(DAY(DécDim1)=1,IF(AND(YEAR(DécDim1+14)=AnnéeCalendrier,MONTH(DécDim1+14)=12),DécDim1+14,""),IF(AND(YEAR(DécDim1+21)=AnnéeCalendrier,MONTH(DécDim1+21)=12),DécDim1+21,""))</f>
        <v>46740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46678</v>
      </c>
      <c r="C38" s="5">
        <f>IF(DAY(OctDim1)=1,IF(AND(YEAR(OctDim1+16)=AnnéeCalendrier,MONTH(OctDim1+16)=10),OctDim1+16,""),IF(AND(YEAR(OctDim1+23)=AnnéeCalendrier,MONTH(OctDim1+23)=10),OctDim1+23,""))</f>
        <v>46679</v>
      </c>
      <c r="D38" s="5">
        <f>IF(DAY(OctDim1)=1,IF(AND(YEAR(OctDim1+17)=AnnéeCalendrier,MONTH(OctDim1+17)=10),OctDim1+17,""),IF(AND(YEAR(OctDim1+24)=AnnéeCalendrier,MONTH(OctDim1+24)=10),OctDim1+24,""))</f>
        <v>46680</v>
      </c>
      <c r="E38" s="5">
        <f>IF(DAY(OctDim1)=1,IF(AND(YEAR(OctDim1+18)=AnnéeCalendrier,MONTH(OctDim1+18)=10),OctDim1+18,""),IF(AND(YEAR(OctDim1+25)=AnnéeCalendrier,MONTH(OctDim1+25)=10),OctDim1+25,""))</f>
        <v>46681</v>
      </c>
      <c r="F38" s="5">
        <f>IF(DAY(OctDim1)=1,IF(AND(YEAR(OctDim1+19)=AnnéeCalendrier,MONTH(OctDim1+19)=10),OctDim1+19,""),IF(AND(YEAR(OctDim1+26)=AnnéeCalendrier,MONTH(OctDim1+26)=10),OctDim1+26,""))</f>
        <v>46682</v>
      </c>
      <c r="G38" s="5">
        <f>IF(DAY(OctDim1)=1,IF(AND(YEAR(OctDim1+20)=AnnéeCalendrier,MONTH(OctDim1+20)=10),OctDim1+20,""),IF(AND(YEAR(OctDim1+27)=AnnéeCalendrier,MONTH(OctDim1+27)=10),OctDim1+27,""))</f>
        <v>46683</v>
      </c>
      <c r="H38" s="7">
        <f>IF(DAY(OctDim1)=1,IF(AND(YEAR(OctDim1+21)=AnnéeCalendrier,MONTH(OctDim1+21)=10),OctDim1+21,""),IF(AND(YEAR(OctDim1+28)=AnnéeCalendrier,MONTH(OctDim1+28)=10),OctDim1+28,""))</f>
        <v>46684</v>
      </c>
      <c r="I38" s="4"/>
      <c r="J38" s="6">
        <f>IF(DAY(NovDim1)=1,IF(AND(YEAR(NovDim1+15)=AnnéeCalendrier,MONTH(NovDim1+15)=11),NovDim1+15,""),IF(AND(YEAR(NovDim1+22)=AnnéeCalendrier,MONTH(NovDim1+22)=11),NovDim1+22,""))</f>
        <v>46713</v>
      </c>
      <c r="K38" s="5">
        <f>IF(DAY(NovDim1)=1,IF(AND(YEAR(NovDim1+16)=AnnéeCalendrier,MONTH(NovDim1+16)=11),NovDim1+16,""),IF(AND(YEAR(NovDim1+23)=AnnéeCalendrier,MONTH(NovDim1+23)=11),NovDim1+23,""))</f>
        <v>46714</v>
      </c>
      <c r="L38" s="5">
        <f>IF(DAY(NovDim1)=1,IF(AND(YEAR(NovDim1+17)=AnnéeCalendrier,MONTH(NovDim1+17)=11),NovDim1+17,""),IF(AND(YEAR(NovDim1+24)=AnnéeCalendrier,MONTH(NovDim1+24)=11),NovDim1+24,""))</f>
        <v>46715</v>
      </c>
      <c r="M38" s="5">
        <f>IF(DAY(NovDim1)=1,IF(AND(YEAR(NovDim1+18)=AnnéeCalendrier,MONTH(NovDim1+18)=11),NovDim1+18,""),IF(AND(YEAR(NovDim1+25)=AnnéeCalendrier,MONTH(NovDim1+25)=11),NovDim1+25,""))</f>
        <v>46716</v>
      </c>
      <c r="N38" s="5">
        <f>IF(DAY(NovDim1)=1,IF(AND(YEAR(NovDim1+19)=AnnéeCalendrier,MONTH(NovDim1+19)=11),NovDim1+19,""),IF(AND(YEAR(NovDim1+26)=AnnéeCalendrier,MONTH(NovDim1+26)=11),NovDim1+26,""))</f>
        <v>46717</v>
      </c>
      <c r="O38" s="5">
        <f>IF(DAY(NovDim1)=1,IF(AND(YEAR(NovDim1+20)=AnnéeCalendrier,MONTH(NovDim1+20)=11),NovDim1+20,""),IF(AND(YEAR(NovDim1+27)=AnnéeCalendrier,MONTH(NovDim1+27)=11),NovDim1+27,""))</f>
        <v>46718</v>
      </c>
      <c r="P38" s="7">
        <f>IF(DAY(NovDim1)=1,IF(AND(YEAR(NovDim1+21)=AnnéeCalendrier,MONTH(NovDim1+21)=11),NovDim1+21,""),IF(AND(YEAR(NovDim1+28)=AnnéeCalendrier,MONTH(NovDim1+28)=11),NovDim1+28,""))</f>
        <v>46719</v>
      </c>
      <c r="R38" s="6">
        <f>IF(DAY(DécDim1)=1,IF(AND(YEAR(DécDim1+15)=AnnéeCalendrier,MONTH(DécDim1+15)=12),DécDim1+15,""),IF(AND(YEAR(DécDim1+22)=AnnéeCalendrier,MONTH(DécDim1+22)=12),DécDim1+22,""))</f>
        <v>46741</v>
      </c>
      <c r="S38" s="5">
        <f>IF(DAY(DécDim1)=1,IF(AND(YEAR(DécDim1+16)=AnnéeCalendrier,MONTH(DécDim1+16)=12),DécDim1+16,""),IF(AND(YEAR(DécDim1+23)=AnnéeCalendrier,MONTH(DécDim1+23)=12),DécDim1+23,""))</f>
        <v>46742</v>
      </c>
      <c r="T38" s="5">
        <f>IF(DAY(DécDim1)=1,IF(AND(YEAR(DécDim1+17)=AnnéeCalendrier,MONTH(DécDim1+17)=12),DécDim1+17,""),IF(AND(YEAR(DécDim1+24)=AnnéeCalendrier,MONTH(DécDim1+24)=12),DécDim1+24,""))</f>
        <v>46743</v>
      </c>
      <c r="U38" s="5">
        <f>IF(DAY(DécDim1)=1,IF(AND(YEAR(DécDim1+18)=AnnéeCalendrier,MONTH(DécDim1+18)=12),DécDim1+18,""),IF(AND(YEAR(DécDim1+25)=AnnéeCalendrier,MONTH(DécDim1+25)=12),DécDim1+25,""))</f>
        <v>46744</v>
      </c>
      <c r="V38" s="5">
        <f>IF(DAY(DécDim1)=1,IF(AND(YEAR(DécDim1+19)=AnnéeCalendrier,MONTH(DécDim1+19)=12),DécDim1+19,""),IF(AND(YEAR(DécDim1+26)=AnnéeCalendrier,MONTH(DécDim1+26)=12),DécDim1+26,""))</f>
        <v>46745</v>
      </c>
      <c r="W38" s="5">
        <f>IF(DAY(DécDim1)=1,IF(AND(YEAR(DécDim1+20)=AnnéeCalendrier,MONTH(DécDim1+20)=12),DécDim1+20,""),IF(AND(YEAR(DécDim1+27)=AnnéeCalendrier,MONTH(DécDim1+27)=12),DécDim1+27,""))</f>
        <v>46746</v>
      </c>
      <c r="X38" s="7">
        <f>IF(DAY(DécDim1)=1,IF(AND(YEAR(DécDim1+21)=AnnéeCalendrier,MONTH(DécDim1+21)=12),DécDim1+21,""),IF(AND(YEAR(DécDim1+28)=AnnéeCalendrier,MONTH(DécDim1+28)=12),DécDim1+28,""))</f>
        <v>46747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46685</v>
      </c>
      <c r="C39" s="5">
        <f>IF(DAY(OctDim1)=1,IF(AND(YEAR(OctDim1+23)=AnnéeCalendrier,MONTH(OctDim1+23)=10),OctDim1+23,""),IF(AND(YEAR(OctDim1+30)=AnnéeCalendrier,MONTH(OctDim1+30)=10),OctDim1+30,""))</f>
        <v>46686</v>
      </c>
      <c r="D39" s="5">
        <f>IF(DAY(OctDim1)=1,IF(AND(YEAR(OctDim1+24)=AnnéeCalendrier,MONTH(OctDim1+24)=10),OctDim1+24,""),IF(AND(YEAR(OctDim1+31)=AnnéeCalendrier,MONTH(OctDim1+31)=10),OctDim1+31,""))</f>
        <v>46687</v>
      </c>
      <c r="E39" s="5">
        <f>IF(DAY(OctDim1)=1,IF(AND(YEAR(OctDim1+25)=AnnéeCalendrier,MONTH(OctDim1+25)=10),OctDim1+25,""),IF(AND(YEAR(OctDim1+32)=AnnéeCalendrier,MONTH(OctDim1+32)=10),OctDim1+32,""))</f>
        <v>46688</v>
      </c>
      <c r="F39" s="5">
        <f>IF(DAY(OctDim1)=1,IF(AND(YEAR(OctDim1+26)=AnnéeCalendrier,MONTH(OctDim1+26)=10),OctDim1+26,""),IF(AND(YEAR(OctDim1+33)=AnnéeCalendrier,MONTH(OctDim1+33)=10),OctDim1+33,""))</f>
        <v>46689</v>
      </c>
      <c r="G39" s="5">
        <f>IF(DAY(OctDim1)=1,IF(AND(YEAR(OctDim1+27)=AnnéeCalendrier,MONTH(OctDim1+27)=10),OctDim1+27,""),IF(AND(YEAR(OctDim1+34)=AnnéeCalendrier,MONTH(OctDim1+34)=10),OctDim1+34,""))</f>
        <v>46690</v>
      </c>
      <c r="H39" s="7">
        <f>IF(DAY(OctDim1)=1,IF(AND(YEAR(OctDim1+28)=AnnéeCalendrier,MONTH(OctDim1+28)=10),OctDim1+28,""),IF(AND(YEAR(OctDim1+35)=AnnéeCalendrier,MONTH(OctDim1+35)=10),OctDim1+35,""))</f>
        <v>46691</v>
      </c>
      <c r="I39" s="4"/>
      <c r="J39" s="6">
        <f>IF(DAY(NovDim1)=1,IF(AND(YEAR(NovDim1+22)=AnnéeCalendrier,MONTH(NovDim1+22)=11),NovDim1+22,""),IF(AND(YEAR(NovDim1+29)=AnnéeCalendrier,MONTH(NovDim1+29)=11),NovDim1+29,""))</f>
        <v>46720</v>
      </c>
      <c r="K39" s="5">
        <f>IF(DAY(NovDim1)=1,IF(AND(YEAR(NovDim1+23)=AnnéeCalendrier,MONTH(NovDim1+23)=11),NovDim1+23,""),IF(AND(YEAR(NovDim1+30)=AnnéeCalendrier,MONTH(NovDim1+30)=11),NovDim1+30,""))</f>
        <v>46721</v>
      </c>
      <c r="L39" s="5" t="str">
        <f>IF(DAY(NovDim1)=1,IF(AND(YEAR(NovDim1+24)=AnnéeCalendrier,MONTH(NovDim1+24)=11),NovDim1+24,""),IF(AND(YEAR(NovDim1+31)=AnnéeCalendrier,MONTH(NovDim1+31)=11),NovDim1+31,""))</f>
        <v/>
      </c>
      <c r="M39" s="5" t="str">
        <f>IF(DAY(NovDim1)=1,IF(AND(YEAR(NovDim1+25)=AnnéeCalendrier,MONTH(NovDim1+25)=11),NovDim1+25,""),IF(AND(YEAR(NovDim1+32)=AnnéeCalendrier,MONTH(NovDim1+32)=11),NovDim1+32,""))</f>
        <v/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46748</v>
      </c>
      <c r="S39" s="5">
        <f>IF(DAY(DécDim1)=1,IF(AND(YEAR(DécDim1+23)=AnnéeCalendrier,MONTH(DécDim1+23)=12),DécDim1+23,""),IF(AND(YEAR(DécDim1+30)=AnnéeCalendrier,MONTH(DécDim1+30)=12),DécDim1+30,""))</f>
        <v>46749</v>
      </c>
      <c r="T39" s="5">
        <f>IF(DAY(DécDim1)=1,IF(AND(YEAR(DécDim1+24)=AnnéeCalendrier,MONTH(DécDim1+24)=12),DécDim1+24,""),IF(AND(YEAR(DécDim1+31)=AnnéeCalendrier,MONTH(DécDim1+31)=12),DécDim1+31,""))</f>
        <v>46750</v>
      </c>
      <c r="U39" s="5">
        <f>IF(DAY(DécDim1)=1,IF(AND(YEAR(DécDim1+25)=AnnéeCalendrier,MONTH(DécDim1+25)=12),DécDim1+25,""),IF(AND(YEAR(DécDim1+32)=AnnéeCalendrier,MONTH(DécDim1+32)=12),DécDim1+32,""))</f>
        <v>46751</v>
      </c>
      <c r="V39" s="5">
        <f>IF(DAY(DécDim1)=1,IF(AND(YEAR(DécDim1+26)=AnnéeCalendrier,MONTH(DécDim1+26)=12),DécDim1+26,""),IF(AND(YEAR(DécDim1+33)=AnnéeCalendrier,MONTH(DécDim1+33)=12),DécDim1+33,""))</f>
        <v>46752</v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502" priority="1">
      <formula>LEN(TRIM(B8))&gt;0</formula>
    </cfRule>
  </conditionalFormatting>
  <conditionalFormatting sqref="J8:P13">
    <cfRule type="notContainsBlanks" dxfId="501" priority="2">
      <formula>LEN(TRIM(J8))&gt;0</formula>
    </cfRule>
  </conditionalFormatting>
  <conditionalFormatting sqref="R8:X13">
    <cfRule type="notContainsBlanks" dxfId="500" priority="3">
      <formula>LEN(TRIM(R8))&gt;0</formula>
    </cfRule>
  </conditionalFormatting>
  <conditionalFormatting sqref="B17:H22">
    <cfRule type="notContainsBlanks" dxfId="499" priority="4">
      <formula>LEN(TRIM(B17))&gt;0</formula>
    </cfRule>
  </conditionalFormatting>
  <conditionalFormatting sqref="J17:P22">
    <cfRule type="notContainsBlanks" dxfId="498" priority="5">
      <formula>LEN(TRIM(J17))&gt;0</formula>
    </cfRule>
  </conditionalFormatting>
  <conditionalFormatting sqref="R17:X22">
    <cfRule type="notContainsBlanks" dxfId="497" priority="6">
      <formula>LEN(TRIM(R17))&gt;0</formula>
    </cfRule>
  </conditionalFormatting>
  <conditionalFormatting sqref="R35:X40">
    <cfRule type="notContainsBlanks" dxfId="496" priority="12">
      <formula>LEN(TRIM(R35))&gt;0</formula>
    </cfRule>
  </conditionalFormatting>
  <conditionalFormatting sqref="B26:H31">
    <cfRule type="notContainsBlanks" dxfId="495" priority="7">
      <formula>LEN(TRIM(B26))&gt;0</formula>
    </cfRule>
  </conditionalFormatting>
  <conditionalFormatting sqref="J26:P31">
    <cfRule type="notContainsBlanks" dxfId="494" priority="8">
      <formula>LEN(TRIM(J26))&gt;0</formula>
    </cfRule>
  </conditionalFormatting>
  <conditionalFormatting sqref="R26:X31">
    <cfRule type="notContainsBlanks" dxfId="493" priority="9">
      <formula>LEN(TRIM(R26))&gt;0</formula>
    </cfRule>
  </conditionalFormatting>
  <conditionalFormatting sqref="B35:H40">
    <cfRule type="notContainsBlanks" dxfId="492" priority="10">
      <formula>LEN(TRIM(B35))&gt;0</formula>
    </cfRule>
  </conditionalFormatting>
  <conditionalFormatting sqref="J35:P40">
    <cfRule type="notContainsBlanks" dxfId="491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A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A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wsTCalendar12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2028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>
        <f>IF(DAY(JanDim1)=1,"",IF(AND(YEAR(JanDim1+6)=AnnéeCalendrier,MONTH(JanDim1+6)=1),JanDim1+6,""))</f>
        <v>46753</v>
      </c>
      <c r="H8" s="5">
        <f>IF(DAY(JanDim1)=1,IF(AND(YEAR(JanDim1)=AnnéeCalendrier,MONTH(JanDim1)=1),JanDim1,""),IF(AND(YEAR(JanDim1+7)=AnnéeCalendrier,MONTH(JanDim1+7)=1),JanDim1+7,""))</f>
        <v>46754</v>
      </c>
      <c r="I8" s="4"/>
      <c r="J8" s="5" t="str">
        <f>IF(DAY(FévDim1)=1,"",IF(AND(YEAR(FévDim1+1)=AnnéeCalendrier,MONTH(FévDim1+1)=2),FévDim1+1,""))</f>
        <v/>
      </c>
      <c r="K8" s="5">
        <f>IF(DAY(FévDim1)=1,"",IF(AND(YEAR(FévDim1+2)=AnnéeCalendrier,MONTH(FévDim1+2)=2),FévDim1+2,""))</f>
        <v>46784</v>
      </c>
      <c r="L8" s="5">
        <f>IF(DAY(FévDim1)=1,"",IF(AND(YEAR(FévDim1+3)=AnnéeCalendrier,MONTH(FévDim1+3)=2),FévDim1+3,""))</f>
        <v>46785</v>
      </c>
      <c r="M8" s="5">
        <f>IF(DAY(FévDim1)=1,"",IF(AND(YEAR(FévDim1+4)=AnnéeCalendrier,MONTH(FévDim1+4)=2),FévDim1+4,""))</f>
        <v>46786</v>
      </c>
      <c r="N8" s="5">
        <f>IF(DAY(FévDim1)=1,"",IF(AND(YEAR(FévDim1+5)=AnnéeCalendrier,MONTH(FévDim1+5)=2),FévDim1+5,""))</f>
        <v>46787</v>
      </c>
      <c r="O8" s="5">
        <f>IF(DAY(FévDim1)=1,"",IF(AND(YEAR(FévDim1+6)=AnnéeCalendrier,MONTH(FévDim1+6)=2),FévDim1+6,""))</f>
        <v>46788</v>
      </c>
      <c r="P8" s="5">
        <f>IF(DAY(FévDim1)=1,IF(AND(YEAR(FévDim1)=AnnéeCalendrier,MONTH(FévDim1)=2),FévDim1,""),IF(AND(YEAR(FévDim1+7)=AnnéeCalendrier,MONTH(FévDim1+7)=2),FévDim1+7,""))</f>
        <v>46789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>
        <f>IF(DAY(MarDim1)=1,"",IF(AND(YEAR(MarDim1+3)=AnnéeCalendrier,MONTH(MarDim1+3)=3),MarDim1+3,""))</f>
        <v>46813</v>
      </c>
      <c r="U8" s="5">
        <f>IF(DAY(MarDim1)=1,"",IF(AND(YEAR(MarDim1+4)=AnnéeCalendrier,MONTH(MarDim1+4)=3),MarDim1+4,""))</f>
        <v>46814</v>
      </c>
      <c r="V8" s="5">
        <f>IF(DAY(MarDim1)=1,"",IF(AND(YEAR(MarDim1+5)=AnnéeCalendrier,MONTH(MarDim1+5)=3),MarDim1+5,""))</f>
        <v>46815</v>
      </c>
      <c r="W8" s="5">
        <f>IF(DAY(MarDim1)=1,"",IF(AND(YEAR(MarDim1+6)=AnnéeCalendrier,MONTH(MarDim1+6)=3),MarDim1+6,""))</f>
        <v>46816</v>
      </c>
      <c r="X8" s="5">
        <f>IF(DAY(MarDim1)=1,IF(AND(YEAR(MarDim1)=AnnéeCalendrier,MONTH(MarDim1)=3),MarDim1,""),IF(AND(YEAR(MarDim1+7)=AnnéeCalendrier,MONTH(MarDim1+7)=3),MarDim1+7,""))</f>
        <v>46817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46755</v>
      </c>
      <c r="C9" s="5">
        <f>IF(DAY(JanDim1)=1,IF(AND(YEAR(JanDim1+2)=AnnéeCalendrier,MONTH(JanDim1+2)=1),JanDim1+2,""),IF(AND(YEAR(JanDim1+9)=AnnéeCalendrier,MONTH(JanDim1+9)=1),JanDim1+9,""))</f>
        <v>46756</v>
      </c>
      <c r="D9" s="5">
        <f>IF(DAY(JanDim1)=1,IF(AND(YEAR(JanDim1+3)=AnnéeCalendrier,MONTH(JanDim1+3)=1),JanDim1+3,""),IF(AND(YEAR(JanDim1+10)=AnnéeCalendrier,MONTH(JanDim1+10)=1),JanDim1+10,""))</f>
        <v>46757</v>
      </c>
      <c r="E9" s="5">
        <f>IF(DAY(JanDim1)=1,IF(AND(YEAR(JanDim1+4)=AnnéeCalendrier,MONTH(JanDim1+4)=1),JanDim1+4,""),IF(AND(YEAR(JanDim1+11)=AnnéeCalendrier,MONTH(JanDim1+11)=1),JanDim1+11,""))</f>
        <v>46758</v>
      </c>
      <c r="F9" s="5">
        <f>IF(DAY(JanDim1)=1,IF(AND(YEAR(JanDim1+5)=AnnéeCalendrier,MONTH(JanDim1+5)=1),JanDim1+5,""),IF(AND(YEAR(JanDim1+12)=AnnéeCalendrier,MONTH(JanDim1+12)=1),JanDim1+12,""))</f>
        <v>46759</v>
      </c>
      <c r="G9" s="5">
        <f>IF(DAY(JanDim1)=1,IF(AND(YEAR(JanDim1+6)=AnnéeCalendrier,MONTH(JanDim1+6)=1),JanDim1+6,""),IF(AND(YEAR(JanDim1+13)=AnnéeCalendrier,MONTH(JanDim1+13)=1),JanDim1+13,""))</f>
        <v>46760</v>
      </c>
      <c r="H9" s="5">
        <f>IF(DAY(JanDim1)=1,IF(AND(YEAR(JanDim1+7)=AnnéeCalendrier,MONTH(JanDim1+7)=1),JanDim1+7,""),IF(AND(YEAR(JanDim1+14)=AnnéeCalendrier,MONTH(JanDim1+14)=1),JanDim1+14,""))</f>
        <v>46761</v>
      </c>
      <c r="I9" s="4"/>
      <c r="J9" s="5">
        <f>IF(DAY(FévDim1)=1,IF(AND(YEAR(FévDim1+1)=AnnéeCalendrier,MONTH(FévDim1+1)=2),FévDim1+1,""),IF(AND(YEAR(FévDim1+8)=AnnéeCalendrier,MONTH(FévDim1+8)=2),FévDim1+8,""))</f>
        <v>46790</v>
      </c>
      <c r="K9" s="5">
        <f>IF(DAY(FévDim1)=1,IF(AND(YEAR(FévDim1+2)=AnnéeCalendrier,MONTH(FévDim1+2)=2),FévDim1+2,""),IF(AND(YEAR(FévDim1+9)=AnnéeCalendrier,MONTH(FévDim1+9)=2),FévDim1+9,""))</f>
        <v>46791</v>
      </c>
      <c r="L9" s="5">
        <f>IF(DAY(FévDim1)=1,IF(AND(YEAR(FévDim1+3)=AnnéeCalendrier,MONTH(FévDim1+3)=2),FévDim1+3,""),IF(AND(YEAR(FévDim1+10)=AnnéeCalendrier,MONTH(FévDim1+10)=2),FévDim1+10,""))</f>
        <v>46792</v>
      </c>
      <c r="M9" s="5">
        <f>IF(DAY(FévDim1)=1,IF(AND(YEAR(FévDim1+4)=AnnéeCalendrier,MONTH(FévDim1+4)=2),FévDim1+4,""),IF(AND(YEAR(FévDim1+11)=AnnéeCalendrier,MONTH(FévDim1+11)=2),FévDim1+11,""))</f>
        <v>46793</v>
      </c>
      <c r="N9" s="5">
        <f>IF(DAY(FévDim1)=1,IF(AND(YEAR(FévDim1+5)=AnnéeCalendrier,MONTH(FévDim1+5)=2),FévDim1+5,""),IF(AND(YEAR(FévDim1+12)=AnnéeCalendrier,MONTH(FévDim1+12)=2),FévDim1+12,""))</f>
        <v>46794</v>
      </c>
      <c r="O9" s="5">
        <f>IF(DAY(FévDim1)=1,IF(AND(YEAR(FévDim1+6)=AnnéeCalendrier,MONTH(FévDim1+6)=2),FévDim1+6,""),IF(AND(YEAR(FévDim1+13)=AnnéeCalendrier,MONTH(FévDim1+13)=2),FévDim1+13,""))</f>
        <v>46795</v>
      </c>
      <c r="P9" s="5">
        <f>IF(DAY(FévDim1)=1,IF(AND(YEAR(FévDim1+7)=AnnéeCalendrier,MONTH(FévDim1+7)=2),FévDim1+7,""),IF(AND(YEAR(FévDim1+14)=AnnéeCalendrier,MONTH(FévDim1+14)=2),FévDim1+14,""))</f>
        <v>46796</v>
      </c>
      <c r="Q9" s="4"/>
      <c r="R9" s="5">
        <f>IF(DAY(MarDim1)=1,IF(AND(YEAR(MarDim1+1)=AnnéeCalendrier,MONTH(MarDim1+1)=3),MarDim1+1,""),IF(AND(YEAR(MarDim1+8)=AnnéeCalendrier,MONTH(MarDim1+8)=3),MarDim1+8,""))</f>
        <v>46818</v>
      </c>
      <c r="S9" s="5">
        <f>IF(DAY(MarDim1)=1,IF(AND(YEAR(MarDim1+2)=AnnéeCalendrier,MONTH(MarDim1+2)=3),MarDim1+2,""),IF(AND(YEAR(MarDim1+9)=AnnéeCalendrier,MONTH(MarDim1+9)=3),MarDim1+9,""))</f>
        <v>46819</v>
      </c>
      <c r="T9" s="5">
        <f>IF(DAY(MarDim1)=1,IF(AND(YEAR(MarDim1+3)=AnnéeCalendrier,MONTH(MarDim1+3)=3),MarDim1+3,""),IF(AND(YEAR(MarDim1+10)=AnnéeCalendrier,MONTH(MarDim1+10)=3),MarDim1+10,""))</f>
        <v>46820</v>
      </c>
      <c r="U9" s="5">
        <f>IF(DAY(MarDim1)=1,IF(AND(YEAR(MarDim1+4)=AnnéeCalendrier,MONTH(MarDim1+4)=3),MarDim1+4,""),IF(AND(YEAR(MarDim1+11)=AnnéeCalendrier,MONTH(MarDim1+11)=3),MarDim1+11,""))</f>
        <v>46821</v>
      </c>
      <c r="V9" s="5">
        <f>IF(DAY(MarDim1)=1,IF(AND(YEAR(MarDim1+5)=AnnéeCalendrier,MONTH(MarDim1+5)=3),MarDim1+5,""),IF(AND(YEAR(MarDim1+12)=AnnéeCalendrier,MONTH(MarDim1+12)=3),MarDim1+12,""))</f>
        <v>46822</v>
      </c>
      <c r="W9" s="5">
        <f>IF(DAY(MarDim1)=1,IF(AND(YEAR(MarDim1+6)=AnnéeCalendrier,MONTH(MarDim1+6)=3),MarDim1+6,""),IF(AND(YEAR(MarDim1+13)=AnnéeCalendrier,MONTH(MarDim1+13)=3),MarDim1+13,""))</f>
        <v>46823</v>
      </c>
      <c r="X9" s="5">
        <f>IF(DAY(MarDim1)=1,IF(AND(YEAR(MarDim1+7)=AnnéeCalendrier,MONTH(MarDim1+7)=3),MarDim1+7,""),IF(AND(YEAR(MarDim1+14)=AnnéeCalendrier,MONTH(MarDim1+14)=3),MarDim1+14,""))</f>
        <v>46824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46762</v>
      </c>
      <c r="C10" s="5">
        <f>IF(DAY(JanDim1)=1,IF(AND(YEAR(JanDim1+9)=AnnéeCalendrier,MONTH(JanDim1+9)=1),JanDim1+9,""),IF(AND(YEAR(JanDim1+16)=AnnéeCalendrier,MONTH(JanDim1+16)=1),JanDim1+16,""))</f>
        <v>46763</v>
      </c>
      <c r="D10" s="5">
        <f>IF(DAY(JanDim1)=1,IF(AND(YEAR(JanDim1+10)=AnnéeCalendrier,MONTH(JanDim1+10)=1),JanDim1+10,""),IF(AND(YEAR(JanDim1+17)=AnnéeCalendrier,MONTH(JanDim1+17)=1),JanDim1+17,""))</f>
        <v>46764</v>
      </c>
      <c r="E10" s="5">
        <f>IF(DAY(JanDim1)=1,IF(AND(YEAR(JanDim1+11)=AnnéeCalendrier,MONTH(JanDim1+11)=1),JanDim1+11,""),IF(AND(YEAR(JanDim1+18)=AnnéeCalendrier,MONTH(JanDim1+18)=1),JanDim1+18,""))</f>
        <v>46765</v>
      </c>
      <c r="F10" s="5">
        <f>IF(DAY(JanDim1)=1,IF(AND(YEAR(JanDim1+12)=AnnéeCalendrier,MONTH(JanDim1+12)=1),JanDim1+12,""),IF(AND(YEAR(JanDim1+19)=AnnéeCalendrier,MONTH(JanDim1+19)=1),JanDim1+19,""))</f>
        <v>46766</v>
      </c>
      <c r="G10" s="5">
        <f>IF(DAY(JanDim1)=1,IF(AND(YEAR(JanDim1+13)=AnnéeCalendrier,MONTH(JanDim1+13)=1),JanDim1+13,""),IF(AND(YEAR(JanDim1+20)=AnnéeCalendrier,MONTH(JanDim1+20)=1),JanDim1+20,""))</f>
        <v>46767</v>
      </c>
      <c r="H10" s="5">
        <f>IF(DAY(JanDim1)=1,IF(AND(YEAR(JanDim1+14)=AnnéeCalendrier,MONTH(JanDim1+14)=1),JanDim1+14,""),IF(AND(YEAR(JanDim1+21)=AnnéeCalendrier,MONTH(JanDim1+21)=1),JanDim1+21,""))</f>
        <v>46768</v>
      </c>
      <c r="I10" s="4"/>
      <c r="J10" s="5">
        <f>IF(DAY(FévDim1)=1,IF(AND(YEAR(FévDim1+8)=AnnéeCalendrier,MONTH(FévDim1+8)=2),FévDim1+8,""),IF(AND(YEAR(FévDim1+15)=AnnéeCalendrier,MONTH(FévDim1+15)=2),FévDim1+15,""))</f>
        <v>46797</v>
      </c>
      <c r="K10" s="5">
        <f>IF(DAY(FévDim1)=1,IF(AND(YEAR(FévDim1+9)=AnnéeCalendrier,MONTH(FévDim1+9)=2),FévDim1+9,""),IF(AND(YEAR(FévDim1+16)=AnnéeCalendrier,MONTH(FévDim1+16)=2),FévDim1+16,""))</f>
        <v>46798</v>
      </c>
      <c r="L10" s="5">
        <f>IF(DAY(FévDim1)=1,IF(AND(YEAR(FévDim1+10)=AnnéeCalendrier,MONTH(FévDim1+10)=2),FévDim1+10,""),IF(AND(YEAR(FévDim1+17)=AnnéeCalendrier,MONTH(FévDim1+17)=2),FévDim1+17,""))</f>
        <v>46799</v>
      </c>
      <c r="M10" s="5">
        <f>IF(DAY(FévDim1)=1,IF(AND(YEAR(FévDim1+11)=AnnéeCalendrier,MONTH(FévDim1+11)=2),FévDim1+11,""),IF(AND(YEAR(FévDim1+18)=AnnéeCalendrier,MONTH(FévDim1+18)=2),FévDim1+18,""))</f>
        <v>46800</v>
      </c>
      <c r="N10" s="5">
        <f>IF(DAY(FévDim1)=1,IF(AND(YEAR(FévDim1+12)=AnnéeCalendrier,MONTH(FévDim1+12)=2),FévDim1+12,""),IF(AND(YEAR(FévDim1+19)=AnnéeCalendrier,MONTH(FévDim1+19)=2),FévDim1+19,""))</f>
        <v>46801</v>
      </c>
      <c r="O10" s="5">
        <f>IF(DAY(FévDim1)=1,IF(AND(YEAR(FévDim1+13)=AnnéeCalendrier,MONTH(FévDim1+13)=2),FévDim1+13,""),IF(AND(YEAR(FévDim1+20)=AnnéeCalendrier,MONTH(FévDim1+20)=2),FévDim1+20,""))</f>
        <v>46802</v>
      </c>
      <c r="P10" s="5">
        <f>IF(DAY(FévDim1)=1,IF(AND(YEAR(FévDim1+14)=AnnéeCalendrier,MONTH(FévDim1+14)=2),FévDim1+14,""),IF(AND(YEAR(FévDim1+21)=AnnéeCalendrier,MONTH(FévDim1+21)=2),FévDim1+21,""))</f>
        <v>46803</v>
      </c>
      <c r="Q10" s="4"/>
      <c r="R10" s="5">
        <f>IF(DAY(MarDim1)=1,IF(AND(YEAR(MarDim1+8)=AnnéeCalendrier,MONTH(MarDim1+8)=3),MarDim1+8,""),IF(AND(YEAR(MarDim1+15)=AnnéeCalendrier,MONTH(MarDim1+15)=3),MarDim1+15,""))</f>
        <v>46825</v>
      </c>
      <c r="S10" s="5">
        <f>IF(DAY(MarDim1)=1,IF(AND(YEAR(MarDim1+9)=AnnéeCalendrier,MONTH(MarDim1+9)=3),MarDim1+9,""),IF(AND(YEAR(MarDim1+16)=AnnéeCalendrier,MONTH(MarDim1+16)=3),MarDim1+16,""))</f>
        <v>46826</v>
      </c>
      <c r="T10" s="5">
        <f>IF(DAY(MarDim1)=1,IF(AND(YEAR(MarDim1+10)=AnnéeCalendrier,MONTH(MarDim1+10)=3),MarDim1+10,""),IF(AND(YEAR(MarDim1+17)=AnnéeCalendrier,MONTH(MarDim1+17)=3),MarDim1+17,""))</f>
        <v>46827</v>
      </c>
      <c r="U10" s="5">
        <f>IF(DAY(MarDim1)=1,IF(AND(YEAR(MarDim1+11)=AnnéeCalendrier,MONTH(MarDim1+11)=3),MarDim1+11,""),IF(AND(YEAR(MarDim1+18)=AnnéeCalendrier,MONTH(MarDim1+18)=3),MarDim1+18,""))</f>
        <v>46828</v>
      </c>
      <c r="V10" s="5">
        <f>IF(DAY(MarDim1)=1,IF(AND(YEAR(MarDim1+12)=AnnéeCalendrier,MONTH(MarDim1+12)=3),MarDim1+12,""),IF(AND(YEAR(MarDim1+19)=AnnéeCalendrier,MONTH(MarDim1+19)=3),MarDim1+19,""))</f>
        <v>46829</v>
      </c>
      <c r="W10" s="5">
        <f>IF(DAY(MarDim1)=1,IF(AND(YEAR(MarDim1+13)=AnnéeCalendrier,MONTH(MarDim1+13)=3),MarDim1+13,""),IF(AND(YEAR(MarDim1+20)=AnnéeCalendrier,MONTH(MarDim1+20)=3),MarDim1+20,""))</f>
        <v>46830</v>
      </c>
      <c r="X10" s="5">
        <f>IF(DAY(MarDim1)=1,IF(AND(YEAR(MarDim1+14)=AnnéeCalendrier,MONTH(MarDim1+14)=3),MarDim1+14,""),IF(AND(YEAR(MarDim1+21)=AnnéeCalendrier,MONTH(MarDim1+21)=3),MarDim1+21,""))</f>
        <v>46831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46769</v>
      </c>
      <c r="C11" s="5">
        <f>IF(DAY(JanDim1)=1,IF(AND(YEAR(JanDim1+16)=AnnéeCalendrier,MONTH(JanDim1+16)=1),JanDim1+16,""),IF(AND(YEAR(JanDim1+23)=AnnéeCalendrier,MONTH(JanDim1+23)=1),JanDim1+23,""))</f>
        <v>46770</v>
      </c>
      <c r="D11" s="5">
        <f>IF(DAY(JanDim1)=1,IF(AND(YEAR(JanDim1+17)=AnnéeCalendrier,MONTH(JanDim1+17)=1),JanDim1+17,""),IF(AND(YEAR(JanDim1+24)=AnnéeCalendrier,MONTH(JanDim1+24)=1),JanDim1+24,""))</f>
        <v>46771</v>
      </c>
      <c r="E11" s="5">
        <f>IF(DAY(JanDim1)=1,IF(AND(YEAR(JanDim1+18)=AnnéeCalendrier,MONTH(JanDim1+18)=1),JanDim1+18,""),IF(AND(YEAR(JanDim1+25)=AnnéeCalendrier,MONTH(JanDim1+25)=1),JanDim1+25,""))</f>
        <v>46772</v>
      </c>
      <c r="F11" s="5">
        <f>IF(DAY(JanDim1)=1,IF(AND(YEAR(JanDim1+19)=AnnéeCalendrier,MONTH(JanDim1+19)=1),JanDim1+19,""),IF(AND(YEAR(JanDim1+26)=AnnéeCalendrier,MONTH(JanDim1+26)=1),JanDim1+26,""))</f>
        <v>46773</v>
      </c>
      <c r="G11" s="5">
        <f>IF(DAY(JanDim1)=1,IF(AND(YEAR(JanDim1+20)=AnnéeCalendrier,MONTH(JanDim1+20)=1),JanDim1+20,""),IF(AND(YEAR(JanDim1+27)=AnnéeCalendrier,MONTH(JanDim1+27)=1),JanDim1+27,""))</f>
        <v>46774</v>
      </c>
      <c r="H11" s="5">
        <f>IF(DAY(JanDim1)=1,IF(AND(YEAR(JanDim1+21)=AnnéeCalendrier,MONTH(JanDim1+21)=1),JanDim1+21,""),IF(AND(YEAR(JanDim1+28)=AnnéeCalendrier,MONTH(JanDim1+28)=1),JanDim1+28,""))</f>
        <v>46775</v>
      </c>
      <c r="I11" s="4"/>
      <c r="J11" s="5">
        <f>IF(DAY(FévDim1)=1,IF(AND(YEAR(FévDim1+15)=AnnéeCalendrier,MONTH(FévDim1+15)=2),FévDim1+15,""),IF(AND(YEAR(FévDim1+22)=AnnéeCalendrier,MONTH(FévDim1+22)=2),FévDim1+22,""))</f>
        <v>46804</v>
      </c>
      <c r="K11" s="5">
        <f>IF(DAY(FévDim1)=1,IF(AND(YEAR(FévDim1+16)=AnnéeCalendrier,MONTH(FévDim1+16)=2),FévDim1+16,""),IF(AND(YEAR(FévDim1+23)=AnnéeCalendrier,MONTH(FévDim1+23)=2),FévDim1+23,""))</f>
        <v>46805</v>
      </c>
      <c r="L11" s="5">
        <f>IF(DAY(FévDim1)=1,IF(AND(YEAR(FévDim1+17)=AnnéeCalendrier,MONTH(FévDim1+17)=2),FévDim1+17,""),IF(AND(YEAR(FévDim1+24)=AnnéeCalendrier,MONTH(FévDim1+24)=2),FévDim1+24,""))</f>
        <v>46806</v>
      </c>
      <c r="M11" s="5">
        <f>IF(DAY(FévDim1)=1,IF(AND(YEAR(FévDim1+18)=AnnéeCalendrier,MONTH(FévDim1+18)=2),FévDim1+18,""),IF(AND(YEAR(FévDim1+25)=AnnéeCalendrier,MONTH(FévDim1+25)=2),FévDim1+25,""))</f>
        <v>46807</v>
      </c>
      <c r="N11" s="5">
        <f>IF(DAY(FévDim1)=1,IF(AND(YEAR(FévDim1+19)=AnnéeCalendrier,MONTH(FévDim1+19)=2),FévDim1+19,""),IF(AND(YEAR(FévDim1+26)=AnnéeCalendrier,MONTH(FévDim1+26)=2),FévDim1+26,""))</f>
        <v>46808</v>
      </c>
      <c r="O11" s="5">
        <f>IF(DAY(FévDim1)=1,IF(AND(YEAR(FévDim1+20)=AnnéeCalendrier,MONTH(FévDim1+20)=2),FévDim1+20,""),IF(AND(YEAR(FévDim1+27)=AnnéeCalendrier,MONTH(FévDim1+27)=2),FévDim1+27,""))</f>
        <v>46809</v>
      </c>
      <c r="P11" s="5">
        <f>IF(DAY(FévDim1)=1,IF(AND(YEAR(FévDim1+21)=AnnéeCalendrier,MONTH(FévDim1+21)=2),FévDim1+21,""),IF(AND(YEAR(FévDim1+28)=AnnéeCalendrier,MONTH(FévDim1+28)=2),FévDim1+28,""))</f>
        <v>46810</v>
      </c>
      <c r="Q11" s="4"/>
      <c r="R11" s="5">
        <f>IF(DAY(MarDim1)=1,IF(AND(YEAR(MarDim1+15)=AnnéeCalendrier,MONTH(MarDim1+15)=3),MarDim1+15,""),IF(AND(YEAR(MarDim1+22)=AnnéeCalendrier,MONTH(MarDim1+22)=3),MarDim1+22,""))</f>
        <v>46832</v>
      </c>
      <c r="S11" s="5">
        <f>IF(DAY(MarDim1)=1,IF(AND(YEAR(MarDim1+16)=AnnéeCalendrier,MONTH(MarDim1+16)=3),MarDim1+16,""),IF(AND(YEAR(MarDim1+23)=AnnéeCalendrier,MONTH(MarDim1+23)=3),MarDim1+23,""))</f>
        <v>46833</v>
      </c>
      <c r="T11" s="5">
        <f>IF(DAY(MarDim1)=1,IF(AND(YEAR(MarDim1+17)=AnnéeCalendrier,MONTH(MarDim1+17)=3),MarDim1+17,""),IF(AND(YEAR(MarDim1+24)=AnnéeCalendrier,MONTH(MarDim1+24)=3),MarDim1+24,""))</f>
        <v>46834</v>
      </c>
      <c r="U11" s="5">
        <f>IF(DAY(MarDim1)=1,IF(AND(YEAR(MarDim1+18)=AnnéeCalendrier,MONTH(MarDim1+18)=3),MarDim1+18,""),IF(AND(YEAR(MarDim1+25)=AnnéeCalendrier,MONTH(MarDim1+25)=3),MarDim1+25,""))</f>
        <v>46835</v>
      </c>
      <c r="V11" s="5">
        <f>IF(DAY(MarDim1)=1,IF(AND(YEAR(MarDim1+19)=AnnéeCalendrier,MONTH(MarDim1+19)=3),MarDim1+19,""),IF(AND(YEAR(MarDim1+26)=AnnéeCalendrier,MONTH(MarDim1+26)=3),MarDim1+26,""))</f>
        <v>46836</v>
      </c>
      <c r="W11" s="5">
        <f>IF(DAY(MarDim1)=1,IF(AND(YEAR(MarDim1+20)=AnnéeCalendrier,MONTH(MarDim1+20)=3),MarDim1+20,""),IF(AND(YEAR(MarDim1+27)=AnnéeCalendrier,MONTH(MarDim1+27)=3),MarDim1+27,""))</f>
        <v>46837</v>
      </c>
      <c r="X11" s="5">
        <f>IF(DAY(MarDim1)=1,IF(AND(YEAR(MarDim1+21)=AnnéeCalendrier,MONTH(MarDim1+21)=3),MarDim1+21,""),IF(AND(YEAR(MarDim1+28)=AnnéeCalendrier,MONTH(MarDim1+28)=3),MarDim1+28,""))</f>
        <v>46838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46776</v>
      </c>
      <c r="C12" s="5">
        <f>IF(DAY(JanDim1)=1,IF(AND(YEAR(JanDim1+23)=AnnéeCalendrier,MONTH(JanDim1+23)=1),JanDim1+23,""),IF(AND(YEAR(JanDim1+30)=AnnéeCalendrier,MONTH(JanDim1+30)=1),JanDim1+30,""))</f>
        <v>46777</v>
      </c>
      <c r="D12" s="5">
        <f>IF(DAY(JanDim1)=1,IF(AND(YEAR(JanDim1+24)=AnnéeCalendrier,MONTH(JanDim1+24)=1),JanDim1+24,""),IF(AND(YEAR(JanDim1+31)=AnnéeCalendrier,MONTH(JanDim1+31)=1),JanDim1+31,""))</f>
        <v>46778</v>
      </c>
      <c r="E12" s="5">
        <f>IF(DAY(JanDim1)=1,IF(AND(YEAR(JanDim1+25)=AnnéeCalendrier,MONTH(JanDim1+25)=1),JanDim1+25,""),IF(AND(YEAR(JanDim1+32)=AnnéeCalendrier,MONTH(JanDim1+32)=1),JanDim1+32,""))</f>
        <v>46779</v>
      </c>
      <c r="F12" s="5">
        <f>IF(DAY(JanDim1)=1,IF(AND(YEAR(JanDim1+26)=AnnéeCalendrier,MONTH(JanDim1+26)=1),JanDim1+26,""),IF(AND(YEAR(JanDim1+33)=AnnéeCalendrier,MONTH(JanDim1+33)=1),JanDim1+33,""))</f>
        <v>46780</v>
      </c>
      <c r="G12" s="5">
        <f>IF(DAY(JanDim1)=1,IF(AND(YEAR(JanDim1+27)=AnnéeCalendrier,MONTH(JanDim1+27)=1),JanDim1+27,""),IF(AND(YEAR(JanDim1+34)=AnnéeCalendrier,MONTH(JanDim1+34)=1),JanDim1+34,""))</f>
        <v>46781</v>
      </c>
      <c r="H12" s="5">
        <f>IF(DAY(JanDim1)=1,IF(AND(YEAR(JanDim1+28)=AnnéeCalendrier,MONTH(JanDim1+28)=1),JanDim1+28,""),IF(AND(YEAR(JanDim1+35)=AnnéeCalendrier,MONTH(JanDim1+35)=1),JanDim1+35,""))</f>
        <v>46782</v>
      </c>
      <c r="I12" s="4"/>
      <c r="J12" s="5">
        <f>IF(DAY(FévDim1)=1,IF(AND(YEAR(FévDim1+22)=AnnéeCalendrier,MONTH(FévDim1+22)=2),FévDim1+22,""),IF(AND(YEAR(FévDim1+29)=AnnéeCalendrier,MONTH(FévDim1+29)=2),FévDim1+29,""))</f>
        <v>46811</v>
      </c>
      <c r="K12" s="5">
        <f>IF(DAY(FévDim1)=1,IF(AND(YEAR(FévDim1+23)=AnnéeCalendrier,MONTH(FévDim1+23)=2),FévDim1+23,""),IF(AND(YEAR(FévDim1+30)=AnnéeCalendrier,MONTH(FévDim1+30)=2),FévDim1+30,""))</f>
        <v>46812</v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46839</v>
      </c>
      <c r="S12" s="5">
        <f>IF(DAY(MarDim1)=1,IF(AND(YEAR(MarDim1+23)=AnnéeCalendrier,MONTH(MarDim1+23)=3),MarDim1+23,""),IF(AND(YEAR(MarDim1+30)=AnnéeCalendrier,MONTH(MarDim1+30)=3),MarDim1+30,""))</f>
        <v>46840</v>
      </c>
      <c r="T12" s="5">
        <f>IF(DAY(MarDim1)=1,IF(AND(YEAR(MarDim1+24)=AnnéeCalendrier,MONTH(MarDim1+24)=3),MarDim1+24,""),IF(AND(YEAR(MarDim1+31)=AnnéeCalendrier,MONTH(MarDim1+31)=3),MarDim1+31,""))</f>
        <v>46841</v>
      </c>
      <c r="U12" s="5">
        <f>IF(DAY(MarDim1)=1,IF(AND(YEAR(MarDim1+25)=AnnéeCalendrier,MONTH(MarDim1+25)=3),MarDim1+25,""),IF(AND(YEAR(MarDim1+32)=AnnéeCalendrier,MONTH(MarDim1+32)=3),MarDim1+32,""))</f>
        <v>46842</v>
      </c>
      <c r="V12" s="5">
        <f>IF(DAY(MarDim1)=1,IF(AND(YEAR(MarDim1+26)=AnnéeCalendrier,MONTH(MarDim1+26)=3),MarDim1+26,""),IF(AND(YEAR(MarDim1+33)=AnnéeCalendrier,MONTH(MarDim1+33)=3),MarDim1+33,""))</f>
        <v>46843</v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46783</v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>
        <f>IF(DAY(AvrDim1)=1,"",IF(AND(YEAR(AvrDim1+6)=AnnéeCalendrier,MONTH(AvrDim1+6)=4),AvrDim1+6,""))</f>
        <v>46844</v>
      </c>
      <c r="H17" s="7">
        <f>IF(DAY(AvrDim1)=1,IF(AND(YEAR(AvrDim1)=AnnéeCalendrier,MONTH(AvrDim1)=4),AvrDim1,""),IF(AND(YEAR(AvrDim1+7)=AnnéeCalendrier,MONTH(AvrDim1+7)=4),AvrDim1+7,""))</f>
        <v>46845</v>
      </c>
      <c r="I17" s="4"/>
      <c r="J17" s="6">
        <f>IF(DAY(MaiDim1)=1,"",IF(AND(YEAR(MaiDim1+1)=AnnéeCalendrier,MONTH(MaiDim1+1)=5),MaiDim1+1,""))</f>
        <v>46874</v>
      </c>
      <c r="K17" s="5">
        <f>IF(DAY(MaiDim1)=1,"",IF(AND(YEAR(MaiDim1+2)=AnnéeCalendrier,MONTH(MaiDim1+2)=5),MaiDim1+2,""))</f>
        <v>46875</v>
      </c>
      <c r="L17" s="5">
        <f>IF(DAY(MaiDim1)=1,"",IF(AND(YEAR(MaiDim1+3)=AnnéeCalendrier,MONTH(MaiDim1+3)=5),MaiDim1+3,""))</f>
        <v>46876</v>
      </c>
      <c r="M17" s="5">
        <f>IF(DAY(MaiDim1)=1,"",IF(AND(YEAR(MaiDim1+4)=AnnéeCalendrier,MONTH(MaiDim1+4)=5),MaiDim1+4,""))</f>
        <v>46877</v>
      </c>
      <c r="N17" s="5">
        <f>IF(DAY(MaiDim1)=1,"",IF(AND(YEAR(MaiDim1+5)=AnnéeCalendrier,MONTH(MaiDim1+5)=5),MaiDim1+5,""))</f>
        <v>46878</v>
      </c>
      <c r="O17" s="5">
        <f>IF(DAY(MaiDim1)=1,"",IF(AND(YEAR(MaiDim1+6)=AnnéeCalendrier,MONTH(MaiDim1+6)=5),MaiDim1+6,""))</f>
        <v>46879</v>
      </c>
      <c r="P17" s="7">
        <f>IF(DAY(MaiDim1)=1,IF(AND(YEAR(MaiDim1)=AnnéeCalendrier,MONTH(MaiDim1)=5),MaiDim1,""),IF(AND(YEAR(MaiDim1+7)=AnnéeCalendrier,MONTH(MaiDim1+7)=5),MaiDim1+7,""))</f>
        <v>46880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>
        <f>IF(DAY(JunDim1)=1,"",IF(AND(YEAR(JunDim1+4)=AnnéeCalendrier,MONTH(JunDim1+4)=6),JunDim1+4,""))</f>
        <v>46905</v>
      </c>
      <c r="V17" s="5">
        <f>IF(DAY(JunDim1)=1,"",IF(AND(YEAR(JunDim1+5)=AnnéeCalendrier,MONTH(JunDim1+5)=6),JunDim1+5,""))</f>
        <v>46906</v>
      </c>
      <c r="W17" s="5">
        <f>IF(DAY(JunDim1)=1,"",IF(AND(YEAR(JunDim1+6)=AnnéeCalendrier,MONTH(JunDim1+6)=6),JunDim1+6,""))</f>
        <v>46907</v>
      </c>
      <c r="X17" s="7">
        <f>IF(DAY(JunDim1)=1,IF(AND(YEAR(JunDim1)=AnnéeCalendrier,MONTH(JunDim1)=6),JunDim1,""),IF(AND(YEAR(JunDim1+7)=AnnéeCalendrier,MONTH(JunDim1+7)=6),JunDim1+7,""))</f>
        <v>46908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46846</v>
      </c>
      <c r="C18" s="5">
        <f>IF(DAY(AvrDim1)=1,IF(AND(YEAR(AvrDim1+2)=AnnéeCalendrier,MONTH(AvrDim1+2)=4),AvrDim1+2,""),IF(AND(YEAR(AvrDim1+9)=AnnéeCalendrier,MONTH(AvrDim1+9)=4),AvrDim1+9,""))</f>
        <v>46847</v>
      </c>
      <c r="D18" s="5">
        <f>IF(DAY(AvrDim1)=1,IF(AND(YEAR(AvrDim1+3)=AnnéeCalendrier,MONTH(AvrDim1+3)=4),AvrDim1+3,""),IF(AND(YEAR(AvrDim1+10)=AnnéeCalendrier,MONTH(AvrDim1+10)=4),AvrDim1+10,""))</f>
        <v>46848</v>
      </c>
      <c r="E18" s="5">
        <f>IF(DAY(AvrDim1)=1,IF(AND(YEAR(AvrDim1+4)=AnnéeCalendrier,MONTH(AvrDim1+4)=4),AvrDim1+4,""),IF(AND(YEAR(AvrDim1+11)=AnnéeCalendrier,MONTH(AvrDim1+11)=4),AvrDim1+11,""))</f>
        <v>46849</v>
      </c>
      <c r="F18" s="5">
        <f>IF(DAY(AvrDim1)=1,IF(AND(YEAR(AvrDim1+5)=AnnéeCalendrier,MONTH(AvrDim1+5)=4),AvrDim1+5,""),IF(AND(YEAR(AvrDim1+12)=AnnéeCalendrier,MONTH(AvrDim1+12)=4),AvrDim1+12,""))</f>
        <v>46850</v>
      </c>
      <c r="G18" s="5">
        <f>IF(DAY(AvrDim1)=1,IF(AND(YEAR(AvrDim1+6)=AnnéeCalendrier,MONTH(AvrDim1+6)=4),AvrDim1+6,""),IF(AND(YEAR(AvrDim1+13)=AnnéeCalendrier,MONTH(AvrDim1+13)=4),AvrDim1+13,""))</f>
        <v>46851</v>
      </c>
      <c r="H18" s="7">
        <f>IF(DAY(AvrDim1)=1,IF(AND(YEAR(AvrDim1+7)=AnnéeCalendrier,MONTH(AvrDim1+7)=4),AvrDim1+7,""),IF(AND(YEAR(AvrDim1+14)=AnnéeCalendrier,MONTH(AvrDim1+14)=4),AvrDim1+14,""))</f>
        <v>46852</v>
      </c>
      <c r="I18" s="4"/>
      <c r="J18" s="6">
        <f>IF(DAY(MaiDim1)=1,IF(AND(YEAR(MaiDim1+1)=AnnéeCalendrier,MONTH(MaiDim1+1)=5),MaiDim1+1,""),IF(AND(YEAR(MaiDim1+8)=AnnéeCalendrier,MONTH(MaiDim1+8)=5),MaiDim1+8,""))</f>
        <v>46881</v>
      </c>
      <c r="K18" s="5">
        <f>IF(DAY(MaiDim1)=1,IF(AND(YEAR(MaiDim1+2)=AnnéeCalendrier,MONTH(MaiDim1+2)=5),MaiDim1+2,""),IF(AND(YEAR(MaiDim1+9)=AnnéeCalendrier,MONTH(MaiDim1+9)=5),MaiDim1+9,""))</f>
        <v>46882</v>
      </c>
      <c r="L18" s="5">
        <f>IF(DAY(MaiDim1)=1,IF(AND(YEAR(MaiDim1+3)=AnnéeCalendrier,MONTH(MaiDim1+3)=5),MaiDim1+3,""),IF(AND(YEAR(MaiDim1+10)=AnnéeCalendrier,MONTH(MaiDim1+10)=5),MaiDim1+10,""))</f>
        <v>46883</v>
      </c>
      <c r="M18" s="5">
        <f>IF(DAY(MaiDim1)=1,IF(AND(YEAR(MaiDim1+4)=AnnéeCalendrier,MONTH(MaiDim1+4)=5),MaiDim1+4,""),IF(AND(YEAR(MaiDim1+11)=AnnéeCalendrier,MONTH(MaiDim1+11)=5),MaiDim1+11,""))</f>
        <v>46884</v>
      </c>
      <c r="N18" s="5">
        <f>IF(DAY(MaiDim1)=1,IF(AND(YEAR(MaiDim1+5)=AnnéeCalendrier,MONTH(MaiDim1+5)=5),MaiDim1+5,""),IF(AND(YEAR(MaiDim1+12)=AnnéeCalendrier,MONTH(MaiDim1+12)=5),MaiDim1+12,""))</f>
        <v>46885</v>
      </c>
      <c r="O18" s="5">
        <f>IF(DAY(MaiDim1)=1,IF(AND(YEAR(MaiDim1+6)=AnnéeCalendrier,MONTH(MaiDim1+6)=5),MaiDim1+6,""),IF(AND(YEAR(MaiDim1+13)=AnnéeCalendrier,MONTH(MaiDim1+13)=5),MaiDim1+13,""))</f>
        <v>46886</v>
      </c>
      <c r="P18" s="7">
        <f>IF(DAY(MaiDim1)=1,IF(AND(YEAR(MaiDim1+7)=AnnéeCalendrier,MONTH(MaiDim1+7)=5),MaiDim1+7,""),IF(AND(YEAR(MaiDim1+14)=AnnéeCalendrier,MONTH(MaiDim1+14)=5),MaiDim1+14,""))</f>
        <v>46887</v>
      </c>
      <c r="Q18" s="4"/>
      <c r="R18" s="6">
        <f>IF(DAY(JunDim1)=1,IF(AND(YEAR(JunDim1+1)=AnnéeCalendrier,MONTH(JunDim1+1)=6),JunDim1+1,""),IF(AND(YEAR(JunDim1+8)=AnnéeCalendrier,MONTH(JunDim1+8)=6),JunDim1+8,""))</f>
        <v>46909</v>
      </c>
      <c r="S18" s="5">
        <f>IF(DAY(JunDim1)=1,IF(AND(YEAR(JunDim1+2)=AnnéeCalendrier,MONTH(JunDim1+2)=6),JunDim1+2,""),IF(AND(YEAR(JunDim1+9)=AnnéeCalendrier,MONTH(JunDim1+9)=6),JunDim1+9,""))</f>
        <v>46910</v>
      </c>
      <c r="T18" s="5">
        <f>IF(DAY(JunDim1)=1,IF(AND(YEAR(JunDim1+3)=AnnéeCalendrier,MONTH(JunDim1+3)=6),JunDim1+3,""),IF(AND(YEAR(JunDim1+10)=AnnéeCalendrier,MONTH(JunDim1+10)=6),JunDim1+10,""))</f>
        <v>46911</v>
      </c>
      <c r="U18" s="5">
        <f>IF(DAY(JunDim1)=1,IF(AND(YEAR(JunDim1+4)=AnnéeCalendrier,MONTH(JunDim1+4)=6),JunDim1+4,""),IF(AND(YEAR(JunDim1+11)=AnnéeCalendrier,MONTH(JunDim1+11)=6),JunDim1+11,""))</f>
        <v>46912</v>
      </c>
      <c r="V18" s="5">
        <f>IF(DAY(JunDim1)=1,IF(AND(YEAR(JunDim1+5)=AnnéeCalendrier,MONTH(JunDim1+5)=6),JunDim1+5,""),IF(AND(YEAR(JunDim1+12)=AnnéeCalendrier,MONTH(JunDim1+12)=6),JunDim1+12,""))</f>
        <v>46913</v>
      </c>
      <c r="W18" s="5">
        <f>IF(DAY(JunDim1)=1,IF(AND(YEAR(JunDim1+6)=AnnéeCalendrier,MONTH(JunDim1+6)=6),JunDim1+6,""),IF(AND(YEAR(JunDim1+13)=AnnéeCalendrier,MONTH(JunDim1+13)=6),JunDim1+13,""))</f>
        <v>46914</v>
      </c>
      <c r="X18" s="7">
        <f>IF(DAY(JunDim1)=1,IF(AND(YEAR(JunDim1+7)=AnnéeCalendrier,MONTH(JunDim1+7)=6),JunDim1+7,""),IF(AND(YEAR(JunDim1+14)=AnnéeCalendrier,MONTH(JunDim1+14)=6),JunDim1+14,""))</f>
        <v>46915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46853</v>
      </c>
      <c r="C19" s="5">
        <f>IF(DAY(AvrDim1)=1,IF(AND(YEAR(AvrDim1+9)=AnnéeCalendrier,MONTH(AvrDim1+9)=4),AvrDim1+9,""),IF(AND(YEAR(AvrDim1+16)=AnnéeCalendrier,MONTH(AvrDim1+16)=4),AvrDim1+16,""))</f>
        <v>46854</v>
      </c>
      <c r="D19" s="5">
        <f>IF(DAY(AvrDim1)=1,IF(AND(YEAR(AvrDim1+10)=AnnéeCalendrier,MONTH(AvrDim1+10)=4),AvrDim1+10,""),IF(AND(YEAR(AvrDim1+17)=AnnéeCalendrier,MONTH(AvrDim1+17)=4),AvrDim1+17,""))</f>
        <v>46855</v>
      </c>
      <c r="E19" s="5">
        <f>IF(DAY(AvrDim1)=1,IF(AND(YEAR(AvrDim1+11)=AnnéeCalendrier,MONTH(AvrDim1+11)=4),AvrDim1+11,""),IF(AND(YEAR(AvrDim1+18)=AnnéeCalendrier,MONTH(AvrDim1+18)=4),AvrDim1+18,""))</f>
        <v>46856</v>
      </c>
      <c r="F19" s="5">
        <f>IF(DAY(AvrDim1)=1,IF(AND(YEAR(AvrDim1+12)=AnnéeCalendrier,MONTH(AvrDim1+12)=4),AvrDim1+12,""),IF(AND(YEAR(AvrDim1+19)=AnnéeCalendrier,MONTH(AvrDim1+19)=4),AvrDim1+19,""))</f>
        <v>46857</v>
      </c>
      <c r="G19" s="5">
        <f>IF(DAY(AvrDim1)=1,IF(AND(YEAR(AvrDim1+13)=AnnéeCalendrier,MONTH(AvrDim1+13)=4),AvrDim1+13,""),IF(AND(YEAR(AvrDim1+20)=AnnéeCalendrier,MONTH(AvrDim1+20)=4),AvrDim1+20,""))</f>
        <v>46858</v>
      </c>
      <c r="H19" s="7">
        <f>IF(DAY(AvrDim1)=1,IF(AND(YEAR(AvrDim1+14)=AnnéeCalendrier,MONTH(AvrDim1+14)=4),AvrDim1+14,""),IF(AND(YEAR(AvrDim1+21)=AnnéeCalendrier,MONTH(AvrDim1+21)=4),AvrDim1+21,""))</f>
        <v>46859</v>
      </c>
      <c r="I19" s="4"/>
      <c r="J19" s="6">
        <f>IF(DAY(MaiDim1)=1,IF(AND(YEAR(MaiDim1+8)=AnnéeCalendrier,MONTH(MaiDim1+8)=5),MaiDim1+8,""),IF(AND(YEAR(MaiDim1+15)=AnnéeCalendrier,MONTH(MaiDim1+15)=5),MaiDim1+15,""))</f>
        <v>46888</v>
      </c>
      <c r="K19" s="5">
        <f>IF(DAY(MaiDim1)=1,IF(AND(YEAR(MaiDim1+9)=AnnéeCalendrier,MONTH(MaiDim1+9)=5),MaiDim1+9,""),IF(AND(YEAR(MaiDim1+16)=AnnéeCalendrier,MONTH(MaiDim1+16)=5),MaiDim1+16,""))</f>
        <v>46889</v>
      </c>
      <c r="L19" s="5">
        <f>IF(DAY(MaiDim1)=1,IF(AND(YEAR(MaiDim1+10)=AnnéeCalendrier,MONTH(MaiDim1+10)=5),MaiDim1+10,""),IF(AND(YEAR(MaiDim1+17)=AnnéeCalendrier,MONTH(MaiDim1+17)=5),MaiDim1+17,""))</f>
        <v>46890</v>
      </c>
      <c r="M19" s="5">
        <f>IF(DAY(MaiDim1)=1,IF(AND(YEAR(MaiDim1+11)=AnnéeCalendrier,MONTH(MaiDim1+11)=5),MaiDim1+11,""),IF(AND(YEAR(MaiDim1+18)=AnnéeCalendrier,MONTH(MaiDim1+18)=5),MaiDim1+18,""))</f>
        <v>46891</v>
      </c>
      <c r="N19" s="5">
        <f>IF(DAY(MaiDim1)=1,IF(AND(YEAR(MaiDim1+12)=AnnéeCalendrier,MONTH(MaiDim1+12)=5),MaiDim1+12,""),IF(AND(YEAR(MaiDim1+19)=AnnéeCalendrier,MONTH(MaiDim1+19)=5),MaiDim1+19,""))</f>
        <v>46892</v>
      </c>
      <c r="O19" s="5">
        <f>IF(DAY(MaiDim1)=1,IF(AND(YEAR(MaiDim1+13)=AnnéeCalendrier,MONTH(MaiDim1+13)=5),MaiDim1+13,""),IF(AND(YEAR(MaiDim1+20)=AnnéeCalendrier,MONTH(MaiDim1+20)=5),MaiDim1+20,""))</f>
        <v>46893</v>
      </c>
      <c r="P19" s="7">
        <f>IF(DAY(MaiDim1)=1,IF(AND(YEAR(MaiDim1+14)=AnnéeCalendrier,MONTH(MaiDim1+14)=5),MaiDim1+14,""),IF(AND(YEAR(MaiDim1+21)=AnnéeCalendrier,MONTH(MaiDim1+21)=5),MaiDim1+21,""))</f>
        <v>46894</v>
      </c>
      <c r="Q19" s="4"/>
      <c r="R19" s="6">
        <f>IF(DAY(JunDim1)=1,IF(AND(YEAR(JunDim1+8)=AnnéeCalendrier,MONTH(JunDim1+8)=6),JunDim1+8,""),IF(AND(YEAR(JunDim1+15)=AnnéeCalendrier,MONTH(JunDim1+15)=6),JunDim1+15,""))</f>
        <v>46916</v>
      </c>
      <c r="S19" s="5">
        <f>IF(DAY(JunDim1)=1,IF(AND(YEAR(JunDim1+9)=AnnéeCalendrier,MONTH(JunDim1+9)=6),JunDim1+9,""),IF(AND(YEAR(JunDim1+16)=AnnéeCalendrier,MONTH(JunDim1+16)=6),JunDim1+16,""))</f>
        <v>46917</v>
      </c>
      <c r="T19" s="5">
        <f>IF(DAY(JunDim1)=1,IF(AND(YEAR(JunDim1+10)=AnnéeCalendrier,MONTH(JunDim1+10)=6),JunDim1+10,""),IF(AND(YEAR(JunDim1+17)=AnnéeCalendrier,MONTH(JunDim1+17)=6),JunDim1+17,""))</f>
        <v>46918</v>
      </c>
      <c r="U19" s="5">
        <f>IF(DAY(JunDim1)=1,IF(AND(YEAR(JunDim1+11)=AnnéeCalendrier,MONTH(JunDim1+11)=6),JunDim1+11,""),IF(AND(YEAR(JunDim1+18)=AnnéeCalendrier,MONTH(JunDim1+18)=6),JunDim1+18,""))</f>
        <v>46919</v>
      </c>
      <c r="V19" s="5">
        <f>IF(DAY(JunDim1)=1,IF(AND(YEAR(JunDim1+12)=AnnéeCalendrier,MONTH(JunDim1+12)=6),JunDim1+12,""),IF(AND(YEAR(JunDim1+19)=AnnéeCalendrier,MONTH(JunDim1+19)=6),JunDim1+19,""))</f>
        <v>46920</v>
      </c>
      <c r="W19" s="5">
        <f>IF(DAY(JunDim1)=1,IF(AND(YEAR(JunDim1+13)=AnnéeCalendrier,MONTH(JunDim1+13)=6),JunDim1+13,""),IF(AND(YEAR(JunDim1+20)=AnnéeCalendrier,MONTH(JunDim1+20)=6),JunDim1+20,""))</f>
        <v>46921</v>
      </c>
      <c r="X19" s="7">
        <f>IF(DAY(JunDim1)=1,IF(AND(YEAR(JunDim1+14)=AnnéeCalendrier,MONTH(JunDim1+14)=6),JunDim1+14,""),IF(AND(YEAR(JunDim1+21)=AnnéeCalendrier,MONTH(JunDim1+21)=6),JunDim1+21,""))</f>
        <v>46922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46860</v>
      </c>
      <c r="C20" s="5">
        <f>IF(DAY(AvrDim1)=1,IF(AND(YEAR(AvrDim1+16)=AnnéeCalendrier,MONTH(AvrDim1+16)=4),AvrDim1+16,""),IF(AND(YEAR(AvrDim1+23)=AnnéeCalendrier,MONTH(AvrDim1+23)=4),AvrDim1+23,""))</f>
        <v>46861</v>
      </c>
      <c r="D20" s="5">
        <f>IF(DAY(AvrDim1)=1,IF(AND(YEAR(AvrDim1+17)=AnnéeCalendrier,MONTH(AvrDim1+17)=4),AvrDim1+17,""),IF(AND(YEAR(AvrDim1+24)=AnnéeCalendrier,MONTH(AvrDim1+24)=4),AvrDim1+24,""))</f>
        <v>46862</v>
      </c>
      <c r="E20" s="5">
        <f>IF(DAY(AvrDim1)=1,IF(AND(YEAR(AvrDim1+18)=AnnéeCalendrier,MONTH(AvrDim1+18)=4),AvrDim1+18,""),IF(AND(YEAR(AvrDim1+25)=AnnéeCalendrier,MONTH(AvrDim1+25)=4),AvrDim1+25,""))</f>
        <v>46863</v>
      </c>
      <c r="F20" s="5">
        <f>IF(DAY(AvrDim1)=1,IF(AND(YEAR(AvrDim1+19)=AnnéeCalendrier,MONTH(AvrDim1+19)=4),AvrDim1+19,""),IF(AND(YEAR(AvrDim1+26)=AnnéeCalendrier,MONTH(AvrDim1+26)=4),AvrDim1+26,""))</f>
        <v>46864</v>
      </c>
      <c r="G20" s="5">
        <f>IF(DAY(AvrDim1)=1,IF(AND(YEAR(AvrDim1+20)=AnnéeCalendrier,MONTH(AvrDim1+20)=4),AvrDim1+20,""),IF(AND(YEAR(AvrDim1+27)=AnnéeCalendrier,MONTH(AvrDim1+27)=4),AvrDim1+27,""))</f>
        <v>46865</v>
      </c>
      <c r="H20" s="7">
        <f>IF(DAY(AvrDim1)=1,IF(AND(YEAR(AvrDim1+21)=AnnéeCalendrier,MONTH(AvrDim1+21)=4),AvrDim1+21,""),IF(AND(YEAR(AvrDim1+28)=AnnéeCalendrier,MONTH(AvrDim1+28)=4),AvrDim1+28,""))</f>
        <v>46866</v>
      </c>
      <c r="I20" s="4"/>
      <c r="J20" s="6">
        <f>IF(DAY(MaiDim1)=1,IF(AND(YEAR(MaiDim1+15)=AnnéeCalendrier,MONTH(MaiDim1+15)=5),MaiDim1+15,""),IF(AND(YEAR(MaiDim1+22)=AnnéeCalendrier,MONTH(MaiDim1+22)=5),MaiDim1+22,""))</f>
        <v>46895</v>
      </c>
      <c r="K20" s="5">
        <f>IF(DAY(MaiDim1)=1,IF(AND(YEAR(MaiDim1+16)=AnnéeCalendrier,MONTH(MaiDim1+16)=5),MaiDim1+16,""),IF(AND(YEAR(MaiDim1+23)=AnnéeCalendrier,MONTH(MaiDim1+23)=5),MaiDim1+23,""))</f>
        <v>46896</v>
      </c>
      <c r="L20" s="5">
        <f>IF(DAY(MaiDim1)=1,IF(AND(YEAR(MaiDim1+17)=AnnéeCalendrier,MONTH(MaiDim1+17)=5),MaiDim1+17,""),IF(AND(YEAR(MaiDim1+24)=AnnéeCalendrier,MONTH(MaiDim1+24)=5),MaiDim1+24,""))</f>
        <v>46897</v>
      </c>
      <c r="M20" s="5">
        <f>IF(DAY(MaiDim1)=1,IF(AND(YEAR(MaiDim1+18)=AnnéeCalendrier,MONTH(MaiDim1+18)=5),MaiDim1+18,""),IF(AND(YEAR(MaiDim1+25)=AnnéeCalendrier,MONTH(MaiDim1+25)=5),MaiDim1+25,""))</f>
        <v>46898</v>
      </c>
      <c r="N20" s="5">
        <f>IF(DAY(MaiDim1)=1,IF(AND(YEAR(MaiDim1+19)=AnnéeCalendrier,MONTH(MaiDim1+19)=5),MaiDim1+19,""),IF(AND(YEAR(MaiDim1+26)=AnnéeCalendrier,MONTH(MaiDim1+26)=5),MaiDim1+26,""))</f>
        <v>46899</v>
      </c>
      <c r="O20" s="5">
        <f>IF(DAY(MaiDim1)=1,IF(AND(YEAR(MaiDim1+20)=AnnéeCalendrier,MONTH(MaiDim1+20)=5),MaiDim1+20,""),IF(AND(YEAR(MaiDim1+27)=AnnéeCalendrier,MONTH(MaiDim1+27)=5),MaiDim1+27,""))</f>
        <v>46900</v>
      </c>
      <c r="P20" s="7">
        <f>IF(DAY(MaiDim1)=1,IF(AND(YEAR(MaiDim1+21)=AnnéeCalendrier,MONTH(MaiDim1+21)=5),MaiDim1+21,""),IF(AND(YEAR(MaiDim1+28)=AnnéeCalendrier,MONTH(MaiDim1+28)=5),MaiDim1+28,""))</f>
        <v>46901</v>
      </c>
      <c r="Q20" s="4"/>
      <c r="R20" s="6">
        <f>IF(DAY(JunDim1)=1,IF(AND(YEAR(JunDim1+15)=AnnéeCalendrier,MONTH(JunDim1+15)=6),JunDim1+15,""),IF(AND(YEAR(JunDim1+22)=AnnéeCalendrier,MONTH(JunDim1+22)=6),JunDim1+22,""))</f>
        <v>46923</v>
      </c>
      <c r="S20" s="5">
        <f>IF(DAY(JunDim1)=1,IF(AND(YEAR(JunDim1+16)=AnnéeCalendrier,MONTH(JunDim1+16)=6),JunDim1+16,""),IF(AND(YEAR(JunDim1+23)=AnnéeCalendrier,MONTH(JunDim1+23)=6),JunDim1+23,""))</f>
        <v>46924</v>
      </c>
      <c r="T20" s="5">
        <f>IF(DAY(JunDim1)=1,IF(AND(YEAR(JunDim1+17)=AnnéeCalendrier,MONTH(JunDim1+17)=6),JunDim1+17,""),IF(AND(YEAR(JunDim1+24)=AnnéeCalendrier,MONTH(JunDim1+24)=6),JunDim1+24,""))</f>
        <v>46925</v>
      </c>
      <c r="U20" s="5">
        <f>IF(DAY(JunDim1)=1,IF(AND(YEAR(JunDim1+18)=AnnéeCalendrier,MONTH(JunDim1+18)=6),JunDim1+18,""),IF(AND(YEAR(JunDim1+25)=AnnéeCalendrier,MONTH(JunDim1+25)=6),JunDim1+25,""))</f>
        <v>46926</v>
      </c>
      <c r="V20" s="5">
        <f>IF(DAY(JunDim1)=1,IF(AND(YEAR(JunDim1+19)=AnnéeCalendrier,MONTH(JunDim1+19)=6),JunDim1+19,""),IF(AND(YEAR(JunDim1+26)=AnnéeCalendrier,MONTH(JunDim1+26)=6),JunDim1+26,""))</f>
        <v>46927</v>
      </c>
      <c r="W20" s="5">
        <f>IF(DAY(JunDim1)=1,IF(AND(YEAR(JunDim1+20)=AnnéeCalendrier,MONTH(JunDim1+20)=6),JunDim1+20,""),IF(AND(YEAR(JunDim1+27)=AnnéeCalendrier,MONTH(JunDim1+27)=6),JunDim1+27,""))</f>
        <v>46928</v>
      </c>
      <c r="X20" s="7">
        <f>IF(DAY(JunDim1)=1,IF(AND(YEAR(JunDim1+21)=AnnéeCalendrier,MONTH(JunDim1+21)=6),JunDim1+21,""),IF(AND(YEAR(JunDim1+28)=AnnéeCalendrier,MONTH(JunDim1+28)=6),JunDim1+28,""))</f>
        <v>46929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46867</v>
      </c>
      <c r="C21" s="5">
        <f>IF(DAY(AvrDim1)=1,IF(AND(YEAR(AvrDim1+23)=AnnéeCalendrier,MONTH(AvrDim1+23)=4),AvrDim1+23,""),IF(AND(YEAR(AvrDim1+30)=AnnéeCalendrier,MONTH(AvrDim1+30)=4),AvrDim1+30,""))</f>
        <v>46868</v>
      </c>
      <c r="D21" s="5">
        <f>IF(DAY(AvrDim1)=1,IF(AND(YEAR(AvrDim1+24)=AnnéeCalendrier,MONTH(AvrDim1+24)=4),AvrDim1+24,""),IF(AND(YEAR(AvrDim1+31)=AnnéeCalendrier,MONTH(AvrDim1+31)=4),AvrDim1+31,""))</f>
        <v>46869</v>
      </c>
      <c r="E21" s="5">
        <f>IF(DAY(AvrDim1)=1,IF(AND(YEAR(AvrDim1+25)=AnnéeCalendrier,MONTH(AvrDim1+25)=4),AvrDim1+25,""),IF(AND(YEAR(AvrDim1+32)=AnnéeCalendrier,MONTH(AvrDim1+32)=4),AvrDim1+32,""))</f>
        <v>46870</v>
      </c>
      <c r="F21" s="5">
        <f>IF(DAY(AvrDim1)=1,IF(AND(YEAR(AvrDim1+26)=AnnéeCalendrier,MONTH(AvrDim1+26)=4),AvrDim1+26,""),IF(AND(YEAR(AvrDim1+33)=AnnéeCalendrier,MONTH(AvrDim1+33)=4),AvrDim1+33,""))</f>
        <v>46871</v>
      </c>
      <c r="G21" s="5">
        <f>IF(DAY(AvrDim1)=1,IF(AND(YEAR(AvrDim1+27)=AnnéeCalendrier,MONTH(AvrDim1+27)=4),AvrDim1+27,""),IF(AND(YEAR(AvrDim1+34)=AnnéeCalendrier,MONTH(AvrDim1+34)=4),AvrDim1+34,""))</f>
        <v>46872</v>
      </c>
      <c r="H21" s="7">
        <f>IF(DAY(AvrDim1)=1,IF(AND(YEAR(AvrDim1+28)=AnnéeCalendrier,MONTH(AvrDim1+28)=4),AvrDim1+28,""),IF(AND(YEAR(AvrDim1+35)=AnnéeCalendrier,MONTH(AvrDim1+35)=4),AvrDim1+35,""))</f>
        <v>46873</v>
      </c>
      <c r="I21" s="4"/>
      <c r="J21" s="6">
        <f>IF(DAY(MaiDim1)=1,IF(AND(YEAR(MaiDim1+22)=AnnéeCalendrier,MONTH(MaiDim1+22)=5),MaiDim1+22,""),IF(AND(YEAR(MaiDim1+29)=AnnéeCalendrier,MONTH(MaiDim1+29)=5),MaiDim1+29,""))</f>
        <v>46902</v>
      </c>
      <c r="K21" s="5">
        <f>IF(DAY(MaiDim1)=1,IF(AND(YEAR(MaiDim1+23)=AnnéeCalendrier,MONTH(MaiDim1+23)=5),MaiDim1+23,""),IF(AND(YEAR(MaiDim1+30)=AnnéeCalendrier,MONTH(MaiDim1+30)=5),MaiDim1+30,""))</f>
        <v>46903</v>
      </c>
      <c r="L21" s="5">
        <f>IF(DAY(MaiDim1)=1,IF(AND(YEAR(MaiDim1+24)=AnnéeCalendrier,MONTH(MaiDim1+24)=5),MaiDim1+24,""),IF(AND(YEAR(MaiDim1+31)=AnnéeCalendrier,MONTH(MaiDim1+31)=5),MaiDim1+31,""))</f>
        <v>46904</v>
      </c>
      <c r="M21" s="5" t="str">
        <f>IF(DAY(MaiDim1)=1,IF(AND(YEAR(MaiDim1+25)=AnnéeCalendrier,MONTH(MaiDim1+25)=5),MaiDim1+25,""),IF(AND(YEAR(MaiDim1+32)=AnnéeCalendrier,MONTH(MaiDim1+32)=5),MaiDim1+32,""))</f>
        <v/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46930</v>
      </c>
      <c r="S21" s="5">
        <f>IF(DAY(JunDim1)=1,IF(AND(YEAR(JunDim1+23)=AnnéeCalendrier,MONTH(JunDim1+23)=6),JunDim1+23,""),IF(AND(YEAR(JunDim1+30)=AnnéeCalendrier,MONTH(JunDim1+30)=6),JunDim1+30,""))</f>
        <v>46931</v>
      </c>
      <c r="T21" s="5">
        <f>IF(DAY(JunDim1)=1,IF(AND(YEAR(JunDim1+24)=AnnéeCalendrier,MONTH(JunDim1+24)=6),JunDim1+24,""),IF(AND(YEAR(JunDim1+31)=AnnéeCalendrier,MONTH(JunDim1+31)=6),JunDim1+31,""))</f>
        <v>46932</v>
      </c>
      <c r="U21" s="5">
        <f>IF(DAY(JunDim1)=1,IF(AND(YEAR(JunDim1+25)=AnnéeCalendrier,MONTH(JunDim1+25)=6),JunDim1+25,""),IF(AND(YEAR(JunDim1+32)=AnnéeCalendrier,MONTH(JunDim1+32)=6),JunDim1+32,""))</f>
        <v>46933</v>
      </c>
      <c r="V21" s="5">
        <f>IF(DAY(JunDim1)=1,IF(AND(YEAR(JunDim1+26)=AnnéeCalendrier,MONTH(JunDim1+26)=6),JunDim1+26,""),IF(AND(YEAR(JunDim1+33)=AnnéeCalendrier,MONTH(JunDim1+33)=6),JunDim1+33,""))</f>
        <v>46934</v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>
        <f>IF(DAY(JulDim1)=1,"",IF(AND(YEAR(JulDim1+6)=AnnéeCalendrier,MONTH(JulDim1+6)=7),JulDim1+6,""))</f>
        <v>46935</v>
      </c>
      <c r="H26" s="7">
        <f>IF(DAY(JulDim1)=1,IF(AND(YEAR(JulDim1)=AnnéeCalendrier,MONTH(JulDim1)=7),JulDim1,""),IF(AND(YEAR(JulDim1+7)=AnnéeCalendrier,MONTH(JulDim1+7)=7),JulDim1+7,""))</f>
        <v>46936</v>
      </c>
      <c r="J26" s="6" t="str">
        <f>IF(DAY(AouDim1)=1,"",IF(AND(YEAR(AouDim1+1)=AnnéeCalendrier,MONTH(AouDim1+1)=8),AouDim1+1,""))</f>
        <v/>
      </c>
      <c r="K26" s="5">
        <f>IF(DAY(AouDim1)=1,"",IF(AND(YEAR(AouDim1+2)=AnnéeCalendrier,MONTH(AouDim1+2)=8),AouDim1+2,""))</f>
        <v>46966</v>
      </c>
      <c r="L26" s="5">
        <f>IF(DAY(AouDim1)=1,"",IF(AND(YEAR(AouDim1+3)=AnnéeCalendrier,MONTH(AouDim1+3)=8),AouDim1+3,""))</f>
        <v>46967</v>
      </c>
      <c r="M26" s="5">
        <f>IF(DAY(AouDim1)=1,"",IF(AND(YEAR(AouDim1+4)=AnnéeCalendrier,MONTH(AouDim1+4)=8),AouDim1+4,""))</f>
        <v>46968</v>
      </c>
      <c r="N26" s="5">
        <f>IF(DAY(AouDim1)=1,"",IF(AND(YEAR(AouDim1+5)=AnnéeCalendrier,MONTH(AouDim1+5)=8),AouDim1+5,""))</f>
        <v>46969</v>
      </c>
      <c r="O26" s="5">
        <f>IF(DAY(AouDim1)=1,"",IF(AND(YEAR(AouDim1+6)=AnnéeCalendrier,MONTH(AouDim1+6)=8),AouDim1+6,""))</f>
        <v>46970</v>
      </c>
      <c r="P26" s="7">
        <f>IF(DAY(AouDim1)=1,IF(AND(YEAR(AouDim1)=AnnéeCalendrier,MONTH(AouDim1)=8),AouDim1,""),IF(AND(YEAR(AouDim1+7)=AnnéeCalendrier,MONTH(AouDim1+7)=8),AouDim1+7,""))</f>
        <v>46971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>
        <f>IF(DAY(SepDim1)=1,"",IF(AND(YEAR(SepDim1+5)=AnnéeCalendrier,MONTH(SepDim1+5)=9),SepDim1+5,""))</f>
        <v>46997</v>
      </c>
      <c r="W26" s="5">
        <f>IF(DAY(SepDim1)=1,"",IF(AND(YEAR(SepDim1+6)=AnnéeCalendrier,MONTH(SepDim1+6)=9),SepDim1+6,""))</f>
        <v>46998</v>
      </c>
      <c r="X26" s="7">
        <f>IF(DAY(SepDim1)=1,IF(AND(YEAR(SepDim1)=AnnéeCalendrier,MONTH(SepDim1)=9),SepDim1,""),IF(AND(YEAR(SepDim1+7)=AnnéeCalendrier,MONTH(SepDim1+7)=9),SepDim1+7,""))</f>
        <v>46999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46937</v>
      </c>
      <c r="C27" s="5">
        <f>IF(DAY(JulDim1)=1,IF(AND(YEAR(JulDim1+2)=AnnéeCalendrier,MONTH(JulDim1+2)=7),JulDim1+2,""),IF(AND(YEAR(JulDim1+9)=AnnéeCalendrier,MONTH(JulDim1+9)=7),JulDim1+9,""))</f>
        <v>46938</v>
      </c>
      <c r="D27" s="5">
        <f>IF(DAY(JulDim1)=1,IF(AND(YEAR(JulDim1+3)=AnnéeCalendrier,MONTH(JulDim1+3)=7),JulDim1+3,""),IF(AND(YEAR(JulDim1+10)=AnnéeCalendrier,MONTH(JulDim1+10)=7),JulDim1+10,""))</f>
        <v>46939</v>
      </c>
      <c r="E27" s="5">
        <f>IF(DAY(JulDim1)=1,IF(AND(YEAR(JulDim1+4)=AnnéeCalendrier,MONTH(JulDim1+4)=7),JulDim1+4,""),IF(AND(YEAR(JulDim1+11)=AnnéeCalendrier,MONTH(JulDim1+11)=7),JulDim1+11,""))</f>
        <v>46940</v>
      </c>
      <c r="F27" s="5">
        <f>IF(DAY(JulDim1)=1,IF(AND(YEAR(JulDim1+5)=AnnéeCalendrier,MONTH(JulDim1+5)=7),JulDim1+5,""),IF(AND(YEAR(JulDim1+12)=AnnéeCalendrier,MONTH(JulDim1+12)=7),JulDim1+12,""))</f>
        <v>46941</v>
      </c>
      <c r="G27" s="5">
        <f>IF(DAY(JulDim1)=1,IF(AND(YEAR(JulDim1+6)=AnnéeCalendrier,MONTH(JulDim1+6)=7),JulDim1+6,""),IF(AND(YEAR(JulDim1+13)=AnnéeCalendrier,MONTH(JulDim1+13)=7),JulDim1+13,""))</f>
        <v>46942</v>
      </c>
      <c r="H27" s="7">
        <f>IF(DAY(JulDim1)=1,IF(AND(YEAR(JulDim1+7)=AnnéeCalendrier,MONTH(JulDim1+7)=7),JulDim1+7,""),IF(AND(YEAR(JulDim1+14)=AnnéeCalendrier,MONTH(JulDim1+14)=7),JulDim1+14,""))</f>
        <v>46943</v>
      </c>
      <c r="J27" s="6">
        <f>IF(DAY(AouDim1)=1,IF(AND(YEAR(AouDim1+1)=AnnéeCalendrier,MONTH(AouDim1+1)=8),AouDim1+1,""),IF(AND(YEAR(AouDim1+8)=AnnéeCalendrier,MONTH(AouDim1+8)=8),AouDim1+8,""))</f>
        <v>46972</v>
      </c>
      <c r="K27" s="5">
        <f>IF(DAY(AouDim1)=1,IF(AND(YEAR(AouDim1+2)=AnnéeCalendrier,MONTH(AouDim1+2)=8),AouDim1+2,""),IF(AND(YEAR(AouDim1+9)=AnnéeCalendrier,MONTH(AouDim1+9)=8),AouDim1+9,""))</f>
        <v>46973</v>
      </c>
      <c r="L27" s="5">
        <f>IF(DAY(AouDim1)=1,IF(AND(YEAR(AouDim1+3)=AnnéeCalendrier,MONTH(AouDim1+3)=8),AouDim1+3,""),IF(AND(YEAR(AouDim1+10)=AnnéeCalendrier,MONTH(AouDim1+10)=8),AouDim1+10,""))</f>
        <v>46974</v>
      </c>
      <c r="M27" s="5">
        <f>IF(DAY(AouDim1)=1,IF(AND(YEAR(AouDim1+4)=AnnéeCalendrier,MONTH(AouDim1+4)=8),AouDim1+4,""),IF(AND(YEAR(AouDim1+11)=AnnéeCalendrier,MONTH(AouDim1+11)=8),AouDim1+11,""))</f>
        <v>46975</v>
      </c>
      <c r="N27" s="5">
        <f>IF(DAY(AouDim1)=1,IF(AND(YEAR(AouDim1+5)=AnnéeCalendrier,MONTH(AouDim1+5)=8),AouDim1+5,""),IF(AND(YEAR(AouDim1+12)=AnnéeCalendrier,MONTH(AouDim1+12)=8),AouDim1+12,""))</f>
        <v>46976</v>
      </c>
      <c r="O27" s="5">
        <f>IF(DAY(AouDim1)=1,IF(AND(YEAR(AouDim1+6)=AnnéeCalendrier,MONTH(AouDim1+6)=8),AouDim1+6,""),IF(AND(YEAR(AouDim1+13)=AnnéeCalendrier,MONTH(AouDim1+13)=8),AouDim1+13,""))</f>
        <v>46977</v>
      </c>
      <c r="P27" s="7">
        <f>IF(DAY(AouDim1)=1,IF(AND(YEAR(AouDim1+7)=AnnéeCalendrier,MONTH(AouDim1+7)=8),AouDim1+7,""),IF(AND(YEAR(AouDim1+14)=AnnéeCalendrier,MONTH(AouDim1+14)=8),AouDim1+14,""))</f>
        <v>46978</v>
      </c>
      <c r="Q27" s="1"/>
      <c r="R27" s="6">
        <f>IF(DAY(SepDim1)=1,IF(AND(YEAR(SepDim1+1)=AnnéeCalendrier,MONTH(SepDim1+1)=9),SepDim1+1,""),IF(AND(YEAR(SepDim1+8)=AnnéeCalendrier,MONTH(SepDim1+8)=9),SepDim1+8,""))</f>
        <v>47000</v>
      </c>
      <c r="S27" s="5">
        <f>IF(DAY(SepDim1)=1,IF(AND(YEAR(SepDim1+2)=AnnéeCalendrier,MONTH(SepDim1+2)=9),SepDim1+2,""),IF(AND(YEAR(SepDim1+9)=AnnéeCalendrier,MONTH(SepDim1+9)=9),SepDim1+9,""))</f>
        <v>47001</v>
      </c>
      <c r="T27" s="5">
        <f>IF(DAY(SepDim1)=1,IF(AND(YEAR(SepDim1+3)=AnnéeCalendrier,MONTH(SepDim1+3)=9),SepDim1+3,""),IF(AND(YEAR(SepDim1+10)=AnnéeCalendrier,MONTH(SepDim1+10)=9),SepDim1+10,""))</f>
        <v>47002</v>
      </c>
      <c r="U27" s="5">
        <f>IF(DAY(SepDim1)=1,IF(AND(YEAR(SepDim1+4)=AnnéeCalendrier,MONTH(SepDim1+4)=9),SepDim1+4,""),IF(AND(YEAR(SepDim1+11)=AnnéeCalendrier,MONTH(SepDim1+11)=9),SepDim1+11,""))</f>
        <v>47003</v>
      </c>
      <c r="V27" s="5">
        <f>IF(DAY(SepDim1)=1,IF(AND(YEAR(SepDim1+5)=AnnéeCalendrier,MONTH(SepDim1+5)=9),SepDim1+5,""),IF(AND(YEAR(SepDim1+12)=AnnéeCalendrier,MONTH(SepDim1+12)=9),SepDim1+12,""))</f>
        <v>47004</v>
      </c>
      <c r="W27" s="5">
        <f>IF(DAY(SepDim1)=1,IF(AND(YEAR(SepDim1+6)=AnnéeCalendrier,MONTH(SepDim1+6)=9),SepDim1+6,""),IF(AND(YEAR(SepDim1+13)=AnnéeCalendrier,MONTH(SepDim1+13)=9),SepDim1+13,""))</f>
        <v>47005</v>
      </c>
      <c r="X27" s="7">
        <f>IF(DAY(SepDim1)=1,IF(AND(YEAR(SepDim1+7)=AnnéeCalendrier,MONTH(SepDim1+7)=9),SepDim1+7,""),IF(AND(YEAR(SepDim1+14)=AnnéeCalendrier,MONTH(SepDim1+14)=9),SepDim1+14,""))</f>
        <v>47006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46944</v>
      </c>
      <c r="C28" s="5">
        <f>IF(DAY(JulDim1)=1,IF(AND(YEAR(JulDim1+9)=AnnéeCalendrier,MONTH(JulDim1+9)=7),JulDim1+9,""),IF(AND(YEAR(JulDim1+16)=AnnéeCalendrier,MONTH(JulDim1+16)=7),JulDim1+16,""))</f>
        <v>46945</v>
      </c>
      <c r="D28" s="5">
        <f>IF(DAY(JulDim1)=1,IF(AND(YEAR(JulDim1+10)=AnnéeCalendrier,MONTH(JulDim1+10)=7),JulDim1+10,""),IF(AND(YEAR(JulDim1+17)=AnnéeCalendrier,MONTH(JulDim1+17)=7),JulDim1+17,""))</f>
        <v>46946</v>
      </c>
      <c r="E28" s="5">
        <f>IF(DAY(JulDim1)=1,IF(AND(YEAR(JulDim1+11)=AnnéeCalendrier,MONTH(JulDim1+11)=7),JulDim1+11,""),IF(AND(YEAR(JulDim1+18)=AnnéeCalendrier,MONTH(JulDim1+18)=7),JulDim1+18,""))</f>
        <v>46947</v>
      </c>
      <c r="F28" s="5">
        <f>IF(DAY(JulDim1)=1,IF(AND(YEAR(JulDim1+12)=AnnéeCalendrier,MONTH(JulDim1+12)=7),JulDim1+12,""),IF(AND(YEAR(JulDim1+19)=AnnéeCalendrier,MONTH(JulDim1+19)=7),JulDim1+19,""))</f>
        <v>46948</v>
      </c>
      <c r="G28" s="5">
        <f>IF(DAY(JulDim1)=1,IF(AND(YEAR(JulDim1+13)=AnnéeCalendrier,MONTH(JulDim1+13)=7),JulDim1+13,""),IF(AND(YEAR(JulDim1+20)=AnnéeCalendrier,MONTH(JulDim1+20)=7),JulDim1+20,""))</f>
        <v>46949</v>
      </c>
      <c r="H28" s="7">
        <f>IF(DAY(JulDim1)=1,IF(AND(YEAR(JulDim1+14)=AnnéeCalendrier,MONTH(JulDim1+14)=7),JulDim1+14,""),IF(AND(YEAR(JulDim1+21)=AnnéeCalendrier,MONTH(JulDim1+21)=7),JulDim1+21,""))</f>
        <v>46950</v>
      </c>
      <c r="J28" s="6">
        <f>IF(DAY(AouDim1)=1,IF(AND(YEAR(AouDim1+8)=AnnéeCalendrier,MONTH(AouDim1+8)=8),AouDim1+8,""),IF(AND(YEAR(AouDim1+15)=AnnéeCalendrier,MONTH(AouDim1+15)=8),AouDim1+15,""))</f>
        <v>46979</v>
      </c>
      <c r="K28" s="5">
        <f>IF(DAY(AouDim1)=1,IF(AND(YEAR(AouDim1+9)=AnnéeCalendrier,MONTH(AouDim1+9)=8),AouDim1+9,""),IF(AND(YEAR(AouDim1+16)=AnnéeCalendrier,MONTH(AouDim1+16)=8),AouDim1+16,""))</f>
        <v>46980</v>
      </c>
      <c r="L28" s="5">
        <f>IF(DAY(AouDim1)=1,IF(AND(YEAR(AouDim1+10)=AnnéeCalendrier,MONTH(AouDim1+10)=8),AouDim1+10,""),IF(AND(YEAR(AouDim1+17)=AnnéeCalendrier,MONTH(AouDim1+17)=8),AouDim1+17,""))</f>
        <v>46981</v>
      </c>
      <c r="M28" s="5">
        <f>IF(DAY(AouDim1)=1,IF(AND(YEAR(AouDim1+11)=AnnéeCalendrier,MONTH(AouDim1+11)=8),AouDim1+11,""),IF(AND(YEAR(AouDim1+18)=AnnéeCalendrier,MONTH(AouDim1+18)=8),AouDim1+18,""))</f>
        <v>46982</v>
      </c>
      <c r="N28" s="5">
        <f>IF(DAY(AouDim1)=1,IF(AND(YEAR(AouDim1+12)=AnnéeCalendrier,MONTH(AouDim1+12)=8),AouDim1+12,""),IF(AND(YEAR(AouDim1+19)=AnnéeCalendrier,MONTH(AouDim1+19)=8),AouDim1+19,""))</f>
        <v>46983</v>
      </c>
      <c r="O28" s="5">
        <f>IF(DAY(AouDim1)=1,IF(AND(YEAR(AouDim1+13)=AnnéeCalendrier,MONTH(AouDim1+13)=8),AouDim1+13,""),IF(AND(YEAR(AouDim1+20)=AnnéeCalendrier,MONTH(AouDim1+20)=8),AouDim1+20,""))</f>
        <v>46984</v>
      </c>
      <c r="P28" s="7">
        <f>IF(DAY(AouDim1)=1,IF(AND(YEAR(AouDim1+14)=AnnéeCalendrier,MONTH(AouDim1+14)=8),AouDim1+14,""),IF(AND(YEAR(AouDim1+21)=AnnéeCalendrier,MONTH(AouDim1+21)=8),AouDim1+21,""))</f>
        <v>46985</v>
      </c>
      <c r="Q28" s="1"/>
      <c r="R28" s="6">
        <f>IF(DAY(SepDim1)=1,IF(AND(YEAR(SepDim1+8)=AnnéeCalendrier,MONTH(SepDim1+8)=9),SepDim1+8,""),IF(AND(YEAR(SepDim1+15)=AnnéeCalendrier,MONTH(SepDim1+15)=9),SepDim1+15,""))</f>
        <v>47007</v>
      </c>
      <c r="S28" s="5">
        <f>IF(DAY(SepDim1)=1,IF(AND(YEAR(SepDim1+9)=AnnéeCalendrier,MONTH(SepDim1+9)=9),SepDim1+9,""),IF(AND(YEAR(SepDim1+16)=AnnéeCalendrier,MONTH(SepDim1+16)=9),SepDim1+16,""))</f>
        <v>47008</v>
      </c>
      <c r="T28" s="5">
        <f>IF(DAY(SepDim1)=1,IF(AND(YEAR(SepDim1+10)=AnnéeCalendrier,MONTH(SepDim1+10)=9),SepDim1+10,""),IF(AND(YEAR(SepDim1+17)=AnnéeCalendrier,MONTH(SepDim1+17)=9),SepDim1+17,""))</f>
        <v>47009</v>
      </c>
      <c r="U28" s="5">
        <f>IF(DAY(SepDim1)=1,IF(AND(YEAR(SepDim1+11)=AnnéeCalendrier,MONTH(SepDim1+11)=9),SepDim1+11,""),IF(AND(YEAR(SepDim1+18)=AnnéeCalendrier,MONTH(SepDim1+18)=9),SepDim1+18,""))</f>
        <v>47010</v>
      </c>
      <c r="V28" s="5">
        <f>IF(DAY(SepDim1)=1,IF(AND(YEAR(SepDim1+12)=AnnéeCalendrier,MONTH(SepDim1+12)=9),SepDim1+12,""),IF(AND(YEAR(SepDim1+19)=AnnéeCalendrier,MONTH(SepDim1+19)=9),SepDim1+19,""))</f>
        <v>47011</v>
      </c>
      <c r="W28" s="5">
        <f>IF(DAY(SepDim1)=1,IF(AND(YEAR(SepDim1+13)=AnnéeCalendrier,MONTH(SepDim1+13)=9),SepDim1+13,""),IF(AND(YEAR(SepDim1+20)=AnnéeCalendrier,MONTH(SepDim1+20)=9),SepDim1+20,""))</f>
        <v>47012</v>
      </c>
      <c r="X28" s="7">
        <f>IF(DAY(SepDim1)=1,IF(AND(YEAR(SepDim1+14)=AnnéeCalendrier,MONTH(SepDim1+14)=9),SepDim1+14,""),IF(AND(YEAR(SepDim1+21)=AnnéeCalendrier,MONTH(SepDim1+21)=9),SepDim1+21,""))</f>
        <v>47013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46951</v>
      </c>
      <c r="C29" s="5">
        <f>IF(DAY(JulDim1)=1,IF(AND(YEAR(JulDim1+16)=AnnéeCalendrier,MONTH(JulDim1+16)=7),JulDim1+16,""),IF(AND(YEAR(JulDim1+23)=AnnéeCalendrier,MONTH(JulDim1+23)=7),JulDim1+23,""))</f>
        <v>46952</v>
      </c>
      <c r="D29" s="5">
        <f>IF(DAY(JulDim1)=1,IF(AND(YEAR(JulDim1+17)=AnnéeCalendrier,MONTH(JulDim1+17)=7),JulDim1+17,""),IF(AND(YEAR(JulDim1+24)=AnnéeCalendrier,MONTH(JulDim1+24)=7),JulDim1+24,""))</f>
        <v>46953</v>
      </c>
      <c r="E29" s="5">
        <f>IF(DAY(JulDim1)=1,IF(AND(YEAR(JulDim1+18)=AnnéeCalendrier,MONTH(JulDim1+18)=7),JulDim1+18,""),IF(AND(YEAR(JulDim1+25)=AnnéeCalendrier,MONTH(JulDim1+25)=7),JulDim1+25,""))</f>
        <v>46954</v>
      </c>
      <c r="F29" s="5">
        <f>IF(DAY(JulDim1)=1,IF(AND(YEAR(JulDim1+19)=AnnéeCalendrier,MONTH(JulDim1+19)=7),JulDim1+19,""),IF(AND(YEAR(JulDim1+26)=AnnéeCalendrier,MONTH(JulDim1+26)=7),JulDim1+26,""))</f>
        <v>46955</v>
      </c>
      <c r="G29" s="5">
        <f>IF(DAY(JulDim1)=1,IF(AND(YEAR(JulDim1+20)=AnnéeCalendrier,MONTH(JulDim1+20)=7),JulDim1+20,""),IF(AND(YEAR(JulDim1+27)=AnnéeCalendrier,MONTH(JulDim1+27)=7),JulDim1+27,""))</f>
        <v>46956</v>
      </c>
      <c r="H29" s="7">
        <f>IF(DAY(JulDim1)=1,IF(AND(YEAR(JulDim1+21)=AnnéeCalendrier,MONTH(JulDim1+21)=7),JulDim1+21,""),IF(AND(YEAR(JulDim1+28)=AnnéeCalendrier,MONTH(JulDim1+28)=7),JulDim1+28,""))</f>
        <v>46957</v>
      </c>
      <c r="J29" s="6">
        <f>IF(DAY(AouDim1)=1,IF(AND(YEAR(AouDim1+15)=AnnéeCalendrier,MONTH(AouDim1+15)=8),AouDim1+15,""),IF(AND(YEAR(AouDim1+22)=AnnéeCalendrier,MONTH(AouDim1+22)=8),AouDim1+22,""))</f>
        <v>46986</v>
      </c>
      <c r="K29" s="5">
        <f>IF(DAY(AouDim1)=1,IF(AND(YEAR(AouDim1+16)=AnnéeCalendrier,MONTH(AouDim1+16)=8),AouDim1+16,""),IF(AND(YEAR(AouDim1+23)=AnnéeCalendrier,MONTH(AouDim1+23)=8),AouDim1+23,""))</f>
        <v>46987</v>
      </c>
      <c r="L29" s="5">
        <f>IF(DAY(AouDim1)=1,IF(AND(YEAR(AouDim1+17)=AnnéeCalendrier,MONTH(AouDim1+17)=8),AouDim1+17,""),IF(AND(YEAR(AouDim1+24)=AnnéeCalendrier,MONTH(AouDim1+24)=8),AouDim1+24,""))</f>
        <v>46988</v>
      </c>
      <c r="M29" s="5">
        <f>IF(DAY(AouDim1)=1,IF(AND(YEAR(AouDim1+18)=AnnéeCalendrier,MONTH(AouDim1+18)=8),AouDim1+18,""),IF(AND(YEAR(AouDim1+25)=AnnéeCalendrier,MONTH(AouDim1+25)=8),AouDim1+25,""))</f>
        <v>46989</v>
      </c>
      <c r="N29" s="5">
        <f>IF(DAY(AouDim1)=1,IF(AND(YEAR(AouDim1+19)=AnnéeCalendrier,MONTH(AouDim1+19)=8),AouDim1+19,""),IF(AND(YEAR(AouDim1+26)=AnnéeCalendrier,MONTH(AouDim1+26)=8),AouDim1+26,""))</f>
        <v>46990</v>
      </c>
      <c r="O29" s="5">
        <f>IF(DAY(AouDim1)=1,IF(AND(YEAR(AouDim1+20)=AnnéeCalendrier,MONTH(AouDim1+20)=8),AouDim1+20,""),IF(AND(YEAR(AouDim1+27)=AnnéeCalendrier,MONTH(AouDim1+27)=8),AouDim1+27,""))</f>
        <v>46991</v>
      </c>
      <c r="P29" s="7">
        <f>IF(DAY(AouDim1)=1,IF(AND(YEAR(AouDim1+21)=AnnéeCalendrier,MONTH(AouDim1+21)=8),AouDim1+21,""),IF(AND(YEAR(AouDim1+28)=AnnéeCalendrier,MONTH(AouDim1+28)=8),AouDim1+28,""))</f>
        <v>46992</v>
      </c>
      <c r="Q29" s="1"/>
      <c r="R29" s="6">
        <f>IF(DAY(SepDim1)=1,IF(AND(YEAR(SepDim1+15)=AnnéeCalendrier,MONTH(SepDim1+15)=9),SepDim1+15,""),IF(AND(YEAR(SepDim1+22)=AnnéeCalendrier,MONTH(SepDim1+22)=9),SepDim1+22,""))</f>
        <v>47014</v>
      </c>
      <c r="S29" s="5">
        <f>IF(DAY(SepDim1)=1,IF(AND(YEAR(SepDim1+16)=AnnéeCalendrier,MONTH(SepDim1+16)=9),SepDim1+16,""),IF(AND(YEAR(SepDim1+23)=AnnéeCalendrier,MONTH(SepDim1+23)=9),SepDim1+23,""))</f>
        <v>47015</v>
      </c>
      <c r="T29" s="5">
        <f>IF(DAY(SepDim1)=1,IF(AND(YEAR(SepDim1+17)=AnnéeCalendrier,MONTH(SepDim1+17)=9),SepDim1+17,""),IF(AND(YEAR(SepDim1+24)=AnnéeCalendrier,MONTH(SepDim1+24)=9),SepDim1+24,""))</f>
        <v>47016</v>
      </c>
      <c r="U29" s="5">
        <f>IF(DAY(SepDim1)=1,IF(AND(YEAR(SepDim1+18)=AnnéeCalendrier,MONTH(SepDim1+18)=9),SepDim1+18,""),IF(AND(YEAR(SepDim1+25)=AnnéeCalendrier,MONTH(SepDim1+25)=9),SepDim1+25,""))</f>
        <v>47017</v>
      </c>
      <c r="V29" s="5">
        <f>IF(DAY(SepDim1)=1,IF(AND(YEAR(SepDim1+19)=AnnéeCalendrier,MONTH(SepDim1+19)=9),SepDim1+19,""),IF(AND(YEAR(SepDim1+26)=AnnéeCalendrier,MONTH(SepDim1+26)=9),SepDim1+26,""))</f>
        <v>47018</v>
      </c>
      <c r="W29" s="5">
        <f>IF(DAY(SepDim1)=1,IF(AND(YEAR(SepDim1+20)=AnnéeCalendrier,MONTH(SepDim1+20)=9),SepDim1+20,""),IF(AND(YEAR(SepDim1+27)=AnnéeCalendrier,MONTH(SepDim1+27)=9),SepDim1+27,""))</f>
        <v>47019</v>
      </c>
      <c r="X29" s="7">
        <f>IF(DAY(SepDim1)=1,IF(AND(YEAR(SepDim1+21)=AnnéeCalendrier,MONTH(SepDim1+21)=9),SepDim1+21,""),IF(AND(YEAR(SepDim1+28)=AnnéeCalendrier,MONTH(SepDim1+28)=9),SepDim1+28,""))</f>
        <v>47020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46958</v>
      </c>
      <c r="C30" s="5">
        <f>IF(DAY(JulDim1)=1,IF(AND(YEAR(JulDim1+23)=AnnéeCalendrier,MONTH(JulDim1+23)=7),JulDim1+23,""),IF(AND(YEAR(JulDim1+30)=AnnéeCalendrier,MONTH(JulDim1+30)=7),JulDim1+30,""))</f>
        <v>46959</v>
      </c>
      <c r="D30" s="5">
        <f>IF(DAY(JulDim1)=1,IF(AND(YEAR(JulDim1+24)=AnnéeCalendrier,MONTH(JulDim1+24)=7),JulDim1+24,""),IF(AND(YEAR(JulDim1+31)=AnnéeCalendrier,MONTH(JulDim1+31)=7),JulDim1+31,""))</f>
        <v>46960</v>
      </c>
      <c r="E30" s="5">
        <f>IF(DAY(JulDim1)=1,IF(AND(YEAR(JulDim1+25)=AnnéeCalendrier,MONTH(JulDim1+25)=7),JulDim1+25,""),IF(AND(YEAR(JulDim1+32)=AnnéeCalendrier,MONTH(JulDim1+32)=7),JulDim1+32,""))</f>
        <v>46961</v>
      </c>
      <c r="F30" s="5">
        <f>IF(DAY(JulDim1)=1,IF(AND(YEAR(JulDim1+26)=AnnéeCalendrier,MONTH(JulDim1+26)=7),JulDim1+26,""),IF(AND(YEAR(JulDim1+33)=AnnéeCalendrier,MONTH(JulDim1+33)=7),JulDim1+33,""))</f>
        <v>46962</v>
      </c>
      <c r="G30" s="5">
        <f>IF(DAY(JulDim1)=1,IF(AND(YEAR(JulDim1+27)=AnnéeCalendrier,MONTH(JulDim1+27)=7),JulDim1+27,""),IF(AND(YEAR(JulDim1+34)=AnnéeCalendrier,MONTH(JulDim1+34)=7),JulDim1+34,""))</f>
        <v>46963</v>
      </c>
      <c r="H30" s="7">
        <f>IF(DAY(JulDim1)=1,IF(AND(YEAR(JulDim1+28)=AnnéeCalendrier,MONTH(JulDim1+28)=7),JulDim1+28,""),IF(AND(YEAR(JulDim1+35)=AnnéeCalendrier,MONTH(JulDim1+35)=7),JulDim1+35,""))</f>
        <v>46964</v>
      </c>
      <c r="J30" s="6">
        <f>IF(DAY(AouDim1)=1,IF(AND(YEAR(AouDim1+22)=AnnéeCalendrier,MONTH(AouDim1+22)=8),AouDim1+22,""),IF(AND(YEAR(AouDim1+29)=AnnéeCalendrier,MONTH(AouDim1+29)=8),AouDim1+29,""))</f>
        <v>46993</v>
      </c>
      <c r="K30" s="5">
        <f>IF(DAY(AouDim1)=1,IF(AND(YEAR(AouDim1+23)=AnnéeCalendrier,MONTH(AouDim1+23)=8),AouDim1+23,""),IF(AND(YEAR(AouDim1+30)=AnnéeCalendrier,MONTH(AouDim1+30)=8),AouDim1+30,""))</f>
        <v>46994</v>
      </c>
      <c r="L30" s="5">
        <f>IF(DAY(AouDim1)=1,IF(AND(YEAR(AouDim1+24)=AnnéeCalendrier,MONTH(AouDim1+24)=8),AouDim1+24,""),IF(AND(YEAR(AouDim1+31)=AnnéeCalendrier,MONTH(AouDim1+31)=8),AouDim1+31,""))</f>
        <v>46995</v>
      </c>
      <c r="M30" s="5">
        <f>IF(DAY(AouDim1)=1,IF(AND(YEAR(AouDim1+25)=AnnéeCalendrier,MONTH(AouDim1+25)=8),AouDim1+25,""),IF(AND(YEAR(AouDim1+32)=AnnéeCalendrier,MONTH(AouDim1+32)=8),AouDim1+32,""))</f>
        <v>46996</v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47021</v>
      </c>
      <c r="S30" s="5">
        <f>IF(DAY(SepDim1)=1,IF(AND(YEAR(SepDim1+23)=AnnéeCalendrier,MONTH(SepDim1+23)=9),SepDim1+23,""),IF(AND(YEAR(SepDim1+30)=AnnéeCalendrier,MONTH(SepDim1+30)=9),SepDim1+30,""))</f>
        <v>47022</v>
      </c>
      <c r="T30" s="5">
        <f>IF(DAY(SepDim1)=1,IF(AND(YEAR(SepDim1+24)=AnnéeCalendrier,MONTH(SepDim1+24)=9),SepDim1+24,""),IF(AND(YEAR(SepDim1+31)=AnnéeCalendrier,MONTH(SepDim1+31)=9),SepDim1+31,""))</f>
        <v>47023</v>
      </c>
      <c r="U30" s="5">
        <f>IF(DAY(SepDim1)=1,IF(AND(YEAR(SepDim1+25)=AnnéeCalendrier,MONTH(SepDim1+25)=9),SepDim1+25,""),IF(AND(YEAR(SepDim1+32)=AnnéeCalendrier,MONTH(SepDim1+32)=9),SepDim1+32,""))</f>
        <v>47024</v>
      </c>
      <c r="V30" s="5">
        <f>IF(DAY(SepDim1)=1,IF(AND(YEAR(SepDim1+26)=AnnéeCalendrier,MONTH(SepDim1+26)=9),SepDim1+26,""),IF(AND(YEAR(SepDim1+33)=AnnéeCalendrier,MONTH(SepDim1+33)=9),SepDim1+33,""))</f>
        <v>47025</v>
      </c>
      <c r="W30" s="5">
        <f>IF(DAY(SepDim1)=1,IF(AND(YEAR(SepDim1+27)=AnnéeCalendrier,MONTH(SepDim1+27)=9),SepDim1+27,""),IF(AND(YEAR(SepDim1+34)=AnnéeCalendrier,MONTH(SepDim1+34)=9),SepDim1+34,""))</f>
        <v>47026</v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46965</v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 t="str">
        <f>IF(DAY(OctDim1)=1,"",IF(AND(YEAR(OctDim1+6)=AnnéeCalendrier,MONTH(OctDim1+6)=10),OctDim1+6,""))</f>
        <v/>
      </c>
      <c r="H35" s="7">
        <f>IF(DAY(OctDim1)=1,IF(AND(YEAR(OctDim1)=AnnéeCalendrier,MONTH(OctDim1)=10),OctDim1,""),IF(AND(YEAR(OctDim1+7)=AnnéeCalendrier,MONTH(OctDim1+7)=10),OctDim1+7,""))</f>
        <v>47027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>
        <f>IF(DAY(NovDim1)=1,"",IF(AND(YEAR(NovDim1+3)=AnnéeCalendrier,MONTH(NovDim1+3)=11),NovDim1+3,""))</f>
        <v>47058</v>
      </c>
      <c r="M35" s="5">
        <f>IF(DAY(NovDim1)=1,"",IF(AND(YEAR(NovDim1+4)=AnnéeCalendrier,MONTH(NovDim1+4)=11),NovDim1+4,""))</f>
        <v>47059</v>
      </c>
      <c r="N35" s="5">
        <f>IF(DAY(NovDim1)=1,"",IF(AND(YEAR(NovDim1+5)=AnnéeCalendrier,MONTH(NovDim1+5)=11),NovDim1+5,""))</f>
        <v>47060</v>
      </c>
      <c r="O35" s="5">
        <f>IF(DAY(NovDim1)=1,"",IF(AND(YEAR(NovDim1+6)=AnnéeCalendrier,MONTH(NovDim1+6)=11),NovDim1+6,""))</f>
        <v>47061</v>
      </c>
      <c r="P35" s="7">
        <f>IF(DAY(NovDim1)=1,IF(AND(YEAR(NovDim1)=AnnéeCalendrier,MONTH(NovDim1)=11),NovDim1,""),IF(AND(YEAR(NovDim1+7)=AnnéeCalendrier,MONTH(NovDim1+7)=11),NovDim1+7,""))</f>
        <v>47062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>
        <f>IF(DAY(DécDim1)=1,"",IF(AND(YEAR(DécDim1+5)=AnnéeCalendrier,MONTH(DécDim1+5)=12),DécDim1+5,""))</f>
        <v>47088</v>
      </c>
      <c r="W35" s="5">
        <f>IF(DAY(DécDim1)=1,"",IF(AND(YEAR(DécDim1+6)=AnnéeCalendrier,MONTH(DécDim1+6)=12),DécDim1+6,""))</f>
        <v>47089</v>
      </c>
      <c r="X35" s="7">
        <f>IF(DAY(DécDim1)=1,IF(AND(YEAR(DécDim1)=AnnéeCalendrier,MONTH(DécDim1)=12),DécDim1,""),IF(AND(YEAR(DécDim1+7)=AnnéeCalendrier,MONTH(DécDim1+7)=12),DécDim1+7,""))</f>
        <v>47090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47028</v>
      </c>
      <c r="C36" s="5">
        <f>IF(DAY(OctDim1)=1,IF(AND(YEAR(OctDim1+2)=AnnéeCalendrier,MONTH(OctDim1+2)=10),OctDim1+2,""),IF(AND(YEAR(OctDim1+9)=AnnéeCalendrier,MONTH(OctDim1+9)=10),OctDim1+9,""))</f>
        <v>47029</v>
      </c>
      <c r="D36" s="5">
        <f>IF(DAY(OctDim1)=1,IF(AND(YEAR(OctDim1+3)=AnnéeCalendrier,MONTH(OctDim1+3)=10),OctDim1+3,""),IF(AND(YEAR(OctDim1+10)=AnnéeCalendrier,MONTH(OctDim1+10)=10),OctDim1+10,""))</f>
        <v>47030</v>
      </c>
      <c r="E36" s="5">
        <f>IF(DAY(OctDim1)=1,IF(AND(YEAR(OctDim1+4)=AnnéeCalendrier,MONTH(OctDim1+4)=10),OctDim1+4,""),IF(AND(YEAR(OctDim1+11)=AnnéeCalendrier,MONTH(OctDim1+11)=10),OctDim1+11,""))</f>
        <v>47031</v>
      </c>
      <c r="F36" s="5">
        <f>IF(DAY(OctDim1)=1,IF(AND(YEAR(OctDim1+5)=AnnéeCalendrier,MONTH(OctDim1+5)=10),OctDim1+5,""),IF(AND(YEAR(OctDim1+12)=AnnéeCalendrier,MONTH(OctDim1+12)=10),OctDim1+12,""))</f>
        <v>47032</v>
      </c>
      <c r="G36" s="5">
        <f>IF(DAY(OctDim1)=1,IF(AND(YEAR(OctDim1+6)=AnnéeCalendrier,MONTH(OctDim1+6)=10),OctDim1+6,""),IF(AND(YEAR(OctDim1+13)=AnnéeCalendrier,MONTH(OctDim1+13)=10),OctDim1+13,""))</f>
        <v>47033</v>
      </c>
      <c r="H36" s="7">
        <f>IF(DAY(OctDim1)=1,IF(AND(YEAR(OctDim1+7)=AnnéeCalendrier,MONTH(OctDim1+7)=10),OctDim1+7,""),IF(AND(YEAR(OctDim1+14)=AnnéeCalendrier,MONTH(OctDim1+14)=10),OctDim1+14,""))</f>
        <v>47034</v>
      </c>
      <c r="I36" s="4"/>
      <c r="J36" s="6">
        <f>IF(DAY(NovDim1)=1,IF(AND(YEAR(NovDim1+1)=AnnéeCalendrier,MONTH(NovDim1+1)=11),NovDim1+1,""),IF(AND(YEAR(NovDim1+8)=AnnéeCalendrier,MONTH(NovDim1+8)=11),NovDim1+8,""))</f>
        <v>47063</v>
      </c>
      <c r="K36" s="5">
        <f>IF(DAY(NovDim1)=1,IF(AND(YEAR(NovDim1+2)=AnnéeCalendrier,MONTH(NovDim1+2)=11),NovDim1+2,""),IF(AND(YEAR(NovDim1+9)=AnnéeCalendrier,MONTH(NovDim1+9)=11),NovDim1+9,""))</f>
        <v>47064</v>
      </c>
      <c r="L36" s="5">
        <f>IF(DAY(NovDim1)=1,IF(AND(YEAR(NovDim1+3)=AnnéeCalendrier,MONTH(NovDim1+3)=11),NovDim1+3,""),IF(AND(YEAR(NovDim1+10)=AnnéeCalendrier,MONTH(NovDim1+10)=11),NovDim1+10,""))</f>
        <v>47065</v>
      </c>
      <c r="M36" s="5">
        <f>IF(DAY(NovDim1)=1,IF(AND(YEAR(NovDim1+4)=AnnéeCalendrier,MONTH(NovDim1+4)=11),NovDim1+4,""),IF(AND(YEAR(NovDim1+11)=AnnéeCalendrier,MONTH(NovDim1+11)=11),NovDim1+11,""))</f>
        <v>47066</v>
      </c>
      <c r="N36" s="5">
        <f>IF(DAY(NovDim1)=1,IF(AND(YEAR(NovDim1+5)=AnnéeCalendrier,MONTH(NovDim1+5)=11),NovDim1+5,""),IF(AND(YEAR(NovDim1+12)=AnnéeCalendrier,MONTH(NovDim1+12)=11),NovDim1+12,""))</f>
        <v>47067</v>
      </c>
      <c r="O36" s="5">
        <f>IF(DAY(NovDim1)=1,IF(AND(YEAR(NovDim1+6)=AnnéeCalendrier,MONTH(NovDim1+6)=11),NovDim1+6,""),IF(AND(YEAR(NovDim1+13)=AnnéeCalendrier,MONTH(NovDim1+13)=11),NovDim1+13,""))</f>
        <v>47068</v>
      </c>
      <c r="P36" s="7">
        <f>IF(DAY(NovDim1)=1,IF(AND(YEAR(NovDim1+7)=AnnéeCalendrier,MONTH(NovDim1+7)=11),NovDim1+7,""),IF(AND(YEAR(NovDim1+14)=AnnéeCalendrier,MONTH(NovDim1+14)=11),NovDim1+14,""))</f>
        <v>47069</v>
      </c>
      <c r="R36" s="6">
        <f>IF(DAY(DécDim1)=1,IF(AND(YEAR(DécDim1+1)=AnnéeCalendrier,MONTH(DécDim1+1)=12),DécDim1+1,""),IF(AND(YEAR(DécDim1+8)=AnnéeCalendrier,MONTH(DécDim1+8)=12),DécDim1+8,""))</f>
        <v>47091</v>
      </c>
      <c r="S36" s="5">
        <f>IF(DAY(DécDim1)=1,IF(AND(YEAR(DécDim1+2)=AnnéeCalendrier,MONTH(DécDim1+2)=12),DécDim1+2,""),IF(AND(YEAR(DécDim1+9)=AnnéeCalendrier,MONTH(DécDim1+9)=12),DécDim1+9,""))</f>
        <v>47092</v>
      </c>
      <c r="T36" s="5">
        <f>IF(DAY(DécDim1)=1,IF(AND(YEAR(DécDim1+3)=AnnéeCalendrier,MONTH(DécDim1+3)=12),DécDim1+3,""),IF(AND(YEAR(DécDim1+10)=AnnéeCalendrier,MONTH(DécDim1+10)=12),DécDim1+10,""))</f>
        <v>47093</v>
      </c>
      <c r="U36" s="5">
        <f>IF(DAY(DécDim1)=1,IF(AND(YEAR(DécDim1+4)=AnnéeCalendrier,MONTH(DécDim1+4)=12),DécDim1+4,""),IF(AND(YEAR(DécDim1+11)=AnnéeCalendrier,MONTH(DécDim1+11)=12),DécDim1+11,""))</f>
        <v>47094</v>
      </c>
      <c r="V36" s="5">
        <f>IF(DAY(DécDim1)=1,IF(AND(YEAR(DécDim1+5)=AnnéeCalendrier,MONTH(DécDim1+5)=12),DécDim1+5,""),IF(AND(YEAR(DécDim1+12)=AnnéeCalendrier,MONTH(DécDim1+12)=12),DécDim1+12,""))</f>
        <v>47095</v>
      </c>
      <c r="W36" s="5">
        <f>IF(DAY(DécDim1)=1,IF(AND(YEAR(DécDim1+6)=AnnéeCalendrier,MONTH(DécDim1+6)=12),DécDim1+6,""),IF(AND(YEAR(DécDim1+13)=AnnéeCalendrier,MONTH(DécDim1+13)=12),DécDim1+13,""))</f>
        <v>47096</v>
      </c>
      <c r="X36" s="7">
        <f>IF(DAY(DécDim1)=1,IF(AND(YEAR(DécDim1+7)=AnnéeCalendrier,MONTH(DécDim1+7)=12),DécDim1+7,""),IF(AND(YEAR(DécDim1+14)=AnnéeCalendrier,MONTH(DécDim1+14)=12),DécDim1+14,""))</f>
        <v>47097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47035</v>
      </c>
      <c r="C37" s="5">
        <f>IF(DAY(OctDim1)=1,IF(AND(YEAR(OctDim1+9)=AnnéeCalendrier,MONTH(OctDim1+9)=10),OctDim1+9,""),IF(AND(YEAR(OctDim1+16)=AnnéeCalendrier,MONTH(OctDim1+16)=10),OctDim1+16,""))</f>
        <v>47036</v>
      </c>
      <c r="D37" s="5">
        <f>IF(DAY(OctDim1)=1,IF(AND(YEAR(OctDim1+10)=AnnéeCalendrier,MONTH(OctDim1+10)=10),OctDim1+10,""),IF(AND(YEAR(OctDim1+17)=AnnéeCalendrier,MONTH(OctDim1+17)=10),OctDim1+17,""))</f>
        <v>47037</v>
      </c>
      <c r="E37" s="5">
        <f>IF(DAY(OctDim1)=1,IF(AND(YEAR(OctDim1+11)=AnnéeCalendrier,MONTH(OctDim1+11)=10),OctDim1+11,""),IF(AND(YEAR(OctDim1+18)=AnnéeCalendrier,MONTH(OctDim1+18)=10),OctDim1+18,""))</f>
        <v>47038</v>
      </c>
      <c r="F37" s="5">
        <f>IF(DAY(OctDim1)=1,IF(AND(YEAR(OctDim1+12)=AnnéeCalendrier,MONTH(OctDim1+12)=10),OctDim1+12,""),IF(AND(YEAR(OctDim1+19)=AnnéeCalendrier,MONTH(OctDim1+19)=10),OctDim1+19,""))</f>
        <v>47039</v>
      </c>
      <c r="G37" s="5">
        <f>IF(DAY(OctDim1)=1,IF(AND(YEAR(OctDim1+13)=AnnéeCalendrier,MONTH(OctDim1+13)=10),OctDim1+13,""),IF(AND(YEAR(OctDim1+20)=AnnéeCalendrier,MONTH(OctDim1+20)=10),OctDim1+20,""))</f>
        <v>47040</v>
      </c>
      <c r="H37" s="7">
        <f>IF(DAY(OctDim1)=1,IF(AND(YEAR(OctDim1+14)=AnnéeCalendrier,MONTH(OctDim1+14)=10),OctDim1+14,""),IF(AND(YEAR(OctDim1+21)=AnnéeCalendrier,MONTH(OctDim1+21)=10),OctDim1+21,""))</f>
        <v>47041</v>
      </c>
      <c r="I37" s="4"/>
      <c r="J37" s="6">
        <f>IF(DAY(NovDim1)=1,IF(AND(YEAR(NovDim1+8)=AnnéeCalendrier,MONTH(NovDim1+8)=11),NovDim1+8,""),IF(AND(YEAR(NovDim1+15)=AnnéeCalendrier,MONTH(NovDim1+15)=11),NovDim1+15,""))</f>
        <v>47070</v>
      </c>
      <c r="K37" s="5">
        <f>IF(DAY(NovDim1)=1,IF(AND(YEAR(NovDim1+9)=AnnéeCalendrier,MONTH(NovDim1+9)=11),NovDim1+9,""),IF(AND(YEAR(NovDim1+16)=AnnéeCalendrier,MONTH(NovDim1+16)=11),NovDim1+16,""))</f>
        <v>47071</v>
      </c>
      <c r="L37" s="5">
        <f>IF(DAY(NovDim1)=1,IF(AND(YEAR(NovDim1+10)=AnnéeCalendrier,MONTH(NovDim1+10)=11),NovDim1+10,""),IF(AND(YEAR(NovDim1+17)=AnnéeCalendrier,MONTH(NovDim1+17)=11),NovDim1+17,""))</f>
        <v>47072</v>
      </c>
      <c r="M37" s="5">
        <f>IF(DAY(NovDim1)=1,IF(AND(YEAR(NovDim1+11)=AnnéeCalendrier,MONTH(NovDim1+11)=11),NovDim1+11,""),IF(AND(YEAR(NovDim1+18)=AnnéeCalendrier,MONTH(NovDim1+18)=11),NovDim1+18,""))</f>
        <v>47073</v>
      </c>
      <c r="N37" s="5">
        <f>IF(DAY(NovDim1)=1,IF(AND(YEAR(NovDim1+12)=AnnéeCalendrier,MONTH(NovDim1+12)=11),NovDim1+12,""),IF(AND(YEAR(NovDim1+19)=AnnéeCalendrier,MONTH(NovDim1+19)=11),NovDim1+19,""))</f>
        <v>47074</v>
      </c>
      <c r="O37" s="5">
        <f>IF(DAY(NovDim1)=1,IF(AND(YEAR(NovDim1+13)=AnnéeCalendrier,MONTH(NovDim1+13)=11),NovDim1+13,""),IF(AND(YEAR(NovDim1+20)=AnnéeCalendrier,MONTH(NovDim1+20)=11),NovDim1+20,""))</f>
        <v>47075</v>
      </c>
      <c r="P37" s="7">
        <f>IF(DAY(NovDim1)=1,IF(AND(YEAR(NovDim1+14)=AnnéeCalendrier,MONTH(NovDim1+14)=11),NovDim1+14,""),IF(AND(YEAR(NovDim1+21)=AnnéeCalendrier,MONTH(NovDim1+21)=11),NovDim1+21,""))</f>
        <v>47076</v>
      </c>
      <c r="R37" s="6">
        <f>IF(DAY(DécDim1)=1,IF(AND(YEAR(DécDim1+8)=AnnéeCalendrier,MONTH(DécDim1+8)=12),DécDim1+8,""),IF(AND(YEAR(DécDim1+15)=AnnéeCalendrier,MONTH(DécDim1+15)=12),DécDim1+15,""))</f>
        <v>47098</v>
      </c>
      <c r="S37" s="5">
        <f>IF(DAY(DécDim1)=1,IF(AND(YEAR(DécDim1+9)=AnnéeCalendrier,MONTH(DécDim1+9)=12),DécDim1+9,""),IF(AND(YEAR(DécDim1+16)=AnnéeCalendrier,MONTH(DécDim1+16)=12),DécDim1+16,""))</f>
        <v>47099</v>
      </c>
      <c r="T37" s="5">
        <f>IF(DAY(DécDim1)=1,IF(AND(YEAR(DécDim1+10)=AnnéeCalendrier,MONTH(DécDim1+10)=12),DécDim1+10,""),IF(AND(YEAR(DécDim1+17)=AnnéeCalendrier,MONTH(DécDim1+17)=12),DécDim1+17,""))</f>
        <v>47100</v>
      </c>
      <c r="U37" s="5">
        <f>IF(DAY(DécDim1)=1,IF(AND(YEAR(DécDim1+11)=AnnéeCalendrier,MONTH(DécDim1+11)=12),DécDim1+11,""),IF(AND(YEAR(DécDim1+18)=AnnéeCalendrier,MONTH(DécDim1+18)=12),DécDim1+18,""))</f>
        <v>47101</v>
      </c>
      <c r="V37" s="5">
        <f>IF(DAY(DécDim1)=1,IF(AND(YEAR(DécDim1+12)=AnnéeCalendrier,MONTH(DécDim1+12)=12),DécDim1+12,""),IF(AND(YEAR(DécDim1+19)=AnnéeCalendrier,MONTH(DécDim1+19)=12),DécDim1+19,""))</f>
        <v>47102</v>
      </c>
      <c r="W37" s="5">
        <f>IF(DAY(DécDim1)=1,IF(AND(YEAR(DécDim1+13)=AnnéeCalendrier,MONTH(DécDim1+13)=12),DécDim1+13,""),IF(AND(YEAR(DécDim1+20)=AnnéeCalendrier,MONTH(DécDim1+20)=12),DécDim1+20,""))</f>
        <v>47103</v>
      </c>
      <c r="X37" s="7">
        <f>IF(DAY(DécDim1)=1,IF(AND(YEAR(DécDim1+14)=AnnéeCalendrier,MONTH(DécDim1+14)=12),DécDim1+14,""),IF(AND(YEAR(DécDim1+21)=AnnéeCalendrier,MONTH(DécDim1+21)=12),DécDim1+21,""))</f>
        <v>47104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47042</v>
      </c>
      <c r="C38" s="5">
        <f>IF(DAY(OctDim1)=1,IF(AND(YEAR(OctDim1+16)=AnnéeCalendrier,MONTH(OctDim1+16)=10),OctDim1+16,""),IF(AND(YEAR(OctDim1+23)=AnnéeCalendrier,MONTH(OctDim1+23)=10),OctDim1+23,""))</f>
        <v>47043</v>
      </c>
      <c r="D38" s="5">
        <f>IF(DAY(OctDim1)=1,IF(AND(YEAR(OctDim1+17)=AnnéeCalendrier,MONTH(OctDim1+17)=10),OctDim1+17,""),IF(AND(YEAR(OctDim1+24)=AnnéeCalendrier,MONTH(OctDim1+24)=10),OctDim1+24,""))</f>
        <v>47044</v>
      </c>
      <c r="E38" s="5">
        <f>IF(DAY(OctDim1)=1,IF(AND(YEAR(OctDim1+18)=AnnéeCalendrier,MONTH(OctDim1+18)=10),OctDim1+18,""),IF(AND(YEAR(OctDim1+25)=AnnéeCalendrier,MONTH(OctDim1+25)=10),OctDim1+25,""))</f>
        <v>47045</v>
      </c>
      <c r="F38" s="5">
        <f>IF(DAY(OctDim1)=1,IF(AND(YEAR(OctDim1+19)=AnnéeCalendrier,MONTH(OctDim1+19)=10),OctDim1+19,""),IF(AND(YEAR(OctDim1+26)=AnnéeCalendrier,MONTH(OctDim1+26)=10),OctDim1+26,""))</f>
        <v>47046</v>
      </c>
      <c r="G38" s="5">
        <f>IF(DAY(OctDim1)=1,IF(AND(YEAR(OctDim1+20)=AnnéeCalendrier,MONTH(OctDim1+20)=10),OctDim1+20,""),IF(AND(YEAR(OctDim1+27)=AnnéeCalendrier,MONTH(OctDim1+27)=10),OctDim1+27,""))</f>
        <v>47047</v>
      </c>
      <c r="H38" s="7">
        <f>IF(DAY(OctDim1)=1,IF(AND(YEAR(OctDim1+21)=AnnéeCalendrier,MONTH(OctDim1+21)=10),OctDim1+21,""),IF(AND(YEAR(OctDim1+28)=AnnéeCalendrier,MONTH(OctDim1+28)=10),OctDim1+28,""))</f>
        <v>47048</v>
      </c>
      <c r="I38" s="4"/>
      <c r="J38" s="6">
        <f>IF(DAY(NovDim1)=1,IF(AND(YEAR(NovDim1+15)=AnnéeCalendrier,MONTH(NovDim1+15)=11),NovDim1+15,""),IF(AND(YEAR(NovDim1+22)=AnnéeCalendrier,MONTH(NovDim1+22)=11),NovDim1+22,""))</f>
        <v>47077</v>
      </c>
      <c r="K38" s="5">
        <f>IF(DAY(NovDim1)=1,IF(AND(YEAR(NovDim1+16)=AnnéeCalendrier,MONTH(NovDim1+16)=11),NovDim1+16,""),IF(AND(YEAR(NovDim1+23)=AnnéeCalendrier,MONTH(NovDim1+23)=11),NovDim1+23,""))</f>
        <v>47078</v>
      </c>
      <c r="L38" s="5">
        <f>IF(DAY(NovDim1)=1,IF(AND(YEAR(NovDim1+17)=AnnéeCalendrier,MONTH(NovDim1+17)=11),NovDim1+17,""),IF(AND(YEAR(NovDim1+24)=AnnéeCalendrier,MONTH(NovDim1+24)=11),NovDim1+24,""))</f>
        <v>47079</v>
      </c>
      <c r="M38" s="5">
        <f>IF(DAY(NovDim1)=1,IF(AND(YEAR(NovDim1+18)=AnnéeCalendrier,MONTH(NovDim1+18)=11),NovDim1+18,""),IF(AND(YEAR(NovDim1+25)=AnnéeCalendrier,MONTH(NovDim1+25)=11),NovDim1+25,""))</f>
        <v>47080</v>
      </c>
      <c r="N38" s="5">
        <f>IF(DAY(NovDim1)=1,IF(AND(YEAR(NovDim1+19)=AnnéeCalendrier,MONTH(NovDim1+19)=11),NovDim1+19,""),IF(AND(YEAR(NovDim1+26)=AnnéeCalendrier,MONTH(NovDim1+26)=11),NovDim1+26,""))</f>
        <v>47081</v>
      </c>
      <c r="O38" s="5">
        <f>IF(DAY(NovDim1)=1,IF(AND(YEAR(NovDim1+20)=AnnéeCalendrier,MONTH(NovDim1+20)=11),NovDim1+20,""),IF(AND(YEAR(NovDim1+27)=AnnéeCalendrier,MONTH(NovDim1+27)=11),NovDim1+27,""))</f>
        <v>47082</v>
      </c>
      <c r="P38" s="7">
        <f>IF(DAY(NovDim1)=1,IF(AND(YEAR(NovDim1+21)=AnnéeCalendrier,MONTH(NovDim1+21)=11),NovDim1+21,""),IF(AND(YEAR(NovDim1+28)=AnnéeCalendrier,MONTH(NovDim1+28)=11),NovDim1+28,""))</f>
        <v>47083</v>
      </c>
      <c r="R38" s="6">
        <f>IF(DAY(DécDim1)=1,IF(AND(YEAR(DécDim1+15)=AnnéeCalendrier,MONTH(DécDim1+15)=12),DécDim1+15,""),IF(AND(YEAR(DécDim1+22)=AnnéeCalendrier,MONTH(DécDim1+22)=12),DécDim1+22,""))</f>
        <v>47105</v>
      </c>
      <c r="S38" s="5">
        <f>IF(DAY(DécDim1)=1,IF(AND(YEAR(DécDim1+16)=AnnéeCalendrier,MONTH(DécDim1+16)=12),DécDim1+16,""),IF(AND(YEAR(DécDim1+23)=AnnéeCalendrier,MONTH(DécDim1+23)=12),DécDim1+23,""))</f>
        <v>47106</v>
      </c>
      <c r="T38" s="5">
        <f>IF(DAY(DécDim1)=1,IF(AND(YEAR(DécDim1+17)=AnnéeCalendrier,MONTH(DécDim1+17)=12),DécDim1+17,""),IF(AND(YEAR(DécDim1+24)=AnnéeCalendrier,MONTH(DécDim1+24)=12),DécDim1+24,""))</f>
        <v>47107</v>
      </c>
      <c r="U38" s="5">
        <f>IF(DAY(DécDim1)=1,IF(AND(YEAR(DécDim1+18)=AnnéeCalendrier,MONTH(DécDim1+18)=12),DécDim1+18,""),IF(AND(YEAR(DécDim1+25)=AnnéeCalendrier,MONTH(DécDim1+25)=12),DécDim1+25,""))</f>
        <v>47108</v>
      </c>
      <c r="V38" s="5">
        <f>IF(DAY(DécDim1)=1,IF(AND(YEAR(DécDim1+19)=AnnéeCalendrier,MONTH(DécDim1+19)=12),DécDim1+19,""),IF(AND(YEAR(DécDim1+26)=AnnéeCalendrier,MONTH(DécDim1+26)=12),DécDim1+26,""))</f>
        <v>47109</v>
      </c>
      <c r="W38" s="5">
        <f>IF(DAY(DécDim1)=1,IF(AND(YEAR(DécDim1+20)=AnnéeCalendrier,MONTH(DécDim1+20)=12),DécDim1+20,""),IF(AND(YEAR(DécDim1+27)=AnnéeCalendrier,MONTH(DécDim1+27)=12),DécDim1+27,""))</f>
        <v>47110</v>
      </c>
      <c r="X38" s="7">
        <f>IF(DAY(DécDim1)=1,IF(AND(YEAR(DécDim1+21)=AnnéeCalendrier,MONTH(DécDim1+21)=12),DécDim1+21,""),IF(AND(YEAR(DécDim1+28)=AnnéeCalendrier,MONTH(DécDim1+28)=12),DécDim1+28,""))</f>
        <v>47111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47049</v>
      </c>
      <c r="C39" s="5">
        <f>IF(DAY(OctDim1)=1,IF(AND(YEAR(OctDim1+23)=AnnéeCalendrier,MONTH(OctDim1+23)=10),OctDim1+23,""),IF(AND(YEAR(OctDim1+30)=AnnéeCalendrier,MONTH(OctDim1+30)=10),OctDim1+30,""))</f>
        <v>47050</v>
      </c>
      <c r="D39" s="5">
        <f>IF(DAY(OctDim1)=1,IF(AND(YEAR(OctDim1+24)=AnnéeCalendrier,MONTH(OctDim1+24)=10),OctDim1+24,""),IF(AND(YEAR(OctDim1+31)=AnnéeCalendrier,MONTH(OctDim1+31)=10),OctDim1+31,""))</f>
        <v>47051</v>
      </c>
      <c r="E39" s="5">
        <f>IF(DAY(OctDim1)=1,IF(AND(YEAR(OctDim1+25)=AnnéeCalendrier,MONTH(OctDim1+25)=10),OctDim1+25,""),IF(AND(YEAR(OctDim1+32)=AnnéeCalendrier,MONTH(OctDim1+32)=10),OctDim1+32,""))</f>
        <v>47052</v>
      </c>
      <c r="F39" s="5">
        <f>IF(DAY(OctDim1)=1,IF(AND(YEAR(OctDim1+26)=AnnéeCalendrier,MONTH(OctDim1+26)=10),OctDim1+26,""),IF(AND(YEAR(OctDim1+33)=AnnéeCalendrier,MONTH(OctDim1+33)=10),OctDim1+33,""))</f>
        <v>47053</v>
      </c>
      <c r="G39" s="5">
        <f>IF(DAY(OctDim1)=1,IF(AND(YEAR(OctDim1+27)=AnnéeCalendrier,MONTH(OctDim1+27)=10),OctDim1+27,""),IF(AND(YEAR(OctDim1+34)=AnnéeCalendrier,MONTH(OctDim1+34)=10),OctDim1+34,""))</f>
        <v>47054</v>
      </c>
      <c r="H39" s="7">
        <f>IF(DAY(OctDim1)=1,IF(AND(YEAR(OctDim1+28)=AnnéeCalendrier,MONTH(OctDim1+28)=10),OctDim1+28,""),IF(AND(YEAR(OctDim1+35)=AnnéeCalendrier,MONTH(OctDim1+35)=10),OctDim1+35,""))</f>
        <v>47055</v>
      </c>
      <c r="I39" s="4"/>
      <c r="J39" s="6">
        <f>IF(DAY(NovDim1)=1,IF(AND(YEAR(NovDim1+22)=AnnéeCalendrier,MONTH(NovDim1+22)=11),NovDim1+22,""),IF(AND(YEAR(NovDim1+29)=AnnéeCalendrier,MONTH(NovDim1+29)=11),NovDim1+29,""))</f>
        <v>47084</v>
      </c>
      <c r="K39" s="5">
        <f>IF(DAY(NovDim1)=1,IF(AND(YEAR(NovDim1+23)=AnnéeCalendrier,MONTH(NovDim1+23)=11),NovDim1+23,""),IF(AND(YEAR(NovDim1+30)=AnnéeCalendrier,MONTH(NovDim1+30)=11),NovDim1+30,""))</f>
        <v>47085</v>
      </c>
      <c r="L39" s="5">
        <f>IF(DAY(NovDim1)=1,IF(AND(YEAR(NovDim1+24)=AnnéeCalendrier,MONTH(NovDim1+24)=11),NovDim1+24,""),IF(AND(YEAR(NovDim1+31)=AnnéeCalendrier,MONTH(NovDim1+31)=11),NovDim1+31,""))</f>
        <v>47086</v>
      </c>
      <c r="M39" s="5">
        <f>IF(DAY(NovDim1)=1,IF(AND(YEAR(NovDim1+25)=AnnéeCalendrier,MONTH(NovDim1+25)=11),NovDim1+25,""),IF(AND(YEAR(NovDim1+32)=AnnéeCalendrier,MONTH(NovDim1+32)=11),NovDim1+32,""))</f>
        <v>47087</v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47112</v>
      </c>
      <c r="S39" s="5">
        <f>IF(DAY(DécDim1)=1,IF(AND(YEAR(DécDim1+23)=AnnéeCalendrier,MONTH(DécDim1+23)=12),DécDim1+23,""),IF(AND(YEAR(DécDim1+30)=AnnéeCalendrier,MONTH(DécDim1+30)=12),DécDim1+30,""))</f>
        <v>47113</v>
      </c>
      <c r="T39" s="5">
        <f>IF(DAY(DécDim1)=1,IF(AND(YEAR(DécDim1+24)=AnnéeCalendrier,MONTH(DécDim1+24)=12),DécDim1+24,""),IF(AND(YEAR(DécDim1+31)=AnnéeCalendrier,MONTH(DécDim1+31)=12),DécDim1+31,""))</f>
        <v>47114</v>
      </c>
      <c r="U39" s="5">
        <f>IF(DAY(DécDim1)=1,IF(AND(YEAR(DécDim1+25)=AnnéeCalendrier,MONTH(DécDim1+25)=12),DécDim1+25,""),IF(AND(YEAR(DécDim1+32)=AnnéeCalendrier,MONTH(DécDim1+32)=12),DécDim1+32,""))</f>
        <v>47115</v>
      </c>
      <c r="V39" s="5">
        <f>IF(DAY(DécDim1)=1,IF(AND(YEAR(DécDim1+26)=AnnéeCalendrier,MONTH(DécDim1+26)=12),DécDim1+26,""),IF(AND(YEAR(DécDim1+33)=AnnéeCalendrier,MONTH(DécDim1+33)=12),DécDim1+33,""))</f>
        <v>47116</v>
      </c>
      <c r="W39" s="5">
        <f>IF(DAY(DécDim1)=1,IF(AND(YEAR(DécDim1+27)=AnnéeCalendrier,MONTH(DécDim1+27)=12),DécDim1+27,""),IF(AND(YEAR(DécDim1+34)=AnnéeCalendrier,MONTH(DécDim1+34)=12),DécDim1+34,""))</f>
        <v>47117</v>
      </c>
      <c r="X39" s="7">
        <f>IF(DAY(DécDim1)=1,IF(AND(YEAR(DécDim1+28)=AnnéeCalendrier,MONTH(DécDim1+28)=12),DécDim1+28,""),IF(AND(YEAR(DécDim1+35)=AnnéeCalendrier,MONTH(DécDim1+35)=12),DécDim1+35,""))</f>
        <v>47118</v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47056</v>
      </c>
      <c r="C40" s="9">
        <f>IF(DAY(OctDim1)=1,IF(AND(YEAR(OctDim1+30)=AnnéeCalendrier,MONTH(OctDim1+30)=10),OctDim1+30,""),IF(AND(YEAR(OctDim1+37)=AnnéeCalendrier,MONTH(OctDim1+37)=10),OctDim1+37,""))</f>
        <v>47057</v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379" priority="1">
      <formula>LEN(TRIM(B8))&gt;0</formula>
    </cfRule>
  </conditionalFormatting>
  <conditionalFormatting sqref="J8:P13">
    <cfRule type="notContainsBlanks" dxfId="378" priority="2">
      <formula>LEN(TRIM(J8))&gt;0</formula>
    </cfRule>
  </conditionalFormatting>
  <conditionalFormatting sqref="R8:X13">
    <cfRule type="notContainsBlanks" dxfId="377" priority="3">
      <formula>LEN(TRIM(R8))&gt;0</formula>
    </cfRule>
  </conditionalFormatting>
  <conditionalFormatting sqref="B17:H22">
    <cfRule type="notContainsBlanks" dxfId="376" priority="4">
      <formula>LEN(TRIM(B17))&gt;0</formula>
    </cfRule>
  </conditionalFormatting>
  <conditionalFormatting sqref="J17:P22">
    <cfRule type="notContainsBlanks" dxfId="375" priority="5">
      <formula>LEN(TRIM(J17))&gt;0</formula>
    </cfRule>
  </conditionalFormatting>
  <conditionalFormatting sqref="R17:X22">
    <cfRule type="notContainsBlanks" dxfId="374" priority="6">
      <formula>LEN(TRIM(R17))&gt;0</formula>
    </cfRule>
  </conditionalFormatting>
  <conditionalFormatting sqref="R35:X40">
    <cfRule type="notContainsBlanks" dxfId="373" priority="12">
      <formula>LEN(TRIM(R35))&gt;0</formula>
    </cfRule>
  </conditionalFormatting>
  <conditionalFormatting sqref="B26:H31">
    <cfRule type="notContainsBlanks" dxfId="372" priority="7">
      <formula>LEN(TRIM(B26))&gt;0</formula>
    </cfRule>
  </conditionalFormatting>
  <conditionalFormatting sqref="J26:P31">
    <cfRule type="notContainsBlanks" dxfId="371" priority="8">
      <formula>LEN(TRIM(J26))&gt;0</formula>
    </cfRule>
  </conditionalFormatting>
  <conditionalFormatting sqref="R26:X31">
    <cfRule type="notContainsBlanks" dxfId="370" priority="9">
      <formula>LEN(TRIM(R26))&gt;0</formula>
    </cfRule>
  </conditionalFormatting>
  <conditionalFormatting sqref="B35:H40">
    <cfRule type="notContainsBlanks" dxfId="369" priority="10">
      <formula>LEN(TRIM(B35))&gt;0</formula>
    </cfRule>
  </conditionalFormatting>
  <conditionalFormatting sqref="J35:P40">
    <cfRule type="notContainsBlanks" dxfId="368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B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B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wsTCalendar13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2029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>
        <f>IF(DAY(JanDim1)=1,"",IF(AND(YEAR(JanDim1+1)=AnnéeCalendrier,MONTH(JanDim1+1)=1),JanDim1+1,""))</f>
        <v>47119</v>
      </c>
      <c r="C8" s="5">
        <f>IF(DAY(JanDim1)=1,"",IF(AND(YEAR(JanDim1+2)=AnnéeCalendrier,MONTH(JanDim1+2)=1),JanDim1+2,""))</f>
        <v>47120</v>
      </c>
      <c r="D8" s="5">
        <f>IF(DAY(JanDim1)=1,"",IF(AND(YEAR(JanDim1+3)=AnnéeCalendrier,MONTH(JanDim1+3)=1),JanDim1+3,""))</f>
        <v>47121</v>
      </c>
      <c r="E8" s="5">
        <f>IF(DAY(JanDim1)=1,"",IF(AND(YEAR(JanDim1+4)=AnnéeCalendrier,MONTH(JanDim1+4)=1),JanDim1+4,""))</f>
        <v>47122</v>
      </c>
      <c r="F8" s="5">
        <f>IF(DAY(JanDim1)=1,"",IF(AND(YEAR(JanDim1+5)=AnnéeCalendrier,MONTH(JanDim1+5)=1),JanDim1+5,""))</f>
        <v>47123</v>
      </c>
      <c r="G8" s="5">
        <f>IF(DAY(JanDim1)=1,"",IF(AND(YEAR(JanDim1+6)=AnnéeCalendrier,MONTH(JanDim1+6)=1),JanDim1+6,""))</f>
        <v>47124</v>
      </c>
      <c r="H8" s="5">
        <f>IF(DAY(JanDim1)=1,IF(AND(YEAR(JanDim1)=AnnéeCalendrier,MONTH(JanDim1)=1),JanDim1,""),IF(AND(YEAR(JanDim1+7)=AnnéeCalendrier,MONTH(JanDim1+7)=1),JanDim1+7,""))</f>
        <v>47125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>
        <f>IF(DAY(FévDim1)=1,"",IF(AND(YEAR(FévDim1+4)=AnnéeCalendrier,MONTH(FévDim1+4)=2),FévDim1+4,""))</f>
        <v>47150</v>
      </c>
      <c r="N8" s="5">
        <f>IF(DAY(FévDim1)=1,"",IF(AND(YEAR(FévDim1+5)=AnnéeCalendrier,MONTH(FévDim1+5)=2),FévDim1+5,""))</f>
        <v>47151</v>
      </c>
      <c r="O8" s="5">
        <f>IF(DAY(FévDim1)=1,"",IF(AND(YEAR(FévDim1+6)=AnnéeCalendrier,MONTH(FévDim1+6)=2),FévDim1+6,""))</f>
        <v>47152</v>
      </c>
      <c r="P8" s="5">
        <f>IF(DAY(FévDim1)=1,IF(AND(YEAR(FévDim1)=AnnéeCalendrier,MONTH(FévDim1)=2),FévDim1,""),IF(AND(YEAR(FévDim1+7)=AnnéeCalendrier,MONTH(FévDim1+7)=2),FévDim1+7,""))</f>
        <v>47153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>
        <f>IF(DAY(MarDim1)=1,"",IF(AND(YEAR(MarDim1+4)=AnnéeCalendrier,MONTH(MarDim1+4)=3),MarDim1+4,""))</f>
        <v>47178</v>
      </c>
      <c r="V8" s="5">
        <f>IF(DAY(MarDim1)=1,"",IF(AND(YEAR(MarDim1+5)=AnnéeCalendrier,MONTH(MarDim1+5)=3),MarDim1+5,""))</f>
        <v>47179</v>
      </c>
      <c r="W8" s="5">
        <f>IF(DAY(MarDim1)=1,"",IF(AND(YEAR(MarDim1+6)=AnnéeCalendrier,MONTH(MarDim1+6)=3),MarDim1+6,""))</f>
        <v>47180</v>
      </c>
      <c r="X8" s="5">
        <f>IF(DAY(MarDim1)=1,IF(AND(YEAR(MarDim1)=AnnéeCalendrier,MONTH(MarDim1)=3),MarDim1,""),IF(AND(YEAR(MarDim1+7)=AnnéeCalendrier,MONTH(MarDim1+7)=3),MarDim1+7,""))</f>
        <v>47181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47126</v>
      </c>
      <c r="C9" s="5">
        <f>IF(DAY(JanDim1)=1,IF(AND(YEAR(JanDim1+2)=AnnéeCalendrier,MONTH(JanDim1+2)=1),JanDim1+2,""),IF(AND(YEAR(JanDim1+9)=AnnéeCalendrier,MONTH(JanDim1+9)=1),JanDim1+9,""))</f>
        <v>47127</v>
      </c>
      <c r="D9" s="5">
        <f>IF(DAY(JanDim1)=1,IF(AND(YEAR(JanDim1+3)=AnnéeCalendrier,MONTH(JanDim1+3)=1),JanDim1+3,""),IF(AND(YEAR(JanDim1+10)=AnnéeCalendrier,MONTH(JanDim1+10)=1),JanDim1+10,""))</f>
        <v>47128</v>
      </c>
      <c r="E9" s="5">
        <f>IF(DAY(JanDim1)=1,IF(AND(YEAR(JanDim1+4)=AnnéeCalendrier,MONTH(JanDim1+4)=1),JanDim1+4,""),IF(AND(YEAR(JanDim1+11)=AnnéeCalendrier,MONTH(JanDim1+11)=1),JanDim1+11,""))</f>
        <v>47129</v>
      </c>
      <c r="F9" s="5">
        <f>IF(DAY(JanDim1)=1,IF(AND(YEAR(JanDim1+5)=AnnéeCalendrier,MONTH(JanDim1+5)=1),JanDim1+5,""),IF(AND(YEAR(JanDim1+12)=AnnéeCalendrier,MONTH(JanDim1+12)=1),JanDim1+12,""))</f>
        <v>47130</v>
      </c>
      <c r="G9" s="5">
        <f>IF(DAY(JanDim1)=1,IF(AND(YEAR(JanDim1+6)=AnnéeCalendrier,MONTH(JanDim1+6)=1),JanDim1+6,""),IF(AND(YEAR(JanDim1+13)=AnnéeCalendrier,MONTH(JanDim1+13)=1),JanDim1+13,""))</f>
        <v>47131</v>
      </c>
      <c r="H9" s="5">
        <f>IF(DAY(JanDim1)=1,IF(AND(YEAR(JanDim1+7)=AnnéeCalendrier,MONTH(JanDim1+7)=1),JanDim1+7,""),IF(AND(YEAR(JanDim1+14)=AnnéeCalendrier,MONTH(JanDim1+14)=1),JanDim1+14,""))</f>
        <v>47132</v>
      </c>
      <c r="I9" s="4"/>
      <c r="J9" s="5">
        <f>IF(DAY(FévDim1)=1,IF(AND(YEAR(FévDim1+1)=AnnéeCalendrier,MONTH(FévDim1+1)=2),FévDim1+1,""),IF(AND(YEAR(FévDim1+8)=AnnéeCalendrier,MONTH(FévDim1+8)=2),FévDim1+8,""))</f>
        <v>47154</v>
      </c>
      <c r="K9" s="5">
        <f>IF(DAY(FévDim1)=1,IF(AND(YEAR(FévDim1+2)=AnnéeCalendrier,MONTH(FévDim1+2)=2),FévDim1+2,""),IF(AND(YEAR(FévDim1+9)=AnnéeCalendrier,MONTH(FévDim1+9)=2),FévDim1+9,""))</f>
        <v>47155</v>
      </c>
      <c r="L9" s="5">
        <f>IF(DAY(FévDim1)=1,IF(AND(YEAR(FévDim1+3)=AnnéeCalendrier,MONTH(FévDim1+3)=2),FévDim1+3,""),IF(AND(YEAR(FévDim1+10)=AnnéeCalendrier,MONTH(FévDim1+10)=2),FévDim1+10,""))</f>
        <v>47156</v>
      </c>
      <c r="M9" s="5">
        <f>IF(DAY(FévDim1)=1,IF(AND(YEAR(FévDim1+4)=AnnéeCalendrier,MONTH(FévDim1+4)=2),FévDim1+4,""),IF(AND(YEAR(FévDim1+11)=AnnéeCalendrier,MONTH(FévDim1+11)=2),FévDim1+11,""))</f>
        <v>47157</v>
      </c>
      <c r="N9" s="5">
        <f>IF(DAY(FévDim1)=1,IF(AND(YEAR(FévDim1+5)=AnnéeCalendrier,MONTH(FévDim1+5)=2),FévDim1+5,""),IF(AND(YEAR(FévDim1+12)=AnnéeCalendrier,MONTH(FévDim1+12)=2),FévDim1+12,""))</f>
        <v>47158</v>
      </c>
      <c r="O9" s="5">
        <f>IF(DAY(FévDim1)=1,IF(AND(YEAR(FévDim1+6)=AnnéeCalendrier,MONTH(FévDim1+6)=2),FévDim1+6,""),IF(AND(YEAR(FévDim1+13)=AnnéeCalendrier,MONTH(FévDim1+13)=2),FévDim1+13,""))</f>
        <v>47159</v>
      </c>
      <c r="P9" s="5">
        <f>IF(DAY(FévDim1)=1,IF(AND(YEAR(FévDim1+7)=AnnéeCalendrier,MONTH(FévDim1+7)=2),FévDim1+7,""),IF(AND(YEAR(FévDim1+14)=AnnéeCalendrier,MONTH(FévDim1+14)=2),FévDim1+14,""))</f>
        <v>47160</v>
      </c>
      <c r="Q9" s="4"/>
      <c r="R9" s="5">
        <f>IF(DAY(MarDim1)=1,IF(AND(YEAR(MarDim1+1)=AnnéeCalendrier,MONTH(MarDim1+1)=3),MarDim1+1,""),IF(AND(YEAR(MarDim1+8)=AnnéeCalendrier,MONTH(MarDim1+8)=3),MarDim1+8,""))</f>
        <v>47182</v>
      </c>
      <c r="S9" s="5">
        <f>IF(DAY(MarDim1)=1,IF(AND(YEAR(MarDim1+2)=AnnéeCalendrier,MONTH(MarDim1+2)=3),MarDim1+2,""),IF(AND(YEAR(MarDim1+9)=AnnéeCalendrier,MONTH(MarDim1+9)=3),MarDim1+9,""))</f>
        <v>47183</v>
      </c>
      <c r="T9" s="5">
        <f>IF(DAY(MarDim1)=1,IF(AND(YEAR(MarDim1+3)=AnnéeCalendrier,MONTH(MarDim1+3)=3),MarDim1+3,""),IF(AND(YEAR(MarDim1+10)=AnnéeCalendrier,MONTH(MarDim1+10)=3),MarDim1+10,""))</f>
        <v>47184</v>
      </c>
      <c r="U9" s="5">
        <f>IF(DAY(MarDim1)=1,IF(AND(YEAR(MarDim1+4)=AnnéeCalendrier,MONTH(MarDim1+4)=3),MarDim1+4,""),IF(AND(YEAR(MarDim1+11)=AnnéeCalendrier,MONTH(MarDim1+11)=3),MarDim1+11,""))</f>
        <v>47185</v>
      </c>
      <c r="V9" s="5">
        <f>IF(DAY(MarDim1)=1,IF(AND(YEAR(MarDim1+5)=AnnéeCalendrier,MONTH(MarDim1+5)=3),MarDim1+5,""),IF(AND(YEAR(MarDim1+12)=AnnéeCalendrier,MONTH(MarDim1+12)=3),MarDim1+12,""))</f>
        <v>47186</v>
      </c>
      <c r="W9" s="5">
        <f>IF(DAY(MarDim1)=1,IF(AND(YEAR(MarDim1+6)=AnnéeCalendrier,MONTH(MarDim1+6)=3),MarDim1+6,""),IF(AND(YEAR(MarDim1+13)=AnnéeCalendrier,MONTH(MarDim1+13)=3),MarDim1+13,""))</f>
        <v>47187</v>
      </c>
      <c r="X9" s="5">
        <f>IF(DAY(MarDim1)=1,IF(AND(YEAR(MarDim1+7)=AnnéeCalendrier,MONTH(MarDim1+7)=3),MarDim1+7,""),IF(AND(YEAR(MarDim1+14)=AnnéeCalendrier,MONTH(MarDim1+14)=3),MarDim1+14,""))</f>
        <v>47188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47133</v>
      </c>
      <c r="C10" s="5">
        <f>IF(DAY(JanDim1)=1,IF(AND(YEAR(JanDim1+9)=AnnéeCalendrier,MONTH(JanDim1+9)=1),JanDim1+9,""),IF(AND(YEAR(JanDim1+16)=AnnéeCalendrier,MONTH(JanDim1+16)=1),JanDim1+16,""))</f>
        <v>47134</v>
      </c>
      <c r="D10" s="5">
        <f>IF(DAY(JanDim1)=1,IF(AND(YEAR(JanDim1+10)=AnnéeCalendrier,MONTH(JanDim1+10)=1),JanDim1+10,""),IF(AND(YEAR(JanDim1+17)=AnnéeCalendrier,MONTH(JanDim1+17)=1),JanDim1+17,""))</f>
        <v>47135</v>
      </c>
      <c r="E10" s="5">
        <f>IF(DAY(JanDim1)=1,IF(AND(YEAR(JanDim1+11)=AnnéeCalendrier,MONTH(JanDim1+11)=1),JanDim1+11,""),IF(AND(YEAR(JanDim1+18)=AnnéeCalendrier,MONTH(JanDim1+18)=1),JanDim1+18,""))</f>
        <v>47136</v>
      </c>
      <c r="F10" s="5">
        <f>IF(DAY(JanDim1)=1,IF(AND(YEAR(JanDim1+12)=AnnéeCalendrier,MONTH(JanDim1+12)=1),JanDim1+12,""),IF(AND(YEAR(JanDim1+19)=AnnéeCalendrier,MONTH(JanDim1+19)=1),JanDim1+19,""))</f>
        <v>47137</v>
      </c>
      <c r="G10" s="5">
        <f>IF(DAY(JanDim1)=1,IF(AND(YEAR(JanDim1+13)=AnnéeCalendrier,MONTH(JanDim1+13)=1),JanDim1+13,""),IF(AND(YEAR(JanDim1+20)=AnnéeCalendrier,MONTH(JanDim1+20)=1),JanDim1+20,""))</f>
        <v>47138</v>
      </c>
      <c r="H10" s="5">
        <f>IF(DAY(JanDim1)=1,IF(AND(YEAR(JanDim1+14)=AnnéeCalendrier,MONTH(JanDim1+14)=1),JanDim1+14,""),IF(AND(YEAR(JanDim1+21)=AnnéeCalendrier,MONTH(JanDim1+21)=1),JanDim1+21,""))</f>
        <v>47139</v>
      </c>
      <c r="I10" s="4"/>
      <c r="J10" s="5">
        <f>IF(DAY(FévDim1)=1,IF(AND(YEAR(FévDim1+8)=AnnéeCalendrier,MONTH(FévDim1+8)=2),FévDim1+8,""),IF(AND(YEAR(FévDim1+15)=AnnéeCalendrier,MONTH(FévDim1+15)=2),FévDim1+15,""))</f>
        <v>47161</v>
      </c>
      <c r="K10" s="5">
        <f>IF(DAY(FévDim1)=1,IF(AND(YEAR(FévDim1+9)=AnnéeCalendrier,MONTH(FévDim1+9)=2),FévDim1+9,""),IF(AND(YEAR(FévDim1+16)=AnnéeCalendrier,MONTH(FévDim1+16)=2),FévDim1+16,""))</f>
        <v>47162</v>
      </c>
      <c r="L10" s="5">
        <f>IF(DAY(FévDim1)=1,IF(AND(YEAR(FévDim1+10)=AnnéeCalendrier,MONTH(FévDim1+10)=2),FévDim1+10,""),IF(AND(YEAR(FévDim1+17)=AnnéeCalendrier,MONTH(FévDim1+17)=2),FévDim1+17,""))</f>
        <v>47163</v>
      </c>
      <c r="M10" s="5">
        <f>IF(DAY(FévDim1)=1,IF(AND(YEAR(FévDim1+11)=AnnéeCalendrier,MONTH(FévDim1+11)=2),FévDim1+11,""),IF(AND(YEAR(FévDim1+18)=AnnéeCalendrier,MONTH(FévDim1+18)=2),FévDim1+18,""))</f>
        <v>47164</v>
      </c>
      <c r="N10" s="5">
        <f>IF(DAY(FévDim1)=1,IF(AND(YEAR(FévDim1+12)=AnnéeCalendrier,MONTH(FévDim1+12)=2),FévDim1+12,""),IF(AND(YEAR(FévDim1+19)=AnnéeCalendrier,MONTH(FévDim1+19)=2),FévDim1+19,""))</f>
        <v>47165</v>
      </c>
      <c r="O10" s="5">
        <f>IF(DAY(FévDim1)=1,IF(AND(YEAR(FévDim1+13)=AnnéeCalendrier,MONTH(FévDim1+13)=2),FévDim1+13,""),IF(AND(YEAR(FévDim1+20)=AnnéeCalendrier,MONTH(FévDim1+20)=2),FévDim1+20,""))</f>
        <v>47166</v>
      </c>
      <c r="P10" s="5">
        <f>IF(DAY(FévDim1)=1,IF(AND(YEAR(FévDim1+14)=AnnéeCalendrier,MONTH(FévDim1+14)=2),FévDim1+14,""),IF(AND(YEAR(FévDim1+21)=AnnéeCalendrier,MONTH(FévDim1+21)=2),FévDim1+21,""))</f>
        <v>47167</v>
      </c>
      <c r="Q10" s="4"/>
      <c r="R10" s="5">
        <f>IF(DAY(MarDim1)=1,IF(AND(YEAR(MarDim1+8)=AnnéeCalendrier,MONTH(MarDim1+8)=3),MarDim1+8,""),IF(AND(YEAR(MarDim1+15)=AnnéeCalendrier,MONTH(MarDim1+15)=3),MarDim1+15,""))</f>
        <v>47189</v>
      </c>
      <c r="S10" s="5">
        <f>IF(DAY(MarDim1)=1,IF(AND(YEAR(MarDim1+9)=AnnéeCalendrier,MONTH(MarDim1+9)=3),MarDim1+9,""),IF(AND(YEAR(MarDim1+16)=AnnéeCalendrier,MONTH(MarDim1+16)=3),MarDim1+16,""))</f>
        <v>47190</v>
      </c>
      <c r="T10" s="5">
        <f>IF(DAY(MarDim1)=1,IF(AND(YEAR(MarDim1+10)=AnnéeCalendrier,MONTH(MarDim1+10)=3),MarDim1+10,""),IF(AND(YEAR(MarDim1+17)=AnnéeCalendrier,MONTH(MarDim1+17)=3),MarDim1+17,""))</f>
        <v>47191</v>
      </c>
      <c r="U10" s="5">
        <f>IF(DAY(MarDim1)=1,IF(AND(YEAR(MarDim1+11)=AnnéeCalendrier,MONTH(MarDim1+11)=3),MarDim1+11,""),IF(AND(YEAR(MarDim1+18)=AnnéeCalendrier,MONTH(MarDim1+18)=3),MarDim1+18,""))</f>
        <v>47192</v>
      </c>
      <c r="V10" s="5">
        <f>IF(DAY(MarDim1)=1,IF(AND(YEAR(MarDim1+12)=AnnéeCalendrier,MONTH(MarDim1+12)=3),MarDim1+12,""),IF(AND(YEAR(MarDim1+19)=AnnéeCalendrier,MONTH(MarDim1+19)=3),MarDim1+19,""))</f>
        <v>47193</v>
      </c>
      <c r="W10" s="5">
        <f>IF(DAY(MarDim1)=1,IF(AND(YEAR(MarDim1+13)=AnnéeCalendrier,MONTH(MarDim1+13)=3),MarDim1+13,""),IF(AND(YEAR(MarDim1+20)=AnnéeCalendrier,MONTH(MarDim1+20)=3),MarDim1+20,""))</f>
        <v>47194</v>
      </c>
      <c r="X10" s="5">
        <f>IF(DAY(MarDim1)=1,IF(AND(YEAR(MarDim1+14)=AnnéeCalendrier,MONTH(MarDim1+14)=3),MarDim1+14,""),IF(AND(YEAR(MarDim1+21)=AnnéeCalendrier,MONTH(MarDim1+21)=3),MarDim1+21,""))</f>
        <v>47195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47140</v>
      </c>
      <c r="C11" s="5">
        <f>IF(DAY(JanDim1)=1,IF(AND(YEAR(JanDim1+16)=AnnéeCalendrier,MONTH(JanDim1+16)=1),JanDim1+16,""),IF(AND(YEAR(JanDim1+23)=AnnéeCalendrier,MONTH(JanDim1+23)=1),JanDim1+23,""))</f>
        <v>47141</v>
      </c>
      <c r="D11" s="5">
        <f>IF(DAY(JanDim1)=1,IF(AND(YEAR(JanDim1+17)=AnnéeCalendrier,MONTH(JanDim1+17)=1),JanDim1+17,""),IF(AND(YEAR(JanDim1+24)=AnnéeCalendrier,MONTH(JanDim1+24)=1),JanDim1+24,""))</f>
        <v>47142</v>
      </c>
      <c r="E11" s="5">
        <f>IF(DAY(JanDim1)=1,IF(AND(YEAR(JanDim1+18)=AnnéeCalendrier,MONTH(JanDim1+18)=1),JanDim1+18,""),IF(AND(YEAR(JanDim1+25)=AnnéeCalendrier,MONTH(JanDim1+25)=1),JanDim1+25,""))</f>
        <v>47143</v>
      </c>
      <c r="F11" s="5">
        <f>IF(DAY(JanDim1)=1,IF(AND(YEAR(JanDim1+19)=AnnéeCalendrier,MONTH(JanDim1+19)=1),JanDim1+19,""),IF(AND(YEAR(JanDim1+26)=AnnéeCalendrier,MONTH(JanDim1+26)=1),JanDim1+26,""))</f>
        <v>47144</v>
      </c>
      <c r="G11" s="5">
        <f>IF(DAY(JanDim1)=1,IF(AND(YEAR(JanDim1+20)=AnnéeCalendrier,MONTH(JanDim1+20)=1),JanDim1+20,""),IF(AND(YEAR(JanDim1+27)=AnnéeCalendrier,MONTH(JanDim1+27)=1),JanDim1+27,""))</f>
        <v>47145</v>
      </c>
      <c r="H11" s="5">
        <f>IF(DAY(JanDim1)=1,IF(AND(YEAR(JanDim1+21)=AnnéeCalendrier,MONTH(JanDim1+21)=1),JanDim1+21,""),IF(AND(YEAR(JanDim1+28)=AnnéeCalendrier,MONTH(JanDim1+28)=1),JanDim1+28,""))</f>
        <v>47146</v>
      </c>
      <c r="I11" s="4"/>
      <c r="J11" s="5">
        <f>IF(DAY(FévDim1)=1,IF(AND(YEAR(FévDim1+15)=AnnéeCalendrier,MONTH(FévDim1+15)=2),FévDim1+15,""),IF(AND(YEAR(FévDim1+22)=AnnéeCalendrier,MONTH(FévDim1+22)=2),FévDim1+22,""))</f>
        <v>47168</v>
      </c>
      <c r="K11" s="5">
        <f>IF(DAY(FévDim1)=1,IF(AND(YEAR(FévDim1+16)=AnnéeCalendrier,MONTH(FévDim1+16)=2),FévDim1+16,""),IF(AND(YEAR(FévDim1+23)=AnnéeCalendrier,MONTH(FévDim1+23)=2),FévDim1+23,""))</f>
        <v>47169</v>
      </c>
      <c r="L11" s="5">
        <f>IF(DAY(FévDim1)=1,IF(AND(YEAR(FévDim1+17)=AnnéeCalendrier,MONTH(FévDim1+17)=2),FévDim1+17,""),IF(AND(YEAR(FévDim1+24)=AnnéeCalendrier,MONTH(FévDim1+24)=2),FévDim1+24,""))</f>
        <v>47170</v>
      </c>
      <c r="M11" s="5">
        <f>IF(DAY(FévDim1)=1,IF(AND(YEAR(FévDim1+18)=AnnéeCalendrier,MONTH(FévDim1+18)=2),FévDim1+18,""),IF(AND(YEAR(FévDim1+25)=AnnéeCalendrier,MONTH(FévDim1+25)=2),FévDim1+25,""))</f>
        <v>47171</v>
      </c>
      <c r="N11" s="5">
        <f>IF(DAY(FévDim1)=1,IF(AND(YEAR(FévDim1+19)=AnnéeCalendrier,MONTH(FévDim1+19)=2),FévDim1+19,""),IF(AND(YEAR(FévDim1+26)=AnnéeCalendrier,MONTH(FévDim1+26)=2),FévDim1+26,""))</f>
        <v>47172</v>
      </c>
      <c r="O11" s="5">
        <f>IF(DAY(FévDim1)=1,IF(AND(YEAR(FévDim1+20)=AnnéeCalendrier,MONTH(FévDim1+20)=2),FévDim1+20,""),IF(AND(YEAR(FévDim1+27)=AnnéeCalendrier,MONTH(FévDim1+27)=2),FévDim1+27,""))</f>
        <v>47173</v>
      </c>
      <c r="P11" s="5">
        <f>IF(DAY(FévDim1)=1,IF(AND(YEAR(FévDim1+21)=AnnéeCalendrier,MONTH(FévDim1+21)=2),FévDim1+21,""),IF(AND(YEAR(FévDim1+28)=AnnéeCalendrier,MONTH(FévDim1+28)=2),FévDim1+28,""))</f>
        <v>47174</v>
      </c>
      <c r="Q11" s="4"/>
      <c r="R11" s="5">
        <f>IF(DAY(MarDim1)=1,IF(AND(YEAR(MarDim1+15)=AnnéeCalendrier,MONTH(MarDim1+15)=3),MarDim1+15,""),IF(AND(YEAR(MarDim1+22)=AnnéeCalendrier,MONTH(MarDim1+22)=3),MarDim1+22,""))</f>
        <v>47196</v>
      </c>
      <c r="S11" s="5">
        <f>IF(DAY(MarDim1)=1,IF(AND(YEAR(MarDim1+16)=AnnéeCalendrier,MONTH(MarDim1+16)=3),MarDim1+16,""),IF(AND(YEAR(MarDim1+23)=AnnéeCalendrier,MONTH(MarDim1+23)=3),MarDim1+23,""))</f>
        <v>47197</v>
      </c>
      <c r="T11" s="5">
        <f>IF(DAY(MarDim1)=1,IF(AND(YEAR(MarDim1+17)=AnnéeCalendrier,MONTH(MarDim1+17)=3),MarDim1+17,""),IF(AND(YEAR(MarDim1+24)=AnnéeCalendrier,MONTH(MarDim1+24)=3),MarDim1+24,""))</f>
        <v>47198</v>
      </c>
      <c r="U11" s="5">
        <f>IF(DAY(MarDim1)=1,IF(AND(YEAR(MarDim1+18)=AnnéeCalendrier,MONTH(MarDim1+18)=3),MarDim1+18,""),IF(AND(YEAR(MarDim1+25)=AnnéeCalendrier,MONTH(MarDim1+25)=3),MarDim1+25,""))</f>
        <v>47199</v>
      </c>
      <c r="V11" s="5">
        <f>IF(DAY(MarDim1)=1,IF(AND(YEAR(MarDim1+19)=AnnéeCalendrier,MONTH(MarDim1+19)=3),MarDim1+19,""),IF(AND(YEAR(MarDim1+26)=AnnéeCalendrier,MONTH(MarDim1+26)=3),MarDim1+26,""))</f>
        <v>47200</v>
      </c>
      <c r="W11" s="5">
        <f>IF(DAY(MarDim1)=1,IF(AND(YEAR(MarDim1+20)=AnnéeCalendrier,MONTH(MarDim1+20)=3),MarDim1+20,""),IF(AND(YEAR(MarDim1+27)=AnnéeCalendrier,MONTH(MarDim1+27)=3),MarDim1+27,""))</f>
        <v>47201</v>
      </c>
      <c r="X11" s="5">
        <f>IF(DAY(MarDim1)=1,IF(AND(YEAR(MarDim1+21)=AnnéeCalendrier,MONTH(MarDim1+21)=3),MarDim1+21,""),IF(AND(YEAR(MarDim1+28)=AnnéeCalendrier,MONTH(MarDim1+28)=3),MarDim1+28,""))</f>
        <v>47202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47147</v>
      </c>
      <c r="C12" s="5">
        <f>IF(DAY(JanDim1)=1,IF(AND(YEAR(JanDim1+23)=AnnéeCalendrier,MONTH(JanDim1+23)=1),JanDim1+23,""),IF(AND(YEAR(JanDim1+30)=AnnéeCalendrier,MONTH(JanDim1+30)=1),JanDim1+30,""))</f>
        <v>47148</v>
      </c>
      <c r="D12" s="5">
        <f>IF(DAY(JanDim1)=1,IF(AND(YEAR(JanDim1+24)=AnnéeCalendrier,MONTH(JanDim1+24)=1),JanDim1+24,""),IF(AND(YEAR(JanDim1+31)=AnnéeCalendrier,MONTH(JanDim1+31)=1),JanDim1+31,""))</f>
        <v>47149</v>
      </c>
      <c r="E12" s="5" t="str">
        <f>IF(DAY(JanDim1)=1,IF(AND(YEAR(JanDim1+25)=AnnéeCalendrier,MONTH(JanDim1+25)=1),JanDim1+25,""),IF(AND(YEAR(JanDim1+32)=AnnéeCalendrier,MONTH(JanDim1+32)=1),JanDim1+32,""))</f>
        <v/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47175</v>
      </c>
      <c r="K12" s="5">
        <f>IF(DAY(FévDim1)=1,IF(AND(YEAR(FévDim1+23)=AnnéeCalendrier,MONTH(FévDim1+23)=2),FévDim1+23,""),IF(AND(YEAR(FévDim1+30)=AnnéeCalendrier,MONTH(FévDim1+30)=2),FévDim1+30,""))</f>
        <v>47176</v>
      </c>
      <c r="L12" s="5">
        <f>IF(DAY(FévDim1)=1,IF(AND(YEAR(FévDim1+24)=AnnéeCalendrier,MONTH(FévDim1+24)=2),FévDim1+24,""),IF(AND(YEAR(FévDim1+31)=AnnéeCalendrier,MONTH(FévDim1+31)=2),FévDim1+31,""))</f>
        <v>47177</v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47203</v>
      </c>
      <c r="S12" s="5">
        <f>IF(DAY(MarDim1)=1,IF(AND(YEAR(MarDim1+23)=AnnéeCalendrier,MONTH(MarDim1+23)=3),MarDim1+23,""),IF(AND(YEAR(MarDim1+30)=AnnéeCalendrier,MONTH(MarDim1+30)=3),MarDim1+30,""))</f>
        <v>47204</v>
      </c>
      <c r="T12" s="5">
        <f>IF(DAY(MarDim1)=1,IF(AND(YEAR(MarDim1+24)=AnnéeCalendrier,MONTH(MarDim1+24)=3),MarDim1+24,""),IF(AND(YEAR(MarDim1+31)=AnnéeCalendrier,MONTH(MarDim1+31)=3),MarDim1+31,""))</f>
        <v>47205</v>
      </c>
      <c r="U12" s="5">
        <f>IF(DAY(MarDim1)=1,IF(AND(YEAR(MarDim1+25)=AnnéeCalendrier,MONTH(MarDim1+25)=3),MarDim1+25,""),IF(AND(YEAR(MarDim1+32)=AnnéeCalendrier,MONTH(MarDim1+32)=3),MarDim1+32,""))</f>
        <v>47206</v>
      </c>
      <c r="V12" s="5">
        <f>IF(DAY(MarDim1)=1,IF(AND(YEAR(MarDim1+26)=AnnéeCalendrier,MONTH(MarDim1+26)=3),MarDim1+26,""),IF(AND(YEAR(MarDim1+33)=AnnéeCalendrier,MONTH(MarDim1+33)=3),MarDim1+33,""))</f>
        <v>47207</v>
      </c>
      <c r="W12" s="5">
        <f>IF(DAY(MarDim1)=1,IF(AND(YEAR(MarDim1+27)=AnnéeCalendrier,MONTH(MarDim1+27)=3),MarDim1+27,""),IF(AND(YEAR(MarDim1+34)=AnnéeCalendrier,MONTH(MarDim1+34)=3),MarDim1+34,""))</f>
        <v>47208</v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 t="str">
        <f>IF(DAY(AvrDim1)=1,"",IF(AND(YEAR(AvrDim1+6)=AnnéeCalendrier,MONTH(AvrDim1+6)=4),AvrDim1+6,""))</f>
        <v/>
      </c>
      <c r="H17" s="7">
        <f>IF(DAY(AvrDim1)=1,IF(AND(YEAR(AvrDim1)=AnnéeCalendrier,MONTH(AvrDim1)=4),AvrDim1,""),IF(AND(YEAR(AvrDim1+7)=AnnéeCalendrier,MONTH(AvrDim1+7)=4),AvrDim1+7,""))</f>
        <v>47209</v>
      </c>
      <c r="I17" s="4"/>
      <c r="J17" s="6" t="str">
        <f>IF(DAY(MaiDim1)=1,"",IF(AND(YEAR(MaiDim1+1)=AnnéeCalendrier,MONTH(MaiDim1+1)=5),MaiDim1+1,""))</f>
        <v/>
      </c>
      <c r="K17" s="5">
        <f>IF(DAY(MaiDim1)=1,"",IF(AND(YEAR(MaiDim1+2)=AnnéeCalendrier,MONTH(MaiDim1+2)=5),MaiDim1+2,""))</f>
        <v>47239</v>
      </c>
      <c r="L17" s="5">
        <f>IF(DAY(MaiDim1)=1,"",IF(AND(YEAR(MaiDim1+3)=AnnéeCalendrier,MONTH(MaiDim1+3)=5),MaiDim1+3,""))</f>
        <v>47240</v>
      </c>
      <c r="M17" s="5">
        <f>IF(DAY(MaiDim1)=1,"",IF(AND(YEAR(MaiDim1+4)=AnnéeCalendrier,MONTH(MaiDim1+4)=5),MaiDim1+4,""))</f>
        <v>47241</v>
      </c>
      <c r="N17" s="5">
        <f>IF(DAY(MaiDim1)=1,"",IF(AND(YEAR(MaiDim1+5)=AnnéeCalendrier,MONTH(MaiDim1+5)=5),MaiDim1+5,""))</f>
        <v>47242</v>
      </c>
      <c r="O17" s="5">
        <f>IF(DAY(MaiDim1)=1,"",IF(AND(YEAR(MaiDim1+6)=AnnéeCalendrier,MONTH(MaiDim1+6)=5),MaiDim1+6,""))</f>
        <v>47243</v>
      </c>
      <c r="P17" s="7">
        <f>IF(DAY(MaiDim1)=1,IF(AND(YEAR(MaiDim1)=AnnéeCalendrier,MONTH(MaiDim1)=5),MaiDim1,""),IF(AND(YEAR(MaiDim1+7)=AnnéeCalendrier,MONTH(MaiDim1+7)=5),MaiDim1+7,""))</f>
        <v>47244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>
        <f>IF(DAY(JunDim1)=1,"",IF(AND(YEAR(JunDim1+5)=AnnéeCalendrier,MONTH(JunDim1+5)=6),JunDim1+5,""))</f>
        <v>47270</v>
      </c>
      <c r="W17" s="5">
        <f>IF(DAY(JunDim1)=1,"",IF(AND(YEAR(JunDim1+6)=AnnéeCalendrier,MONTH(JunDim1+6)=6),JunDim1+6,""))</f>
        <v>47271</v>
      </c>
      <c r="X17" s="7">
        <f>IF(DAY(JunDim1)=1,IF(AND(YEAR(JunDim1)=AnnéeCalendrier,MONTH(JunDim1)=6),JunDim1,""),IF(AND(YEAR(JunDim1+7)=AnnéeCalendrier,MONTH(JunDim1+7)=6),JunDim1+7,""))</f>
        <v>47272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47210</v>
      </c>
      <c r="C18" s="5">
        <f>IF(DAY(AvrDim1)=1,IF(AND(YEAR(AvrDim1+2)=AnnéeCalendrier,MONTH(AvrDim1+2)=4),AvrDim1+2,""),IF(AND(YEAR(AvrDim1+9)=AnnéeCalendrier,MONTH(AvrDim1+9)=4),AvrDim1+9,""))</f>
        <v>47211</v>
      </c>
      <c r="D18" s="5">
        <f>IF(DAY(AvrDim1)=1,IF(AND(YEAR(AvrDim1+3)=AnnéeCalendrier,MONTH(AvrDim1+3)=4),AvrDim1+3,""),IF(AND(YEAR(AvrDim1+10)=AnnéeCalendrier,MONTH(AvrDim1+10)=4),AvrDim1+10,""))</f>
        <v>47212</v>
      </c>
      <c r="E18" s="5">
        <f>IF(DAY(AvrDim1)=1,IF(AND(YEAR(AvrDim1+4)=AnnéeCalendrier,MONTH(AvrDim1+4)=4),AvrDim1+4,""),IF(AND(YEAR(AvrDim1+11)=AnnéeCalendrier,MONTH(AvrDim1+11)=4),AvrDim1+11,""))</f>
        <v>47213</v>
      </c>
      <c r="F18" s="5">
        <f>IF(DAY(AvrDim1)=1,IF(AND(YEAR(AvrDim1+5)=AnnéeCalendrier,MONTH(AvrDim1+5)=4),AvrDim1+5,""),IF(AND(YEAR(AvrDim1+12)=AnnéeCalendrier,MONTH(AvrDim1+12)=4),AvrDim1+12,""))</f>
        <v>47214</v>
      </c>
      <c r="G18" s="5">
        <f>IF(DAY(AvrDim1)=1,IF(AND(YEAR(AvrDim1+6)=AnnéeCalendrier,MONTH(AvrDim1+6)=4),AvrDim1+6,""),IF(AND(YEAR(AvrDim1+13)=AnnéeCalendrier,MONTH(AvrDim1+13)=4),AvrDim1+13,""))</f>
        <v>47215</v>
      </c>
      <c r="H18" s="7">
        <f>IF(DAY(AvrDim1)=1,IF(AND(YEAR(AvrDim1+7)=AnnéeCalendrier,MONTH(AvrDim1+7)=4),AvrDim1+7,""),IF(AND(YEAR(AvrDim1+14)=AnnéeCalendrier,MONTH(AvrDim1+14)=4),AvrDim1+14,""))</f>
        <v>47216</v>
      </c>
      <c r="I18" s="4"/>
      <c r="J18" s="6">
        <f>IF(DAY(MaiDim1)=1,IF(AND(YEAR(MaiDim1+1)=AnnéeCalendrier,MONTH(MaiDim1+1)=5),MaiDim1+1,""),IF(AND(YEAR(MaiDim1+8)=AnnéeCalendrier,MONTH(MaiDim1+8)=5),MaiDim1+8,""))</f>
        <v>47245</v>
      </c>
      <c r="K18" s="5">
        <f>IF(DAY(MaiDim1)=1,IF(AND(YEAR(MaiDim1+2)=AnnéeCalendrier,MONTH(MaiDim1+2)=5),MaiDim1+2,""),IF(AND(YEAR(MaiDim1+9)=AnnéeCalendrier,MONTH(MaiDim1+9)=5),MaiDim1+9,""))</f>
        <v>47246</v>
      </c>
      <c r="L18" s="5">
        <f>IF(DAY(MaiDim1)=1,IF(AND(YEAR(MaiDim1+3)=AnnéeCalendrier,MONTH(MaiDim1+3)=5),MaiDim1+3,""),IF(AND(YEAR(MaiDim1+10)=AnnéeCalendrier,MONTH(MaiDim1+10)=5),MaiDim1+10,""))</f>
        <v>47247</v>
      </c>
      <c r="M18" s="5">
        <f>IF(DAY(MaiDim1)=1,IF(AND(YEAR(MaiDim1+4)=AnnéeCalendrier,MONTH(MaiDim1+4)=5),MaiDim1+4,""),IF(AND(YEAR(MaiDim1+11)=AnnéeCalendrier,MONTH(MaiDim1+11)=5),MaiDim1+11,""))</f>
        <v>47248</v>
      </c>
      <c r="N18" s="5">
        <f>IF(DAY(MaiDim1)=1,IF(AND(YEAR(MaiDim1+5)=AnnéeCalendrier,MONTH(MaiDim1+5)=5),MaiDim1+5,""),IF(AND(YEAR(MaiDim1+12)=AnnéeCalendrier,MONTH(MaiDim1+12)=5),MaiDim1+12,""))</f>
        <v>47249</v>
      </c>
      <c r="O18" s="5">
        <f>IF(DAY(MaiDim1)=1,IF(AND(YEAR(MaiDim1+6)=AnnéeCalendrier,MONTH(MaiDim1+6)=5),MaiDim1+6,""),IF(AND(YEAR(MaiDim1+13)=AnnéeCalendrier,MONTH(MaiDim1+13)=5),MaiDim1+13,""))</f>
        <v>47250</v>
      </c>
      <c r="P18" s="7">
        <f>IF(DAY(MaiDim1)=1,IF(AND(YEAR(MaiDim1+7)=AnnéeCalendrier,MONTH(MaiDim1+7)=5),MaiDim1+7,""),IF(AND(YEAR(MaiDim1+14)=AnnéeCalendrier,MONTH(MaiDim1+14)=5),MaiDim1+14,""))</f>
        <v>47251</v>
      </c>
      <c r="Q18" s="4"/>
      <c r="R18" s="6">
        <f>IF(DAY(JunDim1)=1,IF(AND(YEAR(JunDim1+1)=AnnéeCalendrier,MONTH(JunDim1+1)=6),JunDim1+1,""),IF(AND(YEAR(JunDim1+8)=AnnéeCalendrier,MONTH(JunDim1+8)=6),JunDim1+8,""))</f>
        <v>47273</v>
      </c>
      <c r="S18" s="5">
        <f>IF(DAY(JunDim1)=1,IF(AND(YEAR(JunDim1+2)=AnnéeCalendrier,MONTH(JunDim1+2)=6),JunDim1+2,""),IF(AND(YEAR(JunDim1+9)=AnnéeCalendrier,MONTH(JunDim1+9)=6),JunDim1+9,""))</f>
        <v>47274</v>
      </c>
      <c r="T18" s="5">
        <f>IF(DAY(JunDim1)=1,IF(AND(YEAR(JunDim1+3)=AnnéeCalendrier,MONTH(JunDim1+3)=6),JunDim1+3,""),IF(AND(YEAR(JunDim1+10)=AnnéeCalendrier,MONTH(JunDim1+10)=6),JunDim1+10,""))</f>
        <v>47275</v>
      </c>
      <c r="U18" s="5">
        <f>IF(DAY(JunDim1)=1,IF(AND(YEAR(JunDim1+4)=AnnéeCalendrier,MONTH(JunDim1+4)=6),JunDim1+4,""),IF(AND(YEAR(JunDim1+11)=AnnéeCalendrier,MONTH(JunDim1+11)=6),JunDim1+11,""))</f>
        <v>47276</v>
      </c>
      <c r="V18" s="5">
        <f>IF(DAY(JunDim1)=1,IF(AND(YEAR(JunDim1+5)=AnnéeCalendrier,MONTH(JunDim1+5)=6),JunDim1+5,""),IF(AND(YEAR(JunDim1+12)=AnnéeCalendrier,MONTH(JunDim1+12)=6),JunDim1+12,""))</f>
        <v>47277</v>
      </c>
      <c r="W18" s="5">
        <f>IF(DAY(JunDim1)=1,IF(AND(YEAR(JunDim1+6)=AnnéeCalendrier,MONTH(JunDim1+6)=6),JunDim1+6,""),IF(AND(YEAR(JunDim1+13)=AnnéeCalendrier,MONTH(JunDim1+13)=6),JunDim1+13,""))</f>
        <v>47278</v>
      </c>
      <c r="X18" s="7">
        <f>IF(DAY(JunDim1)=1,IF(AND(YEAR(JunDim1+7)=AnnéeCalendrier,MONTH(JunDim1+7)=6),JunDim1+7,""),IF(AND(YEAR(JunDim1+14)=AnnéeCalendrier,MONTH(JunDim1+14)=6),JunDim1+14,""))</f>
        <v>47279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47217</v>
      </c>
      <c r="C19" s="5">
        <f>IF(DAY(AvrDim1)=1,IF(AND(YEAR(AvrDim1+9)=AnnéeCalendrier,MONTH(AvrDim1+9)=4),AvrDim1+9,""),IF(AND(YEAR(AvrDim1+16)=AnnéeCalendrier,MONTH(AvrDim1+16)=4),AvrDim1+16,""))</f>
        <v>47218</v>
      </c>
      <c r="D19" s="5">
        <f>IF(DAY(AvrDim1)=1,IF(AND(YEAR(AvrDim1+10)=AnnéeCalendrier,MONTH(AvrDim1+10)=4),AvrDim1+10,""),IF(AND(YEAR(AvrDim1+17)=AnnéeCalendrier,MONTH(AvrDim1+17)=4),AvrDim1+17,""))</f>
        <v>47219</v>
      </c>
      <c r="E19" s="5">
        <f>IF(DAY(AvrDim1)=1,IF(AND(YEAR(AvrDim1+11)=AnnéeCalendrier,MONTH(AvrDim1+11)=4),AvrDim1+11,""),IF(AND(YEAR(AvrDim1+18)=AnnéeCalendrier,MONTH(AvrDim1+18)=4),AvrDim1+18,""))</f>
        <v>47220</v>
      </c>
      <c r="F19" s="5">
        <f>IF(DAY(AvrDim1)=1,IF(AND(YEAR(AvrDim1+12)=AnnéeCalendrier,MONTH(AvrDim1+12)=4),AvrDim1+12,""),IF(AND(YEAR(AvrDim1+19)=AnnéeCalendrier,MONTH(AvrDim1+19)=4),AvrDim1+19,""))</f>
        <v>47221</v>
      </c>
      <c r="G19" s="5">
        <f>IF(DAY(AvrDim1)=1,IF(AND(YEAR(AvrDim1+13)=AnnéeCalendrier,MONTH(AvrDim1+13)=4),AvrDim1+13,""),IF(AND(YEAR(AvrDim1+20)=AnnéeCalendrier,MONTH(AvrDim1+20)=4),AvrDim1+20,""))</f>
        <v>47222</v>
      </c>
      <c r="H19" s="7">
        <f>IF(DAY(AvrDim1)=1,IF(AND(YEAR(AvrDim1+14)=AnnéeCalendrier,MONTH(AvrDim1+14)=4),AvrDim1+14,""),IF(AND(YEAR(AvrDim1+21)=AnnéeCalendrier,MONTH(AvrDim1+21)=4),AvrDim1+21,""))</f>
        <v>47223</v>
      </c>
      <c r="I19" s="4"/>
      <c r="J19" s="6">
        <f>IF(DAY(MaiDim1)=1,IF(AND(YEAR(MaiDim1+8)=AnnéeCalendrier,MONTH(MaiDim1+8)=5),MaiDim1+8,""),IF(AND(YEAR(MaiDim1+15)=AnnéeCalendrier,MONTH(MaiDim1+15)=5),MaiDim1+15,""))</f>
        <v>47252</v>
      </c>
      <c r="K19" s="5">
        <f>IF(DAY(MaiDim1)=1,IF(AND(YEAR(MaiDim1+9)=AnnéeCalendrier,MONTH(MaiDim1+9)=5),MaiDim1+9,""),IF(AND(YEAR(MaiDim1+16)=AnnéeCalendrier,MONTH(MaiDim1+16)=5),MaiDim1+16,""))</f>
        <v>47253</v>
      </c>
      <c r="L19" s="5">
        <f>IF(DAY(MaiDim1)=1,IF(AND(YEAR(MaiDim1+10)=AnnéeCalendrier,MONTH(MaiDim1+10)=5),MaiDim1+10,""),IF(AND(YEAR(MaiDim1+17)=AnnéeCalendrier,MONTH(MaiDim1+17)=5),MaiDim1+17,""))</f>
        <v>47254</v>
      </c>
      <c r="M19" s="5">
        <f>IF(DAY(MaiDim1)=1,IF(AND(YEAR(MaiDim1+11)=AnnéeCalendrier,MONTH(MaiDim1+11)=5),MaiDim1+11,""),IF(AND(YEAR(MaiDim1+18)=AnnéeCalendrier,MONTH(MaiDim1+18)=5),MaiDim1+18,""))</f>
        <v>47255</v>
      </c>
      <c r="N19" s="5">
        <f>IF(DAY(MaiDim1)=1,IF(AND(YEAR(MaiDim1+12)=AnnéeCalendrier,MONTH(MaiDim1+12)=5),MaiDim1+12,""),IF(AND(YEAR(MaiDim1+19)=AnnéeCalendrier,MONTH(MaiDim1+19)=5),MaiDim1+19,""))</f>
        <v>47256</v>
      </c>
      <c r="O19" s="5">
        <f>IF(DAY(MaiDim1)=1,IF(AND(YEAR(MaiDim1+13)=AnnéeCalendrier,MONTH(MaiDim1+13)=5),MaiDim1+13,""),IF(AND(YEAR(MaiDim1+20)=AnnéeCalendrier,MONTH(MaiDim1+20)=5),MaiDim1+20,""))</f>
        <v>47257</v>
      </c>
      <c r="P19" s="7">
        <f>IF(DAY(MaiDim1)=1,IF(AND(YEAR(MaiDim1+14)=AnnéeCalendrier,MONTH(MaiDim1+14)=5),MaiDim1+14,""),IF(AND(YEAR(MaiDim1+21)=AnnéeCalendrier,MONTH(MaiDim1+21)=5),MaiDim1+21,""))</f>
        <v>47258</v>
      </c>
      <c r="Q19" s="4"/>
      <c r="R19" s="6">
        <f>IF(DAY(JunDim1)=1,IF(AND(YEAR(JunDim1+8)=AnnéeCalendrier,MONTH(JunDim1+8)=6),JunDim1+8,""),IF(AND(YEAR(JunDim1+15)=AnnéeCalendrier,MONTH(JunDim1+15)=6),JunDim1+15,""))</f>
        <v>47280</v>
      </c>
      <c r="S19" s="5">
        <f>IF(DAY(JunDim1)=1,IF(AND(YEAR(JunDim1+9)=AnnéeCalendrier,MONTH(JunDim1+9)=6),JunDim1+9,""),IF(AND(YEAR(JunDim1+16)=AnnéeCalendrier,MONTH(JunDim1+16)=6),JunDim1+16,""))</f>
        <v>47281</v>
      </c>
      <c r="T19" s="5">
        <f>IF(DAY(JunDim1)=1,IF(AND(YEAR(JunDim1+10)=AnnéeCalendrier,MONTH(JunDim1+10)=6),JunDim1+10,""),IF(AND(YEAR(JunDim1+17)=AnnéeCalendrier,MONTH(JunDim1+17)=6),JunDim1+17,""))</f>
        <v>47282</v>
      </c>
      <c r="U19" s="5">
        <f>IF(DAY(JunDim1)=1,IF(AND(YEAR(JunDim1+11)=AnnéeCalendrier,MONTH(JunDim1+11)=6),JunDim1+11,""),IF(AND(YEAR(JunDim1+18)=AnnéeCalendrier,MONTH(JunDim1+18)=6),JunDim1+18,""))</f>
        <v>47283</v>
      </c>
      <c r="V19" s="5">
        <f>IF(DAY(JunDim1)=1,IF(AND(YEAR(JunDim1+12)=AnnéeCalendrier,MONTH(JunDim1+12)=6),JunDim1+12,""),IF(AND(YEAR(JunDim1+19)=AnnéeCalendrier,MONTH(JunDim1+19)=6),JunDim1+19,""))</f>
        <v>47284</v>
      </c>
      <c r="W19" s="5">
        <f>IF(DAY(JunDim1)=1,IF(AND(YEAR(JunDim1+13)=AnnéeCalendrier,MONTH(JunDim1+13)=6),JunDim1+13,""),IF(AND(YEAR(JunDim1+20)=AnnéeCalendrier,MONTH(JunDim1+20)=6),JunDim1+20,""))</f>
        <v>47285</v>
      </c>
      <c r="X19" s="7">
        <f>IF(DAY(JunDim1)=1,IF(AND(YEAR(JunDim1+14)=AnnéeCalendrier,MONTH(JunDim1+14)=6),JunDim1+14,""),IF(AND(YEAR(JunDim1+21)=AnnéeCalendrier,MONTH(JunDim1+21)=6),JunDim1+21,""))</f>
        <v>47286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47224</v>
      </c>
      <c r="C20" s="5">
        <f>IF(DAY(AvrDim1)=1,IF(AND(YEAR(AvrDim1+16)=AnnéeCalendrier,MONTH(AvrDim1+16)=4),AvrDim1+16,""),IF(AND(YEAR(AvrDim1+23)=AnnéeCalendrier,MONTH(AvrDim1+23)=4),AvrDim1+23,""))</f>
        <v>47225</v>
      </c>
      <c r="D20" s="5">
        <f>IF(DAY(AvrDim1)=1,IF(AND(YEAR(AvrDim1+17)=AnnéeCalendrier,MONTH(AvrDim1+17)=4),AvrDim1+17,""),IF(AND(YEAR(AvrDim1+24)=AnnéeCalendrier,MONTH(AvrDim1+24)=4),AvrDim1+24,""))</f>
        <v>47226</v>
      </c>
      <c r="E20" s="5">
        <f>IF(DAY(AvrDim1)=1,IF(AND(YEAR(AvrDim1+18)=AnnéeCalendrier,MONTH(AvrDim1+18)=4),AvrDim1+18,""),IF(AND(YEAR(AvrDim1+25)=AnnéeCalendrier,MONTH(AvrDim1+25)=4),AvrDim1+25,""))</f>
        <v>47227</v>
      </c>
      <c r="F20" s="5">
        <f>IF(DAY(AvrDim1)=1,IF(AND(YEAR(AvrDim1+19)=AnnéeCalendrier,MONTH(AvrDim1+19)=4),AvrDim1+19,""),IF(AND(YEAR(AvrDim1+26)=AnnéeCalendrier,MONTH(AvrDim1+26)=4),AvrDim1+26,""))</f>
        <v>47228</v>
      </c>
      <c r="G20" s="5">
        <f>IF(DAY(AvrDim1)=1,IF(AND(YEAR(AvrDim1+20)=AnnéeCalendrier,MONTH(AvrDim1+20)=4),AvrDim1+20,""),IF(AND(YEAR(AvrDim1+27)=AnnéeCalendrier,MONTH(AvrDim1+27)=4),AvrDim1+27,""))</f>
        <v>47229</v>
      </c>
      <c r="H20" s="7">
        <f>IF(DAY(AvrDim1)=1,IF(AND(YEAR(AvrDim1+21)=AnnéeCalendrier,MONTH(AvrDim1+21)=4),AvrDim1+21,""),IF(AND(YEAR(AvrDim1+28)=AnnéeCalendrier,MONTH(AvrDim1+28)=4),AvrDim1+28,""))</f>
        <v>47230</v>
      </c>
      <c r="I20" s="4"/>
      <c r="J20" s="6">
        <f>IF(DAY(MaiDim1)=1,IF(AND(YEAR(MaiDim1+15)=AnnéeCalendrier,MONTH(MaiDim1+15)=5),MaiDim1+15,""),IF(AND(YEAR(MaiDim1+22)=AnnéeCalendrier,MONTH(MaiDim1+22)=5),MaiDim1+22,""))</f>
        <v>47259</v>
      </c>
      <c r="K20" s="5">
        <f>IF(DAY(MaiDim1)=1,IF(AND(YEAR(MaiDim1+16)=AnnéeCalendrier,MONTH(MaiDim1+16)=5),MaiDim1+16,""),IF(AND(YEAR(MaiDim1+23)=AnnéeCalendrier,MONTH(MaiDim1+23)=5),MaiDim1+23,""))</f>
        <v>47260</v>
      </c>
      <c r="L20" s="5">
        <f>IF(DAY(MaiDim1)=1,IF(AND(YEAR(MaiDim1+17)=AnnéeCalendrier,MONTH(MaiDim1+17)=5),MaiDim1+17,""),IF(AND(YEAR(MaiDim1+24)=AnnéeCalendrier,MONTH(MaiDim1+24)=5),MaiDim1+24,""))</f>
        <v>47261</v>
      </c>
      <c r="M20" s="5">
        <f>IF(DAY(MaiDim1)=1,IF(AND(YEAR(MaiDim1+18)=AnnéeCalendrier,MONTH(MaiDim1+18)=5),MaiDim1+18,""),IF(AND(YEAR(MaiDim1+25)=AnnéeCalendrier,MONTH(MaiDim1+25)=5),MaiDim1+25,""))</f>
        <v>47262</v>
      </c>
      <c r="N20" s="5">
        <f>IF(DAY(MaiDim1)=1,IF(AND(YEAR(MaiDim1+19)=AnnéeCalendrier,MONTH(MaiDim1+19)=5),MaiDim1+19,""),IF(AND(YEAR(MaiDim1+26)=AnnéeCalendrier,MONTH(MaiDim1+26)=5),MaiDim1+26,""))</f>
        <v>47263</v>
      </c>
      <c r="O20" s="5">
        <f>IF(DAY(MaiDim1)=1,IF(AND(YEAR(MaiDim1+20)=AnnéeCalendrier,MONTH(MaiDim1+20)=5),MaiDim1+20,""),IF(AND(YEAR(MaiDim1+27)=AnnéeCalendrier,MONTH(MaiDim1+27)=5),MaiDim1+27,""))</f>
        <v>47264</v>
      </c>
      <c r="P20" s="7">
        <f>IF(DAY(MaiDim1)=1,IF(AND(YEAR(MaiDim1+21)=AnnéeCalendrier,MONTH(MaiDim1+21)=5),MaiDim1+21,""),IF(AND(YEAR(MaiDim1+28)=AnnéeCalendrier,MONTH(MaiDim1+28)=5),MaiDim1+28,""))</f>
        <v>47265</v>
      </c>
      <c r="Q20" s="4"/>
      <c r="R20" s="6">
        <f>IF(DAY(JunDim1)=1,IF(AND(YEAR(JunDim1+15)=AnnéeCalendrier,MONTH(JunDim1+15)=6),JunDim1+15,""),IF(AND(YEAR(JunDim1+22)=AnnéeCalendrier,MONTH(JunDim1+22)=6),JunDim1+22,""))</f>
        <v>47287</v>
      </c>
      <c r="S20" s="5">
        <f>IF(DAY(JunDim1)=1,IF(AND(YEAR(JunDim1+16)=AnnéeCalendrier,MONTH(JunDim1+16)=6),JunDim1+16,""),IF(AND(YEAR(JunDim1+23)=AnnéeCalendrier,MONTH(JunDim1+23)=6),JunDim1+23,""))</f>
        <v>47288</v>
      </c>
      <c r="T20" s="5">
        <f>IF(DAY(JunDim1)=1,IF(AND(YEAR(JunDim1+17)=AnnéeCalendrier,MONTH(JunDim1+17)=6),JunDim1+17,""),IF(AND(YEAR(JunDim1+24)=AnnéeCalendrier,MONTH(JunDim1+24)=6),JunDim1+24,""))</f>
        <v>47289</v>
      </c>
      <c r="U20" s="5">
        <f>IF(DAY(JunDim1)=1,IF(AND(YEAR(JunDim1+18)=AnnéeCalendrier,MONTH(JunDim1+18)=6),JunDim1+18,""),IF(AND(YEAR(JunDim1+25)=AnnéeCalendrier,MONTH(JunDim1+25)=6),JunDim1+25,""))</f>
        <v>47290</v>
      </c>
      <c r="V20" s="5">
        <f>IF(DAY(JunDim1)=1,IF(AND(YEAR(JunDim1+19)=AnnéeCalendrier,MONTH(JunDim1+19)=6),JunDim1+19,""),IF(AND(YEAR(JunDim1+26)=AnnéeCalendrier,MONTH(JunDim1+26)=6),JunDim1+26,""))</f>
        <v>47291</v>
      </c>
      <c r="W20" s="5">
        <f>IF(DAY(JunDim1)=1,IF(AND(YEAR(JunDim1+20)=AnnéeCalendrier,MONTH(JunDim1+20)=6),JunDim1+20,""),IF(AND(YEAR(JunDim1+27)=AnnéeCalendrier,MONTH(JunDim1+27)=6),JunDim1+27,""))</f>
        <v>47292</v>
      </c>
      <c r="X20" s="7">
        <f>IF(DAY(JunDim1)=1,IF(AND(YEAR(JunDim1+21)=AnnéeCalendrier,MONTH(JunDim1+21)=6),JunDim1+21,""),IF(AND(YEAR(JunDim1+28)=AnnéeCalendrier,MONTH(JunDim1+28)=6),JunDim1+28,""))</f>
        <v>47293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47231</v>
      </c>
      <c r="C21" s="5">
        <f>IF(DAY(AvrDim1)=1,IF(AND(YEAR(AvrDim1+23)=AnnéeCalendrier,MONTH(AvrDim1+23)=4),AvrDim1+23,""),IF(AND(YEAR(AvrDim1+30)=AnnéeCalendrier,MONTH(AvrDim1+30)=4),AvrDim1+30,""))</f>
        <v>47232</v>
      </c>
      <c r="D21" s="5">
        <f>IF(DAY(AvrDim1)=1,IF(AND(YEAR(AvrDim1+24)=AnnéeCalendrier,MONTH(AvrDim1+24)=4),AvrDim1+24,""),IF(AND(YEAR(AvrDim1+31)=AnnéeCalendrier,MONTH(AvrDim1+31)=4),AvrDim1+31,""))</f>
        <v>47233</v>
      </c>
      <c r="E21" s="5">
        <f>IF(DAY(AvrDim1)=1,IF(AND(YEAR(AvrDim1+25)=AnnéeCalendrier,MONTH(AvrDim1+25)=4),AvrDim1+25,""),IF(AND(YEAR(AvrDim1+32)=AnnéeCalendrier,MONTH(AvrDim1+32)=4),AvrDim1+32,""))</f>
        <v>47234</v>
      </c>
      <c r="F21" s="5">
        <f>IF(DAY(AvrDim1)=1,IF(AND(YEAR(AvrDim1+26)=AnnéeCalendrier,MONTH(AvrDim1+26)=4),AvrDim1+26,""),IF(AND(YEAR(AvrDim1+33)=AnnéeCalendrier,MONTH(AvrDim1+33)=4),AvrDim1+33,""))</f>
        <v>47235</v>
      </c>
      <c r="G21" s="5">
        <f>IF(DAY(AvrDim1)=1,IF(AND(YEAR(AvrDim1+27)=AnnéeCalendrier,MONTH(AvrDim1+27)=4),AvrDim1+27,""),IF(AND(YEAR(AvrDim1+34)=AnnéeCalendrier,MONTH(AvrDim1+34)=4),AvrDim1+34,""))</f>
        <v>47236</v>
      </c>
      <c r="H21" s="7">
        <f>IF(DAY(AvrDim1)=1,IF(AND(YEAR(AvrDim1+28)=AnnéeCalendrier,MONTH(AvrDim1+28)=4),AvrDim1+28,""),IF(AND(YEAR(AvrDim1+35)=AnnéeCalendrier,MONTH(AvrDim1+35)=4),AvrDim1+35,""))</f>
        <v>47237</v>
      </c>
      <c r="I21" s="4"/>
      <c r="J21" s="6">
        <f>IF(DAY(MaiDim1)=1,IF(AND(YEAR(MaiDim1+22)=AnnéeCalendrier,MONTH(MaiDim1+22)=5),MaiDim1+22,""),IF(AND(YEAR(MaiDim1+29)=AnnéeCalendrier,MONTH(MaiDim1+29)=5),MaiDim1+29,""))</f>
        <v>47266</v>
      </c>
      <c r="K21" s="5">
        <f>IF(DAY(MaiDim1)=1,IF(AND(YEAR(MaiDim1+23)=AnnéeCalendrier,MONTH(MaiDim1+23)=5),MaiDim1+23,""),IF(AND(YEAR(MaiDim1+30)=AnnéeCalendrier,MONTH(MaiDim1+30)=5),MaiDim1+30,""))</f>
        <v>47267</v>
      </c>
      <c r="L21" s="5">
        <f>IF(DAY(MaiDim1)=1,IF(AND(YEAR(MaiDim1+24)=AnnéeCalendrier,MONTH(MaiDim1+24)=5),MaiDim1+24,""),IF(AND(YEAR(MaiDim1+31)=AnnéeCalendrier,MONTH(MaiDim1+31)=5),MaiDim1+31,""))</f>
        <v>47268</v>
      </c>
      <c r="M21" s="5">
        <f>IF(DAY(MaiDim1)=1,IF(AND(YEAR(MaiDim1+25)=AnnéeCalendrier,MONTH(MaiDim1+25)=5),MaiDim1+25,""),IF(AND(YEAR(MaiDim1+32)=AnnéeCalendrier,MONTH(MaiDim1+32)=5),MaiDim1+32,""))</f>
        <v>47269</v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47294</v>
      </c>
      <c r="S21" s="5">
        <f>IF(DAY(JunDim1)=1,IF(AND(YEAR(JunDim1+23)=AnnéeCalendrier,MONTH(JunDim1+23)=6),JunDim1+23,""),IF(AND(YEAR(JunDim1+30)=AnnéeCalendrier,MONTH(JunDim1+30)=6),JunDim1+30,""))</f>
        <v>47295</v>
      </c>
      <c r="T21" s="5">
        <f>IF(DAY(JunDim1)=1,IF(AND(YEAR(JunDim1+24)=AnnéeCalendrier,MONTH(JunDim1+24)=6),JunDim1+24,""),IF(AND(YEAR(JunDim1+31)=AnnéeCalendrier,MONTH(JunDim1+31)=6),JunDim1+31,""))</f>
        <v>47296</v>
      </c>
      <c r="U21" s="5">
        <f>IF(DAY(JunDim1)=1,IF(AND(YEAR(JunDim1+25)=AnnéeCalendrier,MONTH(JunDim1+25)=6),JunDim1+25,""),IF(AND(YEAR(JunDim1+32)=AnnéeCalendrier,MONTH(JunDim1+32)=6),JunDim1+32,""))</f>
        <v>47297</v>
      </c>
      <c r="V21" s="5">
        <f>IF(DAY(JunDim1)=1,IF(AND(YEAR(JunDim1+26)=AnnéeCalendrier,MONTH(JunDim1+26)=6),JunDim1+26,""),IF(AND(YEAR(JunDim1+33)=AnnéeCalendrier,MONTH(JunDim1+33)=6),JunDim1+33,""))</f>
        <v>47298</v>
      </c>
      <c r="W21" s="5">
        <f>IF(DAY(JunDim1)=1,IF(AND(YEAR(JunDim1+27)=AnnéeCalendrier,MONTH(JunDim1+27)=6),JunDim1+27,""),IF(AND(YEAR(JunDim1+34)=AnnéeCalendrier,MONTH(JunDim1+34)=6),JunDim1+34,""))</f>
        <v>47299</v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>
        <f>IF(DAY(AvrDim1)=1,IF(AND(YEAR(AvrDim1+29)=AnnéeCalendrier,MONTH(AvrDim1+29)=4),AvrDim1+29,""),IF(AND(YEAR(AvrDim1+36)=AnnéeCalendrier,MONTH(AvrDim1+36)=4),AvrDim1+36,""))</f>
        <v>47238</v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 t="str">
        <f>IF(DAY(JulDim1)=1,"",IF(AND(YEAR(JulDim1+6)=AnnéeCalendrier,MONTH(JulDim1+6)=7),JulDim1+6,""))</f>
        <v/>
      </c>
      <c r="H26" s="7">
        <f>IF(DAY(JulDim1)=1,IF(AND(YEAR(JulDim1)=AnnéeCalendrier,MONTH(JulDim1)=7),JulDim1,""),IF(AND(YEAR(JulDim1+7)=AnnéeCalendrier,MONTH(JulDim1+7)=7),JulDim1+7,""))</f>
        <v>47300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>
        <f>IF(DAY(AouDim1)=1,"",IF(AND(YEAR(AouDim1+3)=AnnéeCalendrier,MONTH(AouDim1+3)=8),AouDim1+3,""))</f>
        <v>47331</v>
      </c>
      <c r="M26" s="5">
        <f>IF(DAY(AouDim1)=1,"",IF(AND(YEAR(AouDim1+4)=AnnéeCalendrier,MONTH(AouDim1+4)=8),AouDim1+4,""))</f>
        <v>47332</v>
      </c>
      <c r="N26" s="5">
        <f>IF(DAY(AouDim1)=1,"",IF(AND(YEAR(AouDim1+5)=AnnéeCalendrier,MONTH(AouDim1+5)=8),AouDim1+5,""))</f>
        <v>47333</v>
      </c>
      <c r="O26" s="5">
        <f>IF(DAY(AouDim1)=1,"",IF(AND(YEAR(AouDim1+6)=AnnéeCalendrier,MONTH(AouDim1+6)=8),AouDim1+6,""))</f>
        <v>47334</v>
      </c>
      <c r="P26" s="7">
        <f>IF(DAY(AouDim1)=1,IF(AND(YEAR(AouDim1)=AnnéeCalendrier,MONTH(AouDim1)=8),AouDim1,""),IF(AND(YEAR(AouDim1+7)=AnnéeCalendrier,MONTH(AouDim1+7)=8),AouDim1+7,""))</f>
        <v>47335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>
        <f>IF(DAY(SepDim1)=1,"",IF(AND(YEAR(SepDim1+6)=AnnéeCalendrier,MONTH(SepDim1+6)=9),SepDim1+6,""))</f>
        <v>47362</v>
      </c>
      <c r="X26" s="7">
        <f>IF(DAY(SepDim1)=1,IF(AND(YEAR(SepDim1)=AnnéeCalendrier,MONTH(SepDim1)=9),SepDim1,""),IF(AND(YEAR(SepDim1+7)=AnnéeCalendrier,MONTH(SepDim1+7)=9),SepDim1+7,""))</f>
        <v>47363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47301</v>
      </c>
      <c r="C27" s="5">
        <f>IF(DAY(JulDim1)=1,IF(AND(YEAR(JulDim1+2)=AnnéeCalendrier,MONTH(JulDim1+2)=7),JulDim1+2,""),IF(AND(YEAR(JulDim1+9)=AnnéeCalendrier,MONTH(JulDim1+9)=7),JulDim1+9,""))</f>
        <v>47302</v>
      </c>
      <c r="D27" s="5">
        <f>IF(DAY(JulDim1)=1,IF(AND(YEAR(JulDim1+3)=AnnéeCalendrier,MONTH(JulDim1+3)=7),JulDim1+3,""),IF(AND(YEAR(JulDim1+10)=AnnéeCalendrier,MONTH(JulDim1+10)=7),JulDim1+10,""))</f>
        <v>47303</v>
      </c>
      <c r="E27" s="5">
        <f>IF(DAY(JulDim1)=1,IF(AND(YEAR(JulDim1+4)=AnnéeCalendrier,MONTH(JulDim1+4)=7),JulDim1+4,""),IF(AND(YEAR(JulDim1+11)=AnnéeCalendrier,MONTH(JulDim1+11)=7),JulDim1+11,""))</f>
        <v>47304</v>
      </c>
      <c r="F27" s="5">
        <f>IF(DAY(JulDim1)=1,IF(AND(YEAR(JulDim1+5)=AnnéeCalendrier,MONTH(JulDim1+5)=7),JulDim1+5,""),IF(AND(YEAR(JulDim1+12)=AnnéeCalendrier,MONTH(JulDim1+12)=7),JulDim1+12,""))</f>
        <v>47305</v>
      </c>
      <c r="G27" s="5">
        <f>IF(DAY(JulDim1)=1,IF(AND(YEAR(JulDim1+6)=AnnéeCalendrier,MONTH(JulDim1+6)=7),JulDim1+6,""),IF(AND(YEAR(JulDim1+13)=AnnéeCalendrier,MONTH(JulDim1+13)=7),JulDim1+13,""))</f>
        <v>47306</v>
      </c>
      <c r="H27" s="7">
        <f>IF(DAY(JulDim1)=1,IF(AND(YEAR(JulDim1+7)=AnnéeCalendrier,MONTH(JulDim1+7)=7),JulDim1+7,""),IF(AND(YEAR(JulDim1+14)=AnnéeCalendrier,MONTH(JulDim1+14)=7),JulDim1+14,""))</f>
        <v>47307</v>
      </c>
      <c r="J27" s="6">
        <f>IF(DAY(AouDim1)=1,IF(AND(YEAR(AouDim1+1)=AnnéeCalendrier,MONTH(AouDim1+1)=8),AouDim1+1,""),IF(AND(YEAR(AouDim1+8)=AnnéeCalendrier,MONTH(AouDim1+8)=8),AouDim1+8,""))</f>
        <v>47336</v>
      </c>
      <c r="K27" s="5">
        <f>IF(DAY(AouDim1)=1,IF(AND(YEAR(AouDim1+2)=AnnéeCalendrier,MONTH(AouDim1+2)=8),AouDim1+2,""),IF(AND(YEAR(AouDim1+9)=AnnéeCalendrier,MONTH(AouDim1+9)=8),AouDim1+9,""))</f>
        <v>47337</v>
      </c>
      <c r="L27" s="5">
        <f>IF(DAY(AouDim1)=1,IF(AND(YEAR(AouDim1+3)=AnnéeCalendrier,MONTH(AouDim1+3)=8),AouDim1+3,""),IF(AND(YEAR(AouDim1+10)=AnnéeCalendrier,MONTH(AouDim1+10)=8),AouDim1+10,""))</f>
        <v>47338</v>
      </c>
      <c r="M27" s="5">
        <f>IF(DAY(AouDim1)=1,IF(AND(YEAR(AouDim1+4)=AnnéeCalendrier,MONTH(AouDim1+4)=8),AouDim1+4,""),IF(AND(YEAR(AouDim1+11)=AnnéeCalendrier,MONTH(AouDim1+11)=8),AouDim1+11,""))</f>
        <v>47339</v>
      </c>
      <c r="N27" s="5">
        <f>IF(DAY(AouDim1)=1,IF(AND(YEAR(AouDim1+5)=AnnéeCalendrier,MONTH(AouDim1+5)=8),AouDim1+5,""),IF(AND(YEAR(AouDim1+12)=AnnéeCalendrier,MONTH(AouDim1+12)=8),AouDim1+12,""))</f>
        <v>47340</v>
      </c>
      <c r="O27" s="5">
        <f>IF(DAY(AouDim1)=1,IF(AND(YEAR(AouDim1+6)=AnnéeCalendrier,MONTH(AouDim1+6)=8),AouDim1+6,""),IF(AND(YEAR(AouDim1+13)=AnnéeCalendrier,MONTH(AouDim1+13)=8),AouDim1+13,""))</f>
        <v>47341</v>
      </c>
      <c r="P27" s="7">
        <f>IF(DAY(AouDim1)=1,IF(AND(YEAR(AouDim1+7)=AnnéeCalendrier,MONTH(AouDim1+7)=8),AouDim1+7,""),IF(AND(YEAR(AouDim1+14)=AnnéeCalendrier,MONTH(AouDim1+14)=8),AouDim1+14,""))</f>
        <v>47342</v>
      </c>
      <c r="Q27" s="1"/>
      <c r="R27" s="6">
        <f>IF(DAY(SepDim1)=1,IF(AND(YEAR(SepDim1+1)=AnnéeCalendrier,MONTH(SepDim1+1)=9),SepDim1+1,""),IF(AND(YEAR(SepDim1+8)=AnnéeCalendrier,MONTH(SepDim1+8)=9),SepDim1+8,""))</f>
        <v>47364</v>
      </c>
      <c r="S27" s="5">
        <f>IF(DAY(SepDim1)=1,IF(AND(YEAR(SepDim1+2)=AnnéeCalendrier,MONTH(SepDim1+2)=9),SepDim1+2,""),IF(AND(YEAR(SepDim1+9)=AnnéeCalendrier,MONTH(SepDim1+9)=9),SepDim1+9,""))</f>
        <v>47365</v>
      </c>
      <c r="T27" s="5">
        <f>IF(DAY(SepDim1)=1,IF(AND(YEAR(SepDim1+3)=AnnéeCalendrier,MONTH(SepDim1+3)=9),SepDim1+3,""),IF(AND(YEAR(SepDim1+10)=AnnéeCalendrier,MONTH(SepDim1+10)=9),SepDim1+10,""))</f>
        <v>47366</v>
      </c>
      <c r="U27" s="5">
        <f>IF(DAY(SepDim1)=1,IF(AND(YEAR(SepDim1+4)=AnnéeCalendrier,MONTH(SepDim1+4)=9),SepDim1+4,""),IF(AND(YEAR(SepDim1+11)=AnnéeCalendrier,MONTH(SepDim1+11)=9),SepDim1+11,""))</f>
        <v>47367</v>
      </c>
      <c r="V27" s="5">
        <f>IF(DAY(SepDim1)=1,IF(AND(YEAR(SepDim1+5)=AnnéeCalendrier,MONTH(SepDim1+5)=9),SepDim1+5,""),IF(AND(YEAR(SepDim1+12)=AnnéeCalendrier,MONTH(SepDim1+12)=9),SepDim1+12,""))</f>
        <v>47368</v>
      </c>
      <c r="W27" s="5">
        <f>IF(DAY(SepDim1)=1,IF(AND(YEAR(SepDim1+6)=AnnéeCalendrier,MONTH(SepDim1+6)=9),SepDim1+6,""),IF(AND(YEAR(SepDim1+13)=AnnéeCalendrier,MONTH(SepDim1+13)=9),SepDim1+13,""))</f>
        <v>47369</v>
      </c>
      <c r="X27" s="7">
        <f>IF(DAY(SepDim1)=1,IF(AND(YEAR(SepDim1+7)=AnnéeCalendrier,MONTH(SepDim1+7)=9),SepDim1+7,""),IF(AND(YEAR(SepDim1+14)=AnnéeCalendrier,MONTH(SepDim1+14)=9),SepDim1+14,""))</f>
        <v>47370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47308</v>
      </c>
      <c r="C28" s="5">
        <f>IF(DAY(JulDim1)=1,IF(AND(YEAR(JulDim1+9)=AnnéeCalendrier,MONTH(JulDim1+9)=7),JulDim1+9,""),IF(AND(YEAR(JulDim1+16)=AnnéeCalendrier,MONTH(JulDim1+16)=7),JulDim1+16,""))</f>
        <v>47309</v>
      </c>
      <c r="D28" s="5">
        <f>IF(DAY(JulDim1)=1,IF(AND(YEAR(JulDim1+10)=AnnéeCalendrier,MONTH(JulDim1+10)=7),JulDim1+10,""),IF(AND(YEAR(JulDim1+17)=AnnéeCalendrier,MONTH(JulDim1+17)=7),JulDim1+17,""))</f>
        <v>47310</v>
      </c>
      <c r="E28" s="5">
        <f>IF(DAY(JulDim1)=1,IF(AND(YEAR(JulDim1+11)=AnnéeCalendrier,MONTH(JulDim1+11)=7),JulDim1+11,""),IF(AND(YEAR(JulDim1+18)=AnnéeCalendrier,MONTH(JulDim1+18)=7),JulDim1+18,""))</f>
        <v>47311</v>
      </c>
      <c r="F28" s="5">
        <f>IF(DAY(JulDim1)=1,IF(AND(YEAR(JulDim1+12)=AnnéeCalendrier,MONTH(JulDim1+12)=7),JulDim1+12,""),IF(AND(YEAR(JulDim1+19)=AnnéeCalendrier,MONTH(JulDim1+19)=7),JulDim1+19,""))</f>
        <v>47312</v>
      </c>
      <c r="G28" s="5">
        <f>IF(DAY(JulDim1)=1,IF(AND(YEAR(JulDim1+13)=AnnéeCalendrier,MONTH(JulDim1+13)=7),JulDim1+13,""),IF(AND(YEAR(JulDim1+20)=AnnéeCalendrier,MONTH(JulDim1+20)=7),JulDim1+20,""))</f>
        <v>47313</v>
      </c>
      <c r="H28" s="7">
        <f>IF(DAY(JulDim1)=1,IF(AND(YEAR(JulDim1+14)=AnnéeCalendrier,MONTH(JulDim1+14)=7),JulDim1+14,""),IF(AND(YEAR(JulDim1+21)=AnnéeCalendrier,MONTH(JulDim1+21)=7),JulDim1+21,""))</f>
        <v>47314</v>
      </c>
      <c r="J28" s="6">
        <f>IF(DAY(AouDim1)=1,IF(AND(YEAR(AouDim1+8)=AnnéeCalendrier,MONTH(AouDim1+8)=8),AouDim1+8,""),IF(AND(YEAR(AouDim1+15)=AnnéeCalendrier,MONTH(AouDim1+15)=8),AouDim1+15,""))</f>
        <v>47343</v>
      </c>
      <c r="K28" s="5">
        <f>IF(DAY(AouDim1)=1,IF(AND(YEAR(AouDim1+9)=AnnéeCalendrier,MONTH(AouDim1+9)=8),AouDim1+9,""),IF(AND(YEAR(AouDim1+16)=AnnéeCalendrier,MONTH(AouDim1+16)=8),AouDim1+16,""))</f>
        <v>47344</v>
      </c>
      <c r="L28" s="5">
        <f>IF(DAY(AouDim1)=1,IF(AND(YEAR(AouDim1+10)=AnnéeCalendrier,MONTH(AouDim1+10)=8),AouDim1+10,""),IF(AND(YEAR(AouDim1+17)=AnnéeCalendrier,MONTH(AouDim1+17)=8),AouDim1+17,""))</f>
        <v>47345</v>
      </c>
      <c r="M28" s="5">
        <f>IF(DAY(AouDim1)=1,IF(AND(YEAR(AouDim1+11)=AnnéeCalendrier,MONTH(AouDim1+11)=8),AouDim1+11,""),IF(AND(YEAR(AouDim1+18)=AnnéeCalendrier,MONTH(AouDim1+18)=8),AouDim1+18,""))</f>
        <v>47346</v>
      </c>
      <c r="N28" s="5">
        <f>IF(DAY(AouDim1)=1,IF(AND(YEAR(AouDim1+12)=AnnéeCalendrier,MONTH(AouDim1+12)=8),AouDim1+12,""),IF(AND(YEAR(AouDim1+19)=AnnéeCalendrier,MONTH(AouDim1+19)=8),AouDim1+19,""))</f>
        <v>47347</v>
      </c>
      <c r="O28" s="5">
        <f>IF(DAY(AouDim1)=1,IF(AND(YEAR(AouDim1+13)=AnnéeCalendrier,MONTH(AouDim1+13)=8),AouDim1+13,""),IF(AND(YEAR(AouDim1+20)=AnnéeCalendrier,MONTH(AouDim1+20)=8),AouDim1+20,""))</f>
        <v>47348</v>
      </c>
      <c r="P28" s="7">
        <f>IF(DAY(AouDim1)=1,IF(AND(YEAR(AouDim1+14)=AnnéeCalendrier,MONTH(AouDim1+14)=8),AouDim1+14,""),IF(AND(YEAR(AouDim1+21)=AnnéeCalendrier,MONTH(AouDim1+21)=8),AouDim1+21,""))</f>
        <v>47349</v>
      </c>
      <c r="Q28" s="1"/>
      <c r="R28" s="6">
        <f>IF(DAY(SepDim1)=1,IF(AND(YEAR(SepDim1+8)=AnnéeCalendrier,MONTH(SepDim1+8)=9),SepDim1+8,""),IF(AND(YEAR(SepDim1+15)=AnnéeCalendrier,MONTH(SepDim1+15)=9),SepDim1+15,""))</f>
        <v>47371</v>
      </c>
      <c r="S28" s="5">
        <f>IF(DAY(SepDim1)=1,IF(AND(YEAR(SepDim1+9)=AnnéeCalendrier,MONTH(SepDim1+9)=9),SepDim1+9,""),IF(AND(YEAR(SepDim1+16)=AnnéeCalendrier,MONTH(SepDim1+16)=9),SepDim1+16,""))</f>
        <v>47372</v>
      </c>
      <c r="T28" s="5">
        <f>IF(DAY(SepDim1)=1,IF(AND(YEAR(SepDim1+10)=AnnéeCalendrier,MONTH(SepDim1+10)=9),SepDim1+10,""),IF(AND(YEAR(SepDim1+17)=AnnéeCalendrier,MONTH(SepDim1+17)=9),SepDim1+17,""))</f>
        <v>47373</v>
      </c>
      <c r="U28" s="5">
        <f>IF(DAY(SepDim1)=1,IF(AND(YEAR(SepDim1+11)=AnnéeCalendrier,MONTH(SepDim1+11)=9),SepDim1+11,""),IF(AND(YEAR(SepDim1+18)=AnnéeCalendrier,MONTH(SepDim1+18)=9),SepDim1+18,""))</f>
        <v>47374</v>
      </c>
      <c r="V28" s="5">
        <f>IF(DAY(SepDim1)=1,IF(AND(YEAR(SepDim1+12)=AnnéeCalendrier,MONTH(SepDim1+12)=9),SepDim1+12,""),IF(AND(YEAR(SepDim1+19)=AnnéeCalendrier,MONTH(SepDim1+19)=9),SepDim1+19,""))</f>
        <v>47375</v>
      </c>
      <c r="W28" s="5">
        <f>IF(DAY(SepDim1)=1,IF(AND(YEAR(SepDim1+13)=AnnéeCalendrier,MONTH(SepDim1+13)=9),SepDim1+13,""),IF(AND(YEAR(SepDim1+20)=AnnéeCalendrier,MONTH(SepDim1+20)=9),SepDim1+20,""))</f>
        <v>47376</v>
      </c>
      <c r="X28" s="7">
        <f>IF(DAY(SepDim1)=1,IF(AND(YEAR(SepDim1+14)=AnnéeCalendrier,MONTH(SepDim1+14)=9),SepDim1+14,""),IF(AND(YEAR(SepDim1+21)=AnnéeCalendrier,MONTH(SepDim1+21)=9),SepDim1+21,""))</f>
        <v>47377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47315</v>
      </c>
      <c r="C29" s="5">
        <f>IF(DAY(JulDim1)=1,IF(AND(YEAR(JulDim1+16)=AnnéeCalendrier,MONTH(JulDim1+16)=7),JulDim1+16,""),IF(AND(YEAR(JulDim1+23)=AnnéeCalendrier,MONTH(JulDim1+23)=7),JulDim1+23,""))</f>
        <v>47316</v>
      </c>
      <c r="D29" s="5">
        <f>IF(DAY(JulDim1)=1,IF(AND(YEAR(JulDim1+17)=AnnéeCalendrier,MONTH(JulDim1+17)=7),JulDim1+17,""),IF(AND(YEAR(JulDim1+24)=AnnéeCalendrier,MONTH(JulDim1+24)=7),JulDim1+24,""))</f>
        <v>47317</v>
      </c>
      <c r="E29" s="5">
        <f>IF(DAY(JulDim1)=1,IF(AND(YEAR(JulDim1+18)=AnnéeCalendrier,MONTH(JulDim1+18)=7),JulDim1+18,""),IF(AND(YEAR(JulDim1+25)=AnnéeCalendrier,MONTH(JulDim1+25)=7),JulDim1+25,""))</f>
        <v>47318</v>
      </c>
      <c r="F29" s="5">
        <f>IF(DAY(JulDim1)=1,IF(AND(YEAR(JulDim1+19)=AnnéeCalendrier,MONTH(JulDim1+19)=7),JulDim1+19,""),IF(AND(YEAR(JulDim1+26)=AnnéeCalendrier,MONTH(JulDim1+26)=7),JulDim1+26,""))</f>
        <v>47319</v>
      </c>
      <c r="G29" s="5">
        <f>IF(DAY(JulDim1)=1,IF(AND(YEAR(JulDim1+20)=AnnéeCalendrier,MONTH(JulDim1+20)=7),JulDim1+20,""),IF(AND(YEAR(JulDim1+27)=AnnéeCalendrier,MONTH(JulDim1+27)=7),JulDim1+27,""))</f>
        <v>47320</v>
      </c>
      <c r="H29" s="7">
        <f>IF(DAY(JulDim1)=1,IF(AND(YEAR(JulDim1+21)=AnnéeCalendrier,MONTH(JulDim1+21)=7),JulDim1+21,""),IF(AND(YEAR(JulDim1+28)=AnnéeCalendrier,MONTH(JulDim1+28)=7),JulDim1+28,""))</f>
        <v>47321</v>
      </c>
      <c r="J29" s="6">
        <f>IF(DAY(AouDim1)=1,IF(AND(YEAR(AouDim1+15)=AnnéeCalendrier,MONTH(AouDim1+15)=8),AouDim1+15,""),IF(AND(YEAR(AouDim1+22)=AnnéeCalendrier,MONTH(AouDim1+22)=8),AouDim1+22,""))</f>
        <v>47350</v>
      </c>
      <c r="K29" s="5">
        <f>IF(DAY(AouDim1)=1,IF(AND(YEAR(AouDim1+16)=AnnéeCalendrier,MONTH(AouDim1+16)=8),AouDim1+16,""),IF(AND(YEAR(AouDim1+23)=AnnéeCalendrier,MONTH(AouDim1+23)=8),AouDim1+23,""))</f>
        <v>47351</v>
      </c>
      <c r="L29" s="5">
        <f>IF(DAY(AouDim1)=1,IF(AND(YEAR(AouDim1+17)=AnnéeCalendrier,MONTH(AouDim1+17)=8),AouDim1+17,""),IF(AND(YEAR(AouDim1+24)=AnnéeCalendrier,MONTH(AouDim1+24)=8),AouDim1+24,""))</f>
        <v>47352</v>
      </c>
      <c r="M29" s="5">
        <f>IF(DAY(AouDim1)=1,IF(AND(YEAR(AouDim1+18)=AnnéeCalendrier,MONTH(AouDim1+18)=8),AouDim1+18,""),IF(AND(YEAR(AouDim1+25)=AnnéeCalendrier,MONTH(AouDim1+25)=8),AouDim1+25,""))</f>
        <v>47353</v>
      </c>
      <c r="N29" s="5">
        <f>IF(DAY(AouDim1)=1,IF(AND(YEAR(AouDim1+19)=AnnéeCalendrier,MONTH(AouDim1+19)=8),AouDim1+19,""),IF(AND(YEAR(AouDim1+26)=AnnéeCalendrier,MONTH(AouDim1+26)=8),AouDim1+26,""))</f>
        <v>47354</v>
      </c>
      <c r="O29" s="5">
        <f>IF(DAY(AouDim1)=1,IF(AND(YEAR(AouDim1+20)=AnnéeCalendrier,MONTH(AouDim1+20)=8),AouDim1+20,""),IF(AND(YEAR(AouDim1+27)=AnnéeCalendrier,MONTH(AouDim1+27)=8),AouDim1+27,""))</f>
        <v>47355</v>
      </c>
      <c r="P29" s="7">
        <f>IF(DAY(AouDim1)=1,IF(AND(YEAR(AouDim1+21)=AnnéeCalendrier,MONTH(AouDim1+21)=8),AouDim1+21,""),IF(AND(YEAR(AouDim1+28)=AnnéeCalendrier,MONTH(AouDim1+28)=8),AouDim1+28,""))</f>
        <v>47356</v>
      </c>
      <c r="Q29" s="1"/>
      <c r="R29" s="6">
        <f>IF(DAY(SepDim1)=1,IF(AND(YEAR(SepDim1+15)=AnnéeCalendrier,MONTH(SepDim1+15)=9),SepDim1+15,""),IF(AND(YEAR(SepDim1+22)=AnnéeCalendrier,MONTH(SepDim1+22)=9),SepDim1+22,""))</f>
        <v>47378</v>
      </c>
      <c r="S29" s="5">
        <f>IF(DAY(SepDim1)=1,IF(AND(YEAR(SepDim1+16)=AnnéeCalendrier,MONTH(SepDim1+16)=9),SepDim1+16,""),IF(AND(YEAR(SepDim1+23)=AnnéeCalendrier,MONTH(SepDim1+23)=9),SepDim1+23,""))</f>
        <v>47379</v>
      </c>
      <c r="T29" s="5">
        <f>IF(DAY(SepDim1)=1,IF(AND(YEAR(SepDim1+17)=AnnéeCalendrier,MONTH(SepDim1+17)=9),SepDim1+17,""),IF(AND(YEAR(SepDim1+24)=AnnéeCalendrier,MONTH(SepDim1+24)=9),SepDim1+24,""))</f>
        <v>47380</v>
      </c>
      <c r="U29" s="5">
        <f>IF(DAY(SepDim1)=1,IF(AND(YEAR(SepDim1+18)=AnnéeCalendrier,MONTH(SepDim1+18)=9),SepDim1+18,""),IF(AND(YEAR(SepDim1+25)=AnnéeCalendrier,MONTH(SepDim1+25)=9),SepDim1+25,""))</f>
        <v>47381</v>
      </c>
      <c r="V29" s="5">
        <f>IF(DAY(SepDim1)=1,IF(AND(YEAR(SepDim1+19)=AnnéeCalendrier,MONTH(SepDim1+19)=9),SepDim1+19,""),IF(AND(YEAR(SepDim1+26)=AnnéeCalendrier,MONTH(SepDim1+26)=9),SepDim1+26,""))</f>
        <v>47382</v>
      </c>
      <c r="W29" s="5">
        <f>IF(DAY(SepDim1)=1,IF(AND(YEAR(SepDim1+20)=AnnéeCalendrier,MONTH(SepDim1+20)=9),SepDim1+20,""),IF(AND(YEAR(SepDim1+27)=AnnéeCalendrier,MONTH(SepDim1+27)=9),SepDim1+27,""))</f>
        <v>47383</v>
      </c>
      <c r="X29" s="7">
        <f>IF(DAY(SepDim1)=1,IF(AND(YEAR(SepDim1+21)=AnnéeCalendrier,MONTH(SepDim1+21)=9),SepDim1+21,""),IF(AND(YEAR(SepDim1+28)=AnnéeCalendrier,MONTH(SepDim1+28)=9),SepDim1+28,""))</f>
        <v>47384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47322</v>
      </c>
      <c r="C30" s="5">
        <f>IF(DAY(JulDim1)=1,IF(AND(YEAR(JulDim1+23)=AnnéeCalendrier,MONTH(JulDim1+23)=7),JulDim1+23,""),IF(AND(YEAR(JulDim1+30)=AnnéeCalendrier,MONTH(JulDim1+30)=7),JulDim1+30,""))</f>
        <v>47323</v>
      </c>
      <c r="D30" s="5">
        <f>IF(DAY(JulDim1)=1,IF(AND(YEAR(JulDim1+24)=AnnéeCalendrier,MONTH(JulDim1+24)=7),JulDim1+24,""),IF(AND(YEAR(JulDim1+31)=AnnéeCalendrier,MONTH(JulDim1+31)=7),JulDim1+31,""))</f>
        <v>47324</v>
      </c>
      <c r="E30" s="5">
        <f>IF(DAY(JulDim1)=1,IF(AND(YEAR(JulDim1+25)=AnnéeCalendrier,MONTH(JulDim1+25)=7),JulDim1+25,""),IF(AND(YEAR(JulDim1+32)=AnnéeCalendrier,MONTH(JulDim1+32)=7),JulDim1+32,""))</f>
        <v>47325</v>
      </c>
      <c r="F30" s="5">
        <f>IF(DAY(JulDim1)=1,IF(AND(YEAR(JulDim1+26)=AnnéeCalendrier,MONTH(JulDim1+26)=7),JulDim1+26,""),IF(AND(YEAR(JulDim1+33)=AnnéeCalendrier,MONTH(JulDim1+33)=7),JulDim1+33,""))</f>
        <v>47326</v>
      </c>
      <c r="G30" s="5">
        <f>IF(DAY(JulDim1)=1,IF(AND(YEAR(JulDim1+27)=AnnéeCalendrier,MONTH(JulDim1+27)=7),JulDim1+27,""),IF(AND(YEAR(JulDim1+34)=AnnéeCalendrier,MONTH(JulDim1+34)=7),JulDim1+34,""))</f>
        <v>47327</v>
      </c>
      <c r="H30" s="7">
        <f>IF(DAY(JulDim1)=1,IF(AND(YEAR(JulDim1+28)=AnnéeCalendrier,MONTH(JulDim1+28)=7),JulDim1+28,""),IF(AND(YEAR(JulDim1+35)=AnnéeCalendrier,MONTH(JulDim1+35)=7),JulDim1+35,""))</f>
        <v>47328</v>
      </c>
      <c r="J30" s="6">
        <f>IF(DAY(AouDim1)=1,IF(AND(YEAR(AouDim1+22)=AnnéeCalendrier,MONTH(AouDim1+22)=8),AouDim1+22,""),IF(AND(YEAR(AouDim1+29)=AnnéeCalendrier,MONTH(AouDim1+29)=8),AouDim1+29,""))</f>
        <v>47357</v>
      </c>
      <c r="K30" s="5">
        <f>IF(DAY(AouDim1)=1,IF(AND(YEAR(AouDim1+23)=AnnéeCalendrier,MONTH(AouDim1+23)=8),AouDim1+23,""),IF(AND(YEAR(AouDim1+30)=AnnéeCalendrier,MONTH(AouDim1+30)=8),AouDim1+30,""))</f>
        <v>47358</v>
      </c>
      <c r="L30" s="5">
        <f>IF(DAY(AouDim1)=1,IF(AND(YEAR(AouDim1+24)=AnnéeCalendrier,MONTH(AouDim1+24)=8),AouDim1+24,""),IF(AND(YEAR(AouDim1+31)=AnnéeCalendrier,MONTH(AouDim1+31)=8),AouDim1+31,""))</f>
        <v>47359</v>
      </c>
      <c r="M30" s="5">
        <f>IF(DAY(AouDim1)=1,IF(AND(YEAR(AouDim1+25)=AnnéeCalendrier,MONTH(AouDim1+25)=8),AouDim1+25,""),IF(AND(YEAR(AouDim1+32)=AnnéeCalendrier,MONTH(AouDim1+32)=8),AouDim1+32,""))</f>
        <v>47360</v>
      </c>
      <c r="N30" s="5">
        <f>IF(DAY(AouDim1)=1,IF(AND(YEAR(AouDim1+26)=AnnéeCalendrier,MONTH(AouDim1+26)=8),AouDim1+26,""),IF(AND(YEAR(AouDim1+33)=AnnéeCalendrier,MONTH(AouDim1+33)=8),AouDim1+33,""))</f>
        <v>47361</v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47385</v>
      </c>
      <c r="S30" s="5">
        <f>IF(DAY(SepDim1)=1,IF(AND(YEAR(SepDim1+23)=AnnéeCalendrier,MONTH(SepDim1+23)=9),SepDim1+23,""),IF(AND(YEAR(SepDim1+30)=AnnéeCalendrier,MONTH(SepDim1+30)=9),SepDim1+30,""))</f>
        <v>47386</v>
      </c>
      <c r="T30" s="5">
        <f>IF(DAY(SepDim1)=1,IF(AND(YEAR(SepDim1+24)=AnnéeCalendrier,MONTH(SepDim1+24)=9),SepDim1+24,""),IF(AND(YEAR(SepDim1+31)=AnnéeCalendrier,MONTH(SepDim1+31)=9),SepDim1+31,""))</f>
        <v>47387</v>
      </c>
      <c r="U30" s="5">
        <f>IF(DAY(SepDim1)=1,IF(AND(YEAR(SepDim1+25)=AnnéeCalendrier,MONTH(SepDim1+25)=9),SepDim1+25,""),IF(AND(YEAR(SepDim1+32)=AnnéeCalendrier,MONTH(SepDim1+32)=9),SepDim1+32,""))</f>
        <v>47388</v>
      </c>
      <c r="V30" s="5">
        <f>IF(DAY(SepDim1)=1,IF(AND(YEAR(SepDim1+26)=AnnéeCalendrier,MONTH(SepDim1+26)=9),SepDim1+26,""),IF(AND(YEAR(SepDim1+33)=AnnéeCalendrier,MONTH(SepDim1+33)=9),SepDim1+33,""))</f>
        <v>47389</v>
      </c>
      <c r="W30" s="5">
        <f>IF(DAY(SepDim1)=1,IF(AND(YEAR(SepDim1+27)=AnnéeCalendrier,MONTH(SepDim1+27)=9),SepDim1+27,""),IF(AND(YEAR(SepDim1+34)=AnnéeCalendrier,MONTH(SepDim1+34)=9),SepDim1+34,""))</f>
        <v>47390</v>
      </c>
      <c r="X30" s="7">
        <f>IF(DAY(SepDim1)=1,IF(AND(YEAR(SepDim1+28)=AnnéeCalendrier,MONTH(SepDim1+28)=9),SepDim1+28,""),IF(AND(YEAR(SepDim1+35)=AnnéeCalendrier,MONTH(SepDim1+35)=9),SepDim1+35,""))</f>
        <v>47391</v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47329</v>
      </c>
      <c r="C31" s="9">
        <f>IF(DAY(JulDim1)=1,IF(AND(YEAR(JulDim1+30)=AnnéeCalendrier,MONTH(JulDim1+30)=7),JulDim1+30,""),IF(AND(YEAR(JulDim1+37)=AnnéeCalendrier,MONTH(JulDim1+37)=7),JulDim1+37,""))</f>
        <v>47330</v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>
        <f>IF(DAY(OctDim1)=1,"",IF(AND(YEAR(OctDim1+1)=AnnéeCalendrier,MONTH(OctDim1+1)=10),OctDim1+1,""))</f>
        <v>47392</v>
      </c>
      <c r="C35" s="5">
        <f>IF(DAY(OctDim1)=1,"",IF(AND(YEAR(OctDim1+2)=AnnéeCalendrier,MONTH(OctDim1+2)=10),OctDim1+2,""))</f>
        <v>47393</v>
      </c>
      <c r="D35" s="5">
        <f>IF(DAY(OctDim1)=1,"",IF(AND(YEAR(OctDim1+3)=AnnéeCalendrier,MONTH(OctDim1+3)=10),OctDim1+3,""))</f>
        <v>47394</v>
      </c>
      <c r="E35" s="5">
        <f>IF(DAY(OctDim1)=1,"",IF(AND(YEAR(OctDim1+4)=AnnéeCalendrier,MONTH(OctDim1+4)=10),OctDim1+4,""))</f>
        <v>47395</v>
      </c>
      <c r="F35" s="5">
        <f>IF(DAY(OctDim1)=1,"",IF(AND(YEAR(OctDim1+5)=AnnéeCalendrier,MONTH(OctDim1+5)=10),OctDim1+5,""))</f>
        <v>47396</v>
      </c>
      <c r="G35" s="5">
        <f>IF(DAY(OctDim1)=1,"",IF(AND(YEAR(OctDim1+6)=AnnéeCalendrier,MONTH(OctDim1+6)=10),OctDim1+6,""))</f>
        <v>47397</v>
      </c>
      <c r="H35" s="7">
        <f>IF(DAY(OctDim1)=1,IF(AND(YEAR(OctDim1)=AnnéeCalendrier,MONTH(OctDim1)=10),OctDim1,""),IF(AND(YEAR(OctDim1+7)=AnnéeCalendrier,MONTH(OctDim1+7)=10),OctDim1+7,""))</f>
        <v>47398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>
        <f>IF(DAY(NovDim1)=1,"",IF(AND(YEAR(NovDim1+4)=AnnéeCalendrier,MONTH(NovDim1+4)=11),NovDim1+4,""))</f>
        <v>47423</v>
      </c>
      <c r="N35" s="5">
        <f>IF(DAY(NovDim1)=1,"",IF(AND(YEAR(NovDim1+5)=AnnéeCalendrier,MONTH(NovDim1+5)=11),NovDim1+5,""))</f>
        <v>47424</v>
      </c>
      <c r="O35" s="5">
        <f>IF(DAY(NovDim1)=1,"",IF(AND(YEAR(NovDim1+6)=AnnéeCalendrier,MONTH(NovDim1+6)=11),NovDim1+6,""))</f>
        <v>47425</v>
      </c>
      <c r="P35" s="7">
        <f>IF(DAY(NovDim1)=1,IF(AND(YEAR(NovDim1)=AnnéeCalendrier,MONTH(NovDim1)=11),NovDim1,""),IF(AND(YEAR(NovDim1+7)=AnnéeCalendrier,MONTH(NovDim1+7)=11),NovDim1+7,""))</f>
        <v>47426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>
        <f>IF(DAY(DécDim1)=1,"",IF(AND(YEAR(DécDim1+6)=AnnéeCalendrier,MONTH(DécDim1+6)=12),DécDim1+6,""))</f>
        <v>47453</v>
      </c>
      <c r="X35" s="7">
        <f>IF(DAY(DécDim1)=1,IF(AND(YEAR(DécDim1)=AnnéeCalendrier,MONTH(DécDim1)=12),DécDim1,""),IF(AND(YEAR(DécDim1+7)=AnnéeCalendrier,MONTH(DécDim1+7)=12),DécDim1+7,""))</f>
        <v>47454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47399</v>
      </c>
      <c r="C36" s="5">
        <f>IF(DAY(OctDim1)=1,IF(AND(YEAR(OctDim1+2)=AnnéeCalendrier,MONTH(OctDim1+2)=10),OctDim1+2,""),IF(AND(YEAR(OctDim1+9)=AnnéeCalendrier,MONTH(OctDim1+9)=10),OctDim1+9,""))</f>
        <v>47400</v>
      </c>
      <c r="D36" s="5">
        <f>IF(DAY(OctDim1)=1,IF(AND(YEAR(OctDim1+3)=AnnéeCalendrier,MONTH(OctDim1+3)=10),OctDim1+3,""),IF(AND(YEAR(OctDim1+10)=AnnéeCalendrier,MONTH(OctDim1+10)=10),OctDim1+10,""))</f>
        <v>47401</v>
      </c>
      <c r="E36" s="5">
        <f>IF(DAY(OctDim1)=1,IF(AND(YEAR(OctDim1+4)=AnnéeCalendrier,MONTH(OctDim1+4)=10),OctDim1+4,""),IF(AND(YEAR(OctDim1+11)=AnnéeCalendrier,MONTH(OctDim1+11)=10),OctDim1+11,""))</f>
        <v>47402</v>
      </c>
      <c r="F36" s="5">
        <f>IF(DAY(OctDim1)=1,IF(AND(YEAR(OctDim1+5)=AnnéeCalendrier,MONTH(OctDim1+5)=10),OctDim1+5,""),IF(AND(YEAR(OctDim1+12)=AnnéeCalendrier,MONTH(OctDim1+12)=10),OctDim1+12,""))</f>
        <v>47403</v>
      </c>
      <c r="G36" s="5">
        <f>IF(DAY(OctDim1)=1,IF(AND(YEAR(OctDim1+6)=AnnéeCalendrier,MONTH(OctDim1+6)=10),OctDim1+6,""),IF(AND(YEAR(OctDim1+13)=AnnéeCalendrier,MONTH(OctDim1+13)=10),OctDim1+13,""))</f>
        <v>47404</v>
      </c>
      <c r="H36" s="7">
        <f>IF(DAY(OctDim1)=1,IF(AND(YEAR(OctDim1+7)=AnnéeCalendrier,MONTH(OctDim1+7)=10),OctDim1+7,""),IF(AND(YEAR(OctDim1+14)=AnnéeCalendrier,MONTH(OctDim1+14)=10),OctDim1+14,""))</f>
        <v>47405</v>
      </c>
      <c r="I36" s="4"/>
      <c r="J36" s="6">
        <f>IF(DAY(NovDim1)=1,IF(AND(YEAR(NovDim1+1)=AnnéeCalendrier,MONTH(NovDim1+1)=11),NovDim1+1,""),IF(AND(YEAR(NovDim1+8)=AnnéeCalendrier,MONTH(NovDim1+8)=11),NovDim1+8,""))</f>
        <v>47427</v>
      </c>
      <c r="K36" s="5">
        <f>IF(DAY(NovDim1)=1,IF(AND(YEAR(NovDim1+2)=AnnéeCalendrier,MONTH(NovDim1+2)=11),NovDim1+2,""),IF(AND(YEAR(NovDim1+9)=AnnéeCalendrier,MONTH(NovDim1+9)=11),NovDim1+9,""))</f>
        <v>47428</v>
      </c>
      <c r="L36" s="5">
        <f>IF(DAY(NovDim1)=1,IF(AND(YEAR(NovDim1+3)=AnnéeCalendrier,MONTH(NovDim1+3)=11),NovDim1+3,""),IF(AND(YEAR(NovDim1+10)=AnnéeCalendrier,MONTH(NovDim1+10)=11),NovDim1+10,""))</f>
        <v>47429</v>
      </c>
      <c r="M36" s="5">
        <f>IF(DAY(NovDim1)=1,IF(AND(YEAR(NovDim1+4)=AnnéeCalendrier,MONTH(NovDim1+4)=11),NovDim1+4,""),IF(AND(YEAR(NovDim1+11)=AnnéeCalendrier,MONTH(NovDim1+11)=11),NovDim1+11,""))</f>
        <v>47430</v>
      </c>
      <c r="N36" s="5">
        <f>IF(DAY(NovDim1)=1,IF(AND(YEAR(NovDim1+5)=AnnéeCalendrier,MONTH(NovDim1+5)=11),NovDim1+5,""),IF(AND(YEAR(NovDim1+12)=AnnéeCalendrier,MONTH(NovDim1+12)=11),NovDim1+12,""))</f>
        <v>47431</v>
      </c>
      <c r="O36" s="5">
        <f>IF(DAY(NovDim1)=1,IF(AND(YEAR(NovDim1+6)=AnnéeCalendrier,MONTH(NovDim1+6)=11),NovDim1+6,""),IF(AND(YEAR(NovDim1+13)=AnnéeCalendrier,MONTH(NovDim1+13)=11),NovDim1+13,""))</f>
        <v>47432</v>
      </c>
      <c r="P36" s="7">
        <f>IF(DAY(NovDim1)=1,IF(AND(YEAR(NovDim1+7)=AnnéeCalendrier,MONTH(NovDim1+7)=11),NovDim1+7,""),IF(AND(YEAR(NovDim1+14)=AnnéeCalendrier,MONTH(NovDim1+14)=11),NovDim1+14,""))</f>
        <v>47433</v>
      </c>
      <c r="R36" s="6">
        <f>IF(DAY(DécDim1)=1,IF(AND(YEAR(DécDim1+1)=AnnéeCalendrier,MONTH(DécDim1+1)=12),DécDim1+1,""),IF(AND(YEAR(DécDim1+8)=AnnéeCalendrier,MONTH(DécDim1+8)=12),DécDim1+8,""))</f>
        <v>47455</v>
      </c>
      <c r="S36" s="5">
        <f>IF(DAY(DécDim1)=1,IF(AND(YEAR(DécDim1+2)=AnnéeCalendrier,MONTH(DécDim1+2)=12),DécDim1+2,""),IF(AND(YEAR(DécDim1+9)=AnnéeCalendrier,MONTH(DécDim1+9)=12),DécDim1+9,""))</f>
        <v>47456</v>
      </c>
      <c r="T36" s="5">
        <f>IF(DAY(DécDim1)=1,IF(AND(YEAR(DécDim1+3)=AnnéeCalendrier,MONTH(DécDim1+3)=12),DécDim1+3,""),IF(AND(YEAR(DécDim1+10)=AnnéeCalendrier,MONTH(DécDim1+10)=12),DécDim1+10,""))</f>
        <v>47457</v>
      </c>
      <c r="U36" s="5">
        <f>IF(DAY(DécDim1)=1,IF(AND(YEAR(DécDim1+4)=AnnéeCalendrier,MONTH(DécDim1+4)=12),DécDim1+4,""),IF(AND(YEAR(DécDim1+11)=AnnéeCalendrier,MONTH(DécDim1+11)=12),DécDim1+11,""))</f>
        <v>47458</v>
      </c>
      <c r="V36" s="5">
        <f>IF(DAY(DécDim1)=1,IF(AND(YEAR(DécDim1+5)=AnnéeCalendrier,MONTH(DécDim1+5)=12),DécDim1+5,""),IF(AND(YEAR(DécDim1+12)=AnnéeCalendrier,MONTH(DécDim1+12)=12),DécDim1+12,""))</f>
        <v>47459</v>
      </c>
      <c r="W36" s="5">
        <f>IF(DAY(DécDim1)=1,IF(AND(YEAR(DécDim1+6)=AnnéeCalendrier,MONTH(DécDim1+6)=12),DécDim1+6,""),IF(AND(YEAR(DécDim1+13)=AnnéeCalendrier,MONTH(DécDim1+13)=12),DécDim1+13,""))</f>
        <v>47460</v>
      </c>
      <c r="X36" s="7">
        <f>IF(DAY(DécDim1)=1,IF(AND(YEAR(DécDim1+7)=AnnéeCalendrier,MONTH(DécDim1+7)=12),DécDim1+7,""),IF(AND(YEAR(DécDim1+14)=AnnéeCalendrier,MONTH(DécDim1+14)=12),DécDim1+14,""))</f>
        <v>47461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47406</v>
      </c>
      <c r="C37" s="5">
        <f>IF(DAY(OctDim1)=1,IF(AND(YEAR(OctDim1+9)=AnnéeCalendrier,MONTH(OctDim1+9)=10),OctDim1+9,""),IF(AND(YEAR(OctDim1+16)=AnnéeCalendrier,MONTH(OctDim1+16)=10),OctDim1+16,""))</f>
        <v>47407</v>
      </c>
      <c r="D37" s="5">
        <f>IF(DAY(OctDim1)=1,IF(AND(YEAR(OctDim1+10)=AnnéeCalendrier,MONTH(OctDim1+10)=10),OctDim1+10,""),IF(AND(YEAR(OctDim1+17)=AnnéeCalendrier,MONTH(OctDim1+17)=10),OctDim1+17,""))</f>
        <v>47408</v>
      </c>
      <c r="E37" s="5">
        <f>IF(DAY(OctDim1)=1,IF(AND(YEAR(OctDim1+11)=AnnéeCalendrier,MONTH(OctDim1+11)=10),OctDim1+11,""),IF(AND(YEAR(OctDim1+18)=AnnéeCalendrier,MONTH(OctDim1+18)=10),OctDim1+18,""))</f>
        <v>47409</v>
      </c>
      <c r="F37" s="5">
        <f>IF(DAY(OctDim1)=1,IF(AND(YEAR(OctDim1+12)=AnnéeCalendrier,MONTH(OctDim1+12)=10),OctDim1+12,""),IF(AND(YEAR(OctDim1+19)=AnnéeCalendrier,MONTH(OctDim1+19)=10),OctDim1+19,""))</f>
        <v>47410</v>
      </c>
      <c r="G37" s="5">
        <f>IF(DAY(OctDim1)=1,IF(AND(YEAR(OctDim1+13)=AnnéeCalendrier,MONTH(OctDim1+13)=10),OctDim1+13,""),IF(AND(YEAR(OctDim1+20)=AnnéeCalendrier,MONTH(OctDim1+20)=10),OctDim1+20,""))</f>
        <v>47411</v>
      </c>
      <c r="H37" s="7">
        <f>IF(DAY(OctDim1)=1,IF(AND(YEAR(OctDim1+14)=AnnéeCalendrier,MONTH(OctDim1+14)=10),OctDim1+14,""),IF(AND(YEAR(OctDim1+21)=AnnéeCalendrier,MONTH(OctDim1+21)=10),OctDim1+21,""))</f>
        <v>47412</v>
      </c>
      <c r="I37" s="4"/>
      <c r="J37" s="6">
        <f>IF(DAY(NovDim1)=1,IF(AND(YEAR(NovDim1+8)=AnnéeCalendrier,MONTH(NovDim1+8)=11),NovDim1+8,""),IF(AND(YEAR(NovDim1+15)=AnnéeCalendrier,MONTH(NovDim1+15)=11),NovDim1+15,""))</f>
        <v>47434</v>
      </c>
      <c r="K37" s="5">
        <f>IF(DAY(NovDim1)=1,IF(AND(YEAR(NovDim1+9)=AnnéeCalendrier,MONTH(NovDim1+9)=11),NovDim1+9,""),IF(AND(YEAR(NovDim1+16)=AnnéeCalendrier,MONTH(NovDim1+16)=11),NovDim1+16,""))</f>
        <v>47435</v>
      </c>
      <c r="L37" s="5">
        <f>IF(DAY(NovDim1)=1,IF(AND(YEAR(NovDim1+10)=AnnéeCalendrier,MONTH(NovDim1+10)=11),NovDim1+10,""),IF(AND(YEAR(NovDim1+17)=AnnéeCalendrier,MONTH(NovDim1+17)=11),NovDim1+17,""))</f>
        <v>47436</v>
      </c>
      <c r="M37" s="5">
        <f>IF(DAY(NovDim1)=1,IF(AND(YEAR(NovDim1+11)=AnnéeCalendrier,MONTH(NovDim1+11)=11),NovDim1+11,""),IF(AND(YEAR(NovDim1+18)=AnnéeCalendrier,MONTH(NovDim1+18)=11),NovDim1+18,""))</f>
        <v>47437</v>
      </c>
      <c r="N37" s="5">
        <f>IF(DAY(NovDim1)=1,IF(AND(YEAR(NovDim1+12)=AnnéeCalendrier,MONTH(NovDim1+12)=11),NovDim1+12,""),IF(AND(YEAR(NovDim1+19)=AnnéeCalendrier,MONTH(NovDim1+19)=11),NovDim1+19,""))</f>
        <v>47438</v>
      </c>
      <c r="O37" s="5">
        <f>IF(DAY(NovDim1)=1,IF(AND(YEAR(NovDim1+13)=AnnéeCalendrier,MONTH(NovDim1+13)=11),NovDim1+13,""),IF(AND(YEAR(NovDim1+20)=AnnéeCalendrier,MONTH(NovDim1+20)=11),NovDim1+20,""))</f>
        <v>47439</v>
      </c>
      <c r="P37" s="7">
        <f>IF(DAY(NovDim1)=1,IF(AND(YEAR(NovDim1+14)=AnnéeCalendrier,MONTH(NovDim1+14)=11),NovDim1+14,""),IF(AND(YEAR(NovDim1+21)=AnnéeCalendrier,MONTH(NovDim1+21)=11),NovDim1+21,""))</f>
        <v>47440</v>
      </c>
      <c r="R37" s="6">
        <f>IF(DAY(DécDim1)=1,IF(AND(YEAR(DécDim1+8)=AnnéeCalendrier,MONTH(DécDim1+8)=12),DécDim1+8,""),IF(AND(YEAR(DécDim1+15)=AnnéeCalendrier,MONTH(DécDim1+15)=12),DécDim1+15,""))</f>
        <v>47462</v>
      </c>
      <c r="S37" s="5">
        <f>IF(DAY(DécDim1)=1,IF(AND(YEAR(DécDim1+9)=AnnéeCalendrier,MONTH(DécDim1+9)=12),DécDim1+9,""),IF(AND(YEAR(DécDim1+16)=AnnéeCalendrier,MONTH(DécDim1+16)=12),DécDim1+16,""))</f>
        <v>47463</v>
      </c>
      <c r="T37" s="5">
        <f>IF(DAY(DécDim1)=1,IF(AND(YEAR(DécDim1+10)=AnnéeCalendrier,MONTH(DécDim1+10)=12),DécDim1+10,""),IF(AND(YEAR(DécDim1+17)=AnnéeCalendrier,MONTH(DécDim1+17)=12),DécDim1+17,""))</f>
        <v>47464</v>
      </c>
      <c r="U37" s="5">
        <f>IF(DAY(DécDim1)=1,IF(AND(YEAR(DécDim1+11)=AnnéeCalendrier,MONTH(DécDim1+11)=12),DécDim1+11,""),IF(AND(YEAR(DécDim1+18)=AnnéeCalendrier,MONTH(DécDim1+18)=12),DécDim1+18,""))</f>
        <v>47465</v>
      </c>
      <c r="V37" s="5">
        <f>IF(DAY(DécDim1)=1,IF(AND(YEAR(DécDim1+12)=AnnéeCalendrier,MONTH(DécDim1+12)=12),DécDim1+12,""),IF(AND(YEAR(DécDim1+19)=AnnéeCalendrier,MONTH(DécDim1+19)=12),DécDim1+19,""))</f>
        <v>47466</v>
      </c>
      <c r="W37" s="5">
        <f>IF(DAY(DécDim1)=1,IF(AND(YEAR(DécDim1+13)=AnnéeCalendrier,MONTH(DécDim1+13)=12),DécDim1+13,""),IF(AND(YEAR(DécDim1+20)=AnnéeCalendrier,MONTH(DécDim1+20)=12),DécDim1+20,""))</f>
        <v>47467</v>
      </c>
      <c r="X37" s="7">
        <f>IF(DAY(DécDim1)=1,IF(AND(YEAR(DécDim1+14)=AnnéeCalendrier,MONTH(DécDim1+14)=12),DécDim1+14,""),IF(AND(YEAR(DécDim1+21)=AnnéeCalendrier,MONTH(DécDim1+21)=12),DécDim1+21,""))</f>
        <v>47468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47413</v>
      </c>
      <c r="C38" s="5">
        <f>IF(DAY(OctDim1)=1,IF(AND(YEAR(OctDim1+16)=AnnéeCalendrier,MONTH(OctDim1+16)=10),OctDim1+16,""),IF(AND(YEAR(OctDim1+23)=AnnéeCalendrier,MONTH(OctDim1+23)=10),OctDim1+23,""))</f>
        <v>47414</v>
      </c>
      <c r="D38" s="5">
        <f>IF(DAY(OctDim1)=1,IF(AND(YEAR(OctDim1+17)=AnnéeCalendrier,MONTH(OctDim1+17)=10),OctDim1+17,""),IF(AND(YEAR(OctDim1+24)=AnnéeCalendrier,MONTH(OctDim1+24)=10),OctDim1+24,""))</f>
        <v>47415</v>
      </c>
      <c r="E38" s="5">
        <f>IF(DAY(OctDim1)=1,IF(AND(YEAR(OctDim1+18)=AnnéeCalendrier,MONTH(OctDim1+18)=10),OctDim1+18,""),IF(AND(YEAR(OctDim1+25)=AnnéeCalendrier,MONTH(OctDim1+25)=10),OctDim1+25,""))</f>
        <v>47416</v>
      </c>
      <c r="F38" s="5">
        <f>IF(DAY(OctDim1)=1,IF(AND(YEAR(OctDim1+19)=AnnéeCalendrier,MONTH(OctDim1+19)=10),OctDim1+19,""),IF(AND(YEAR(OctDim1+26)=AnnéeCalendrier,MONTH(OctDim1+26)=10),OctDim1+26,""))</f>
        <v>47417</v>
      </c>
      <c r="G38" s="5">
        <f>IF(DAY(OctDim1)=1,IF(AND(YEAR(OctDim1+20)=AnnéeCalendrier,MONTH(OctDim1+20)=10),OctDim1+20,""),IF(AND(YEAR(OctDim1+27)=AnnéeCalendrier,MONTH(OctDim1+27)=10),OctDim1+27,""))</f>
        <v>47418</v>
      </c>
      <c r="H38" s="7">
        <f>IF(DAY(OctDim1)=1,IF(AND(YEAR(OctDim1+21)=AnnéeCalendrier,MONTH(OctDim1+21)=10),OctDim1+21,""),IF(AND(YEAR(OctDim1+28)=AnnéeCalendrier,MONTH(OctDim1+28)=10),OctDim1+28,""))</f>
        <v>47419</v>
      </c>
      <c r="I38" s="4"/>
      <c r="J38" s="6">
        <f>IF(DAY(NovDim1)=1,IF(AND(YEAR(NovDim1+15)=AnnéeCalendrier,MONTH(NovDim1+15)=11),NovDim1+15,""),IF(AND(YEAR(NovDim1+22)=AnnéeCalendrier,MONTH(NovDim1+22)=11),NovDim1+22,""))</f>
        <v>47441</v>
      </c>
      <c r="K38" s="5">
        <f>IF(DAY(NovDim1)=1,IF(AND(YEAR(NovDim1+16)=AnnéeCalendrier,MONTH(NovDim1+16)=11),NovDim1+16,""),IF(AND(YEAR(NovDim1+23)=AnnéeCalendrier,MONTH(NovDim1+23)=11),NovDim1+23,""))</f>
        <v>47442</v>
      </c>
      <c r="L38" s="5">
        <f>IF(DAY(NovDim1)=1,IF(AND(YEAR(NovDim1+17)=AnnéeCalendrier,MONTH(NovDim1+17)=11),NovDim1+17,""),IF(AND(YEAR(NovDim1+24)=AnnéeCalendrier,MONTH(NovDim1+24)=11),NovDim1+24,""))</f>
        <v>47443</v>
      </c>
      <c r="M38" s="5">
        <f>IF(DAY(NovDim1)=1,IF(AND(YEAR(NovDim1+18)=AnnéeCalendrier,MONTH(NovDim1+18)=11),NovDim1+18,""),IF(AND(YEAR(NovDim1+25)=AnnéeCalendrier,MONTH(NovDim1+25)=11),NovDim1+25,""))</f>
        <v>47444</v>
      </c>
      <c r="N38" s="5">
        <f>IF(DAY(NovDim1)=1,IF(AND(YEAR(NovDim1+19)=AnnéeCalendrier,MONTH(NovDim1+19)=11),NovDim1+19,""),IF(AND(YEAR(NovDim1+26)=AnnéeCalendrier,MONTH(NovDim1+26)=11),NovDim1+26,""))</f>
        <v>47445</v>
      </c>
      <c r="O38" s="5">
        <f>IF(DAY(NovDim1)=1,IF(AND(YEAR(NovDim1+20)=AnnéeCalendrier,MONTH(NovDim1+20)=11),NovDim1+20,""),IF(AND(YEAR(NovDim1+27)=AnnéeCalendrier,MONTH(NovDim1+27)=11),NovDim1+27,""))</f>
        <v>47446</v>
      </c>
      <c r="P38" s="7">
        <f>IF(DAY(NovDim1)=1,IF(AND(YEAR(NovDim1+21)=AnnéeCalendrier,MONTH(NovDim1+21)=11),NovDim1+21,""),IF(AND(YEAR(NovDim1+28)=AnnéeCalendrier,MONTH(NovDim1+28)=11),NovDim1+28,""))</f>
        <v>47447</v>
      </c>
      <c r="R38" s="6">
        <f>IF(DAY(DécDim1)=1,IF(AND(YEAR(DécDim1+15)=AnnéeCalendrier,MONTH(DécDim1+15)=12),DécDim1+15,""),IF(AND(YEAR(DécDim1+22)=AnnéeCalendrier,MONTH(DécDim1+22)=12),DécDim1+22,""))</f>
        <v>47469</v>
      </c>
      <c r="S38" s="5">
        <f>IF(DAY(DécDim1)=1,IF(AND(YEAR(DécDim1+16)=AnnéeCalendrier,MONTH(DécDim1+16)=12),DécDim1+16,""),IF(AND(YEAR(DécDim1+23)=AnnéeCalendrier,MONTH(DécDim1+23)=12),DécDim1+23,""))</f>
        <v>47470</v>
      </c>
      <c r="T38" s="5">
        <f>IF(DAY(DécDim1)=1,IF(AND(YEAR(DécDim1+17)=AnnéeCalendrier,MONTH(DécDim1+17)=12),DécDim1+17,""),IF(AND(YEAR(DécDim1+24)=AnnéeCalendrier,MONTH(DécDim1+24)=12),DécDim1+24,""))</f>
        <v>47471</v>
      </c>
      <c r="U38" s="5">
        <f>IF(DAY(DécDim1)=1,IF(AND(YEAR(DécDim1+18)=AnnéeCalendrier,MONTH(DécDim1+18)=12),DécDim1+18,""),IF(AND(YEAR(DécDim1+25)=AnnéeCalendrier,MONTH(DécDim1+25)=12),DécDim1+25,""))</f>
        <v>47472</v>
      </c>
      <c r="V38" s="5">
        <f>IF(DAY(DécDim1)=1,IF(AND(YEAR(DécDim1+19)=AnnéeCalendrier,MONTH(DécDim1+19)=12),DécDim1+19,""),IF(AND(YEAR(DécDim1+26)=AnnéeCalendrier,MONTH(DécDim1+26)=12),DécDim1+26,""))</f>
        <v>47473</v>
      </c>
      <c r="W38" s="5">
        <f>IF(DAY(DécDim1)=1,IF(AND(YEAR(DécDim1+20)=AnnéeCalendrier,MONTH(DécDim1+20)=12),DécDim1+20,""),IF(AND(YEAR(DécDim1+27)=AnnéeCalendrier,MONTH(DécDim1+27)=12),DécDim1+27,""))</f>
        <v>47474</v>
      </c>
      <c r="X38" s="7">
        <f>IF(DAY(DécDim1)=1,IF(AND(YEAR(DécDim1+21)=AnnéeCalendrier,MONTH(DécDim1+21)=12),DécDim1+21,""),IF(AND(YEAR(DécDim1+28)=AnnéeCalendrier,MONTH(DécDim1+28)=12),DécDim1+28,""))</f>
        <v>47475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47420</v>
      </c>
      <c r="C39" s="5">
        <f>IF(DAY(OctDim1)=1,IF(AND(YEAR(OctDim1+23)=AnnéeCalendrier,MONTH(OctDim1+23)=10),OctDim1+23,""),IF(AND(YEAR(OctDim1+30)=AnnéeCalendrier,MONTH(OctDim1+30)=10),OctDim1+30,""))</f>
        <v>47421</v>
      </c>
      <c r="D39" s="5">
        <f>IF(DAY(OctDim1)=1,IF(AND(YEAR(OctDim1+24)=AnnéeCalendrier,MONTH(OctDim1+24)=10),OctDim1+24,""),IF(AND(YEAR(OctDim1+31)=AnnéeCalendrier,MONTH(OctDim1+31)=10),OctDim1+31,""))</f>
        <v>47422</v>
      </c>
      <c r="E39" s="5" t="str">
        <f>IF(DAY(OctDim1)=1,IF(AND(YEAR(OctDim1+25)=AnnéeCalendrier,MONTH(OctDim1+25)=10),OctDim1+25,""),IF(AND(YEAR(OctDim1+32)=AnnéeCalendrier,MONTH(OctDim1+32)=10),OctDim1+32,""))</f>
        <v/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47448</v>
      </c>
      <c r="K39" s="5">
        <f>IF(DAY(NovDim1)=1,IF(AND(YEAR(NovDim1+23)=AnnéeCalendrier,MONTH(NovDim1+23)=11),NovDim1+23,""),IF(AND(YEAR(NovDim1+30)=AnnéeCalendrier,MONTH(NovDim1+30)=11),NovDim1+30,""))</f>
        <v>47449</v>
      </c>
      <c r="L39" s="5">
        <f>IF(DAY(NovDim1)=1,IF(AND(YEAR(NovDim1+24)=AnnéeCalendrier,MONTH(NovDim1+24)=11),NovDim1+24,""),IF(AND(YEAR(NovDim1+31)=AnnéeCalendrier,MONTH(NovDim1+31)=11),NovDim1+31,""))</f>
        <v>47450</v>
      </c>
      <c r="M39" s="5">
        <f>IF(DAY(NovDim1)=1,IF(AND(YEAR(NovDim1+25)=AnnéeCalendrier,MONTH(NovDim1+25)=11),NovDim1+25,""),IF(AND(YEAR(NovDim1+32)=AnnéeCalendrier,MONTH(NovDim1+32)=11),NovDim1+32,""))</f>
        <v>47451</v>
      </c>
      <c r="N39" s="5">
        <f>IF(DAY(NovDim1)=1,IF(AND(YEAR(NovDim1+26)=AnnéeCalendrier,MONTH(NovDim1+26)=11),NovDim1+26,""),IF(AND(YEAR(NovDim1+33)=AnnéeCalendrier,MONTH(NovDim1+33)=11),NovDim1+33,""))</f>
        <v>47452</v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47476</v>
      </c>
      <c r="S39" s="5">
        <f>IF(DAY(DécDim1)=1,IF(AND(YEAR(DécDim1+23)=AnnéeCalendrier,MONTH(DécDim1+23)=12),DécDim1+23,""),IF(AND(YEAR(DécDim1+30)=AnnéeCalendrier,MONTH(DécDim1+30)=12),DécDim1+30,""))</f>
        <v>47477</v>
      </c>
      <c r="T39" s="5">
        <f>IF(DAY(DécDim1)=1,IF(AND(YEAR(DécDim1+24)=AnnéeCalendrier,MONTH(DécDim1+24)=12),DécDim1+24,""),IF(AND(YEAR(DécDim1+31)=AnnéeCalendrier,MONTH(DécDim1+31)=12),DécDim1+31,""))</f>
        <v>47478</v>
      </c>
      <c r="U39" s="5">
        <f>IF(DAY(DécDim1)=1,IF(AND(YEAR(DécDim1+25)=AnnéeCalendrier,MONTH(DécDim1+25)=12),DécDim1+25,""),IF(AND(YEAR(DécDim1+32)=AnnéeCalendrier,MONTH(DécDim1+32)=12),DécDim1+32,""))</f>
        <v>47479</v>
      </c>
      <c r="V39" s="5">
        <f>IF(DAY(DécDim1)=1,IF(AND(YEAR(DécDim1+26)=AnnéeCalendrier,MONTH(DécDim1+26)=12),DécDim1+26,""),IF(AND(YEAR(DécDim1+33)=AnnéeCalendrier,MONTH(DécDim1+33)=12),DécDim1+33,""))</f>
        <v>47480</v>
      </c>
      <c r="W39" s="5">
        <f>IF(DAY(DécDim1)=1,IF(AND(YEAR(DécDim1+27)=AnnéeCalendrier,MONTH(DécDim1+27)=12),DécDim1+27,""),IF(AND(YEAR(DécDim1+34)=AnnéeCalendrier,MONTH(DécDim1+34)=12),DécDim1+34,""))</f>
        <v>47481</v>
      </c>
      <c r="X39" s="7">
        <f>IF(DAY(DécDim1)=1,IF(AND(YEAR(DécDim1+28)=AnnéeCalendrier,MONTH(DécDim1+28)=12),DécDim1+28,""),IF(AND(YEAR(DécDim1+35)=AnnéeCalendrier,MONTH(DécDim1+35)=12),DécDim1+35,""))</f>
        <v>47482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47483</v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256" priority="1">
      <formula>LEN(TRIM(B8))&gt;0</formula>
    </cfRule>
  </conditionalFormatting>
  <conditionalFormatting sqref="J8:P13">
    <cfRule type="notContainsBlanks" dxfId="255" priority="2">
      <formula>LEN(TRIM(J8))&gt;0</formula>
    </cfRule>
  </conditionalFormatting>
  <conditionalFormatting sqref="R8:X13">
    <cfRule type="notContainsBlanks" dxfId="254" priority="3">
      <formula>LEN(TRIM(R8))&gt;0</formula>
    </cfRule>
  </conditionalFormatting>
  <conditionalFormatting sqref="B17:H22">
    <cfRule type="notContainsBlanks" dxfId="253" priority="4">
      <formula>LEN(TRIM(B17))&gt;0</formula>
    </cfRule>
  </conditionalFormatting>
  <conditionalFormatting sqref="J17:P22">
    <cfRule type="notContainsBlanks" dxfId="252" priority="5">
      <formula>LEN(TRIM(J17))&gt;0</formula>
    </cfRule>
  </conditionalFormatting>
  <conditionalFormatting sqref="R17:X22">
    <cfRule type="notContainsBlanks" dxfId="251" priority="6">
      <formula>LEN(TRIM(R17))&gt;0</formula>
    </cfRule>
  </conditionalFormatting>
  <conditionalFormatting sqref="R35:X40">
    <cfRule type="notContainsBlanks" dxfId="250" priority="12">
      <formula>LEN(TRIM(R35))&gt;0</formula>
    </cfRule>
  </conditionalFormatting>
  <conditionalFormatting sqref="B26:H31">
    <cfRule type="notContainsBlanks" dxfId="249" priority="7">
      <formula>LEN(TRIM(B26))&gt;0</formula>
    </cfRule>
  </conditionalFormatting>
  <conditionalFormatting sqref="J26:P31">
    <cfRule type="notContainsBlanks" dxfId="248" priority="8">
      <formula>LEN(TRIM(J26))&gt;0</formula>
    </cfRule>
  </conditionalFormatting>
  <conditionalFormatting sqref="R26:X31">
    <cfRule type="notContainsBlanks" dxfId="247" priority="9">
      <formula>LEN(TRIM(R26))&gt;0</formula>
    </cfRule>
  </conditionalFormatting>
  <conditionalFormatting sqref="B35:H40">
    <cfRule type="notContainsBlanks" dxfId="246" priority="10">
      <formula>LEN(TRIM(B35))&gt;0</formula>
    </cfRule>
  </conditionalFormatting>
  <conditionalFormatting sqref="J35:P40">
    <cfRule type="notContainsBlanks" dxfId="245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C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C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wsTCalendar14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2030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>
        <f>IF(DAY(JanDim1)=1,"",IF(AND(YEAR(JanDim1+2)=AnnéeCalendrier,MONTH(JanDim1+2)=1),JanDim1+2,""))</f>
        <v>47484</v>
      </c>
      <c r="D8" s="5">
        <f>IF(DAY(JanDim1)=1,"",IF(AND(YEAR(JanDim1+3)=AnnéeCalendrier,MONTH(JanDim1+3)=1),JanDim1+3,""))</f>
        <v>47485</v>
      </c>
      <c r="E8" s="5">
        <f>IF(DAY(JanDim1)=1,"",IF(AND(YEAR(JanDim1+4)=AnnéeCalendrier,MONTH(JanDim1+4)=1),JanDim1+4,""))</f>
        <v>47486</v>
      </c>
      <c r="F8" s="5">
        <f>IF(DAY(JanDim1)=1,"",IF(AND(YEAR(JanDim1+5)=AnnéeCalendrier,MONTH(JanDim1+5)=1),JanDim1+5,""))</f>
        <v>47487</v>
      </c>
      <c r="G8" s="5">
        <f>IF(DAY(JanDim1)=1,"",IF(AND(YEAR(JanDim1+6)=AnnéeCalendrier,MONTH(JanDim1+6)=1),JanDim1+6,""))</f>
        <v>47488</v>
      </c>
      <c r="H8" s="5">
        <f>IF(DAY(JanDim1)=1,IF(AND(YEAR(JanDim1)=AnnéeCalendrier,MONTH(JanDim1)=1),JanDim1,""),IF(AND(YEAR(JanDim1+7)=AnnéeCalendrier,MONTH(JanDim1+7)=1),JanDim1+7,""))</f>
        <v>47489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>
        <f>IF(DAY(FévDim1)=1,"",IF(AND(YEAR(FévDim1+5)=AnnéeCalendrier,MONTH(FévDim1+5)=2),FévDim1+5,""))</f>
        <v>47515</v>
      </c>
      <c r="O8" s="5">
        <f>IF(DAY(FévDim1)=1,"",IF(AND(YEAR(FévDim1+6)=AnnéeCalendrier,MONTH(FévDim1+6)=2),FévDim1+6,""))</f>
        <v>47516</v>
      </c>
      <c r="P8" s="5">
        <f>IF(DAY(FévDim1)=1,IF(AND(YEAR(FévDim1)=AnnéeCalendrier,MONTH(FévDim1)=2),FévDim1,""),IF(AND(YEAR(FévDim1+7)=AnnéeCalendrier,MONTH(FévDim1+7)=2),FévDim1+7,""))</f>
        <v>47517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>
        <f>IF(DAY(MarDim1)=1,"",IF(AND(YEAR(MarDim1+5)=AnnéeCalendrier,MONTH(MarDim1+5)=3),MarDim1+5,""))</f>
        <v>47543</v>
      </c>
      <c r="W8" s="5">
        <f>IF(DAY(MarDim1)=1,"",IF(AND(YEAR(MarDim1+6)=AnnéeCalendrier,MONTH(MarDim1+6)=3),MarDim1+6,""))</f>
        <v>47544</v>
      </c>
      <c r="X8" s="5">
        <f>IF(DAY(MarDim1)=1,IF(AND(YEAR(MarDim1)=AnnéeCalendrier,MONTH(MarDim1)=3),MarDim1,""),IF(AND(YEAR(MarDim1+7)=AnnéeCalendrier,MONTH(MarDim1+7)=3),MarDim1+7,""))</f>
        <v>47545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47490</v>
      </c>
      <c r="C9" s="5">
        <f>IF(DAY(JanDim1)=1,IF(AND(YEAR(JanDim1+2)=AnnéeCalendrier,MONTH(JanDim1+2)=1),JanDim1+2,""),IF(AND(YEAR(JanDim1+9)=AnnéeCalendrier,MONTH(JanDim1+9)=1),JanDim1+9,""))</f>
        <v>47491</v>
      </c>
      <c r="D9" s="5">
        <f>IF(DAY(JanDim1)=1,IF(AND(YEAR(JanDim1+3)=AnnéeCalendrier,MONTH(JanDim1+3)=1),JanDim1+3,""),IF(AND(YEAR(JanDim1+10)=AnnéeCalendrier,MONTH(JanDim1+10)=1),JanDim1+10,""))</f>
        <v>47492</v>
      </c>
      <c r="E9" s="5">
        <f>IF(DAY(JanDim1)=1,IF(AND(YEAR(JanDim1+4)=AnnéeCalendrier,MONTH(JanDim1+4)=1),JanDim1+4,""),IF(AND(YEAR(JanDim1+11)=AnnéeCalendrier,MONTH(JanDim1+11)=1),JanDim1+11,""))</f>
        <v>47493</v>
      </c>
      <c r="F9" s="5">
        <f>IF(DAY(JanDim1)=1,IF(AND(YEAR(JanDim1+5)=AnnéeCalendrier,MONTH(JanDim1+5)=1),JanDim1+5,""),IF(AND(YEAR(JanDim1+12)=AnnéeCalendrier,MONTH(JanDim1+12)=1),JanDim1+12,""))</f>
        <v>47494</v>
      </c>
      <c r="G9" s="5">
        <f>IF(DAY(JanDim1)=1,IF(AND(YEAR(JanDim1+6)=AnnéeCalendrier,MONTH(JanDim1+6)=1),JanDim1+6,""),IF(AND(YEAR(JanDim1+13)=AnnéeCalendrier,MONTH(JanDim1+13)=1),JanDim1+13,""))</f>
        <v>47495</v>
      </c>
      <c r="H9" s="5">
        <f>IF(DAY(JanDim1)=1,IF(AND(YEAR(JanDim1+7)=AnnéeCalendrier,MONTH(JanDim1+7)=1),JanDim1+7,""),IF(AND(YEAR(JanDim1+14)=AnnéeCalendrier,MONTH(JanDim1+14)=1),JanDim1+14,""))</f>
        <v>47496</v>
      </c>
      <c r="I9" s="4"/>
      <c r="J9" s="5">
        <f>IF(DAY(FévDim1)=1,IF(AND(YEAR(FévDim1+1)=AnnéeCalendrier,MONTH(FévDim1+1)=2),FévDim1+1,""),IF(AND(YEAR(FévDim1+8)=AnnéeCalendrier,MONTH(FévDim1+8)=2),FévDim1+8,""))</f>
        <v>47518</v>
      </c>
      <c r="K9" s="5">
        <f>IF(DAY(FévDim1)=1,IF(AND(YEAR(FévDim1+2)=AnnéeCalendrier,MONTH(FévDim1+2)=2),FévDim1+2,""),IF(AND(YEAR(FévDim1+9)=AnnéeCalendrier,MONTH(FévDim1+9)=2),FévDim1+9,""))</f>
        <v>47519</v>
      </c>
      <c r="L9" s="5">
        <f>IF(DAY(FévDim1)=1,IF(AND(YEAR(FévDim1+3)=AnnéeCalendrier,MONTH(FévDim1+3)=2),FévDim1+3,""),IF(AND(YEAR(FévDim1+10)=AnnéeCalendrier,MONTH(FévDim1+10)=2),FévDim1+10,""))</f>
        <v>47520</v>
      </c>
      <c r="M9" s="5">
        <f>IF(DAY(FévDim1)=1,IF(AND(YEAR(FévDim1+4)=AnnéeCalendrier,MONTH(FévDim1+4)=2),FévDim1+4,""),IF(AND(YEAR(FévDim1+11)=AnnéeCalendrier,MONTH(FévDim1+11)=2),FévDim1+11,""))</f>
        <v>47521</v>
      </c>
      <c r="N9" s="5">
        <f>IF(DAY(FévDim1)=1,IF(AND(YEAR(FévDim1+5)=AnnéeCalendrier,MONTH(FévDim1+5)=2),FévDim1+5,""),IF(AND(YEAR(FévDim1+12)=AnnéeCalendrier,MONTH(FévDim1+12)=2),FévDim1+12,""))</f>
        <v>47522</v>
      </c>
      <c r="O9" s="5">
        <f>IF(DAY(FévDim1)=1,IF(AND(YEAR(FévDim1+6)=AnnéeCalendrier,MONTH(FévDim1+6)=2),FévDim1+6,""),IF(AND(YEAR(FévDim1+13)=AnnéeCalendrier,MONTH(FévDim1+13)=2),FévDim1+13,""))</f>
        <v>47523</v>
      </c>
      <c r="P9" s="5">
        <f>IF(DAY(FévDim1)=1,IF(AND(YEAR(FévDim1+7)=AnnéeCalendrier,MONTH(FévDim1+7)=2),FévDim1+7,""),IF(AND(YEAR(FévDim1+14)=AnnéeCalendrier,MONTH(FévDim1+14)=2),FévDim1+14,""))</f>
        <v>47524</v>
      </c>
      <c r="Q9" s="4"/>
      <c r="R9" s="5">
        <f>IF(DAY(MarDim1)=1,IF(AND(YEAR(MarDim1+1)=AnnéeCalendrier,MONTH(MarDim1+1)=3),MarDim1+1,""),IF(AND(YEAR(MarDim1+8)=AnnéeCalendrier,MONTH(MarDim1+8)=3),MarDim1+8,""))</f>
        <v>47546</v>
      </c>
      <c r="S9" s="5">
        <f>IF(DAY(MarDim1)=1,IF(AND(YEAR(MarDim1+2)=AnnéeCalendrier,MONTH(MarDim1+2)=3),MarDim1+2,""),IF(AND(YEAR(MarDim1+9)=AnnéeCalendrier,MONTH(MarDim1+9)=3),MarDim1+9,""))</f>
        <v>47547</v>
      </c>
      <c r="T9" s="5">
        <f>IF(DAY(MarDim1)=1,IF(AND(YEAR(MarDim1+3)=AnnéeCalendrier,MONTH(MarDim1+3)=3),MarDim1+3,""),IF(AND(YEAR(MarDim1+10)=AnnéeCalendrier,MONTH(MarDim1+10)=3),MarDim1+10,""))</f>
        <v>47548</v>
      </c>
      <c r="U9" s="5">
        <f>IF(DAY(MarDim1)=1,IF(AND(YEAR(MarDim1+4)=AnnéeCalendrier,MONTH(MarDim1+4)=3),MarDim1+4,""),IF(AND(YEAR(MarDim1+11)=AnnéeCalendrier,MONTH(MarDim1+11)=3),MarDim1+11,""))</f>
        <v>47549</v>
      </c>
      <c r="V9" s="5">
        <f>IF(DAY(MarDim1)=1,IF(AND(YEAR(MarDim1+5)=AnnéeCalendrier,MONTH(MarDim1+5)=3),MarDim1+5,""),IF(AND(YEAR(MarDim1+12)=AnnéeCalendrier,MONTH(MarDim1+12)=3),MarDim1+12,""))</f>
        <v>47550</v>
      </c>
      <c r="W9" s="5">
        <f>IF(DAY(MarDim1)=1,IF(AND(YEAR(MarDim1+6)=AnnéeCalendrier,MONTH(MarDim1+6)=3),MarDim1+6,""),IF(AND(YEAR(MarDim1+13)=AnnéeCalendrier,MONTH(MarDim1+13)=3),MarDim1+13,""))</f>
        <v>47551</v>
      </c>
      <c r="X9" s="5">
        <f>IF(DAY(MarDim1)=1,IF(AND(YEAR(MarDim1+7)=AnnéeCalendrier,MONTH(MarDim1+7)=3),MarDim1+7,""),IF(AND(YEAR(MarDim1+14)=AnnéeCalendrier,MONTH(MarDim1+14)=3),MarDim1+14,""))</f>
        <v>47552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47497</v>
      </c>
      <c r="C10" s="5">
        <f>IF(DAY(JanDim1)=1,IF(AND(YEAR(JanDim1+9)=AnnéeCalendrier,MONTH(JanDim1+9)=1),JanDim1+9,""),IF(AND(YEAR(JanDim1+16)=AnnéeCalendrier,MONTH(JanDim1+16)=1),JanDim1+16,""))</f>
        <v>47498</v>
      </c>
      <c r="D10" s="5">
        <f>IF(DAY(JanDim1)=1,IF(AND(YEAR(JanDim1+10)=AnnéeCalendrier,MONTH(JanDim1+10)=1),JanDim1+10,""),IF(AND(YEAR(JanDim1+17)=AnnéeCalendrier,MONTH(JanDim1+17)=1),JanDim1+17,""))</f>
        <v>47499</v>
      </c>
      <c r="E10" s="5">
        <f>IF(DAY(JanDim1)=1,IF(AND(YEAR(JanDim1+11)=AnnéeCalendrier,MONTH(JanDim1+11)=1),JanDim1+11,""),IF(AND(YEAR(JanDim1+18)=AnnéeCalendrier,MONTH(JanDim1+18)=1),JanDim1+18,""))</f>
        <v>47500</v>
      </c>
      <c r="F10" s="5">
        <f>IF(DAY(JanDim1)=1,IF(AND(YEAR(JanDim1+12)=AnnéeCalendrier,MONTH(JanDim1+12)=1),JanDim1+12,""),IF(AND(YEAR(JanDim1+19)=AnnéeCalendrier,MONTH(JanDim1+19)=1),JanDim1+19,""))</f>
        <v>47501</v>
      </c>
      <c r="G10" s="5">
        <f>IF(DAY(JanDim1)=1,IF(AND(YEAR(JanDim1+13)=AnnéeCalendrier,MONTH(JanDim1+13)=1),JanDim1+13,""),IF(AND(YEAR(JanDim1+20)=AnnéeCalendrier,MONTH(JanDim1+20)=1),JanDim1+20,""))</f>
        <v>47502</v>
      </c>
      <c r="H10" s="5">
        <f>IF(DAY(JanDim1)=1,IF(AND(YEAR(JanDim1+14)=AnnéeCalendrier,MONTH(JanDim1+14)=1),JanDim1+14,""),IF(AND(YEAR(JanDim1+21)=AnnéeCalendrier,MONTH(JanDim1+21)=1),JanDim1+21,""))</f>
        <v>47503</v>
      </c>
      <c r="I10" s="4"/>
      <c r="J10" s="5">
        <f>IF(DAY(FévDim1)=1,IF(AND(YEAR(FévDim1+8)=AnnéeCalendrier,MONTH(FévDim1+8)=2),FévDim1+8,""),IF(AND(YEAR(FévDim1+15)=AnnéeCalendrier,MONTH(FévDim1+15)=2),FévDim1+15,""))</f>
        <v>47525</v>
      </c>
      <c r="K10" s="5">
        <f>IF(DAY(FévDim1)=1,IF(AND(YEAR(FévDim1+9)=AnnéeCalendrier,MONTH(FévDim1+9)=2),FévDim1+9,""),IF(AND(YEAR(FévDim1+16)=AnnéeCalendrier,MONTH(FévDim1+16)=2),FévDim1+16,""))</f>
        <v>47526</v>
      </c>
      <c r="L10" s="5">
        <f>IF(DAY(FévDim1)=1,IF(AND(YEAR(FévDim1+10)=AnnéeCalendrier,MONTH(FévDim1+10)=2),FévDim1+10,""),IF(AND(YEAR(FévDim1+17)=AnnéeCalendrier,MONTH(FévDim1+17)=2),FévDim1+17,""))</f>
        <v>47527</v>
      </c>
      <c r="M10" s="5">
        <f>IF(DAY(FévDim1)=1,IF(AND(YEAR(FévDim1+11)=AnnéeCalendrier,MONTH(FévDim1+11)=2),FévDim1+11,""),IF(AND(YEAR(FévDim1+18)=AnnéeCalendrier,MONTH(FévDim1+18)=2),FévDim1+18,""))</f>
        <v>47528</v>
      </c>
      <c r="N10" s="5">
        <f>IF(DAY(FévDim1)=1,IF(AND(YEAR(FévDim1+12)=AnnéeCalendrier,MONTH(FévDim1+12)=2),FévDim1+12,""),IF(AND(YEAR(FévDim1+19)=AnnéeCalendrier,MONTH(FévDim1+19)=2),FévDim1+19,""))</f>
        <v>47529</v>
      </c>
      <c r="O10" s="5">
        <f>IF(DAY(FévDim1)=1,IF(AND(YEAR(FévDim1+13)=AnnéeCalendrier,MONTH(FévDim1+13)=2),FévDim1+13,""),IF(AND(YEAR(FévDim1+20)=AnnéeCalendrier,MONTH(FévDim1+20)=2),FévDim1+20,""))</f>
        <v>47530</v>
      </c>
      <c r="P10" s="5">
        <f>IF(DAY(FévDim1)=1,IF(AND(YEAR(FévDim1+14)=AnnéeCalendrier,MONTH(FévDim1+14)=2),FévDim1+14,""),IF(AND(YEAR(FévDim1+21)=AnnéeCalendrier,MONTH(FévDim1+21)=2),FévDim1+21,""))</f>
        <v>47531</v>
      </c>
      <c r="Q10" s="4"/>
      <c r="R10" s="5">
        <f>IF(DAY(MarDim1)=1,IF(AND(YEAR(MarDim1+8)=AnnéeCalendrier,MONTH(MarDim1+8)=3),MarDim1+8,""),IF(AND(YEAR(MarDim1+15)=AnnéeCalendrier,MONTH(MarDim1+15)=3),MarDim1+15,""))</f>
        <v>47553</v>
      </c>
      <c r="S10" s="5">
        <f>IF(DAY(MarDim1)=1,IF(AND(YEAR(MarDim1+9)=AnnéeCalendrier,MONTH(MarDim1+9)=3),MarDim1+9,""),IF(AND(YEAR(MarDim1+16)=AnnéeCalendrier,MONTH(MarDim1+16)=3),MarDim1+16,""))</f>
        <v>47554</v>
      </c>
      <c r="T10" s="5">
        <f>IF(DAY(MarDim1)=1,IF(AND(YEAR(MarDim1+10)=AnnéeCalendrier,MONTH(MarDim1+10)=3),MarDim1+10,""),IF(AND(YEAR(MarDim1+17)=AnnéeCalendrier,MONTH(MarDim1+17)=3),MarDim1+17,""))</f>
        <v>47555</v>
      </c>
      <c r="U10" s="5">
        <f>IF(DAY(MarDim1)=1,IF(AND(YEAR(MarDim1+11)=AnnéeCalendrier,MONTH(MarDim1+11)=3),MarDim1+11,""),IF(AND(YEAR(MarDim1+18)=AnnéeCalendrier,MONTH(MarDim1+18)=3),MarDim1+18,""))</f>
        <v>47556</v>
      </c>
      <c r="V10" s="5">
        <f>IF(DAY(MarDim1)=1,IF(AND(YEAR(MarDim1+12)=AnnéeCalendrier,MONTH(MarDim1+12)=3),MarDim1+12,""),IF(AND(YEAR(MarDim1+19)=AnnéeCalendrier,MONTH(MarDim1+19)=3),MarDim1+19,""))</f>
        <v>47557</v>
      </c>
      <c r="W10" s="5">
        <f>IF(DAY(MarDim1)=1,IF(AND(YEAR(MarDim1+13)=AnnéeCalendrier,MONTH(MarDim1+13)=3),MarDim1+13,""),IF(AND(YEAR(MarDim1+20)=AnnéeCalendrier,MONTH(MarDim1+20)=3),MarDim1+20,""))</f>
        <v>47558</v>
      </c>
      <c r="X10" s="5">
        <f>IF(DAY(MarDim1)=1,IF(AND(YEAR(MarDim1+14)=AnnéeCalendrier,MONTH(MarDim1+14)=3),MarDim1+14,""),IF(AND(YEAR(MarDim1+21)=AnnéeCalendrier,MONTH(MarDim1+21)=3),MarDim1+21,""))</f>
        <v>47559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47504</v>
      </c>
      <c r="C11" s="5">
        <f>IF(DAY(JanDim1)=1,IF(AND(YEAR(JanDim1+16)=AnnéeCalendrier,MONTH(JanDim1+16)=1),JanDim1+16,""),IF(AND(YEAR(JanDim1+23)=AnnéeCalendrier,MONTH(JanDim1+23)=1),JanDim1+23,""))</f>
        <v>47505</v>
      </c>
      <c r="D11" s="5">
        <f>IF(DAY(JanDim1)=1,IF(AND(YEAR(JanDim1+17)=AnnéeCalendrier,MONTH(JanDim1+17)=1),JanDim1+17,""),IF(AND(YEAR(JanDim1+24)=AnnéeCalendrier,MONTH(JanDim1+24)=1),JanDim1+24,""))</f>
        <v>47506</v>
      </c>
      <c r="E11" s="5">
        <f>IF(DAY(JanDim1)=1,IF(AND(YEAR(JanDim1+18)=AnnéeCalendrier,MONTH(JanDim1+18)=1),JanDim1+18,""),IF(AND(YEAR(JanDim1+25)=AnnéeCalendrier,MONTH(JanDim1+25)=1),JanDim1+25,""))</f>
        <v>47507</v>
      </c>
      <c r="F11" s="5">
        <f>IF(DAY(JanDim1)=1,IF(AND(YEAR(JanDim1+19)=AnnéeCalendrier,MONTH(JanDim1+19)=1),JanDim1+19,""),IF(AND(YEAR(JanDim1+26)=AnnéeCalendrier,MONTH(JanDim1+26)=1),JanDim1+26,""))</f>
        <v>47508</v>
      </c>
      <c r="G11" s="5">
        <f>IF(DAY(JanDim1)=1,IF(AND(YEAR(JanDim1+20)=AnnéeCalendrier,MONTH(JanDim1+20)=1),JanDim1+20,""),IF(AND(YEAR(JanDim1+27)=AnnéeCalendrier,MONTH(JanDim1+27)=1),JanDim1+27,""))</f>
        <v>47509</v>
      </c>
      <c r="H11" s="5">
        <f>IF(DAY(JanDim1)=1,IF(AND(YEAR(JanDim1+21)=AnnéeCalendrier,MONTH(JanDim1+21)=1),JanDim1+21,""),IF(AND(YEAR(JanDim1+28)=AnnéeCalendrier,MONTH(JanDim1+28)=1),JanDim1+28,""))</f>
        <v>47510</v>
      </c>
      <c r="I11" s="4"/>
      <c r="J11" s="5">
        <f>IF(DAY(FévDim1)=1,IF(AND(YEAR(FévDim1+15)=AnnéeCalendrier,MONTH(FévDim1+15)=2),FévDim1+15,""),IF(AND(YEAR(FévDim1+22)=AnnéeCalendrier,MONTH(FévDim1+22)=2),FévDim1+22,""))</f>
        <v>47532</v>
      </c>
      <c r="K11" s="5">
        <f>IF(DAY(FévDim1)=1,IF(AND(YEAR(FévDim1+16)=AnnéeCalendrier,MONTH(FévDim1+16)=2),FévDim1+16,""),IF(AND(YEAR(FévDim1+23)=AnnéeCalendrier,MONTH(FévDim1+23)=2),FévDim1+23,""))</f>
        <v>47533</v>
      </c>
      <c r="L11" s="5">
        <f>IF(DAY(FévDim1)=1,IF(AND(YEAR(FévDim1+17)=AnnéeCalendrier,MONTH(FévDim1+17)=2),FévDim1+17,""),IF(AND(YEAR(FévDim1+24)=AnnéeCalendrier,MONTH(FévDim1+24)=2),FévDim1+24,""))</f>
        <v>47534</v>
      </c>
      <c r="M11" s="5">
        <f>IF(DAY(FévDim1)=1,IF(AND(YEAR(FévDim1+18)=AnnéeCalendrier,MONTH(FévDim1+18)=2),FévDim1+18,""),IF(AND(YEAR(FévDim1+25)=AnnéeCalendrier,MONTH(FévDim1+25)=2),FévDim1+25,""))</f>
        <v>47535</v>
      </c>
      <c r="N11" s="5">
        <f>IF(DAY(FévDim1)=1,IF(AND(YEAR(FévDim1+19)=AnnéeCalendrier,MONTH(FévDim1+19)=2),FévDim1+19,""),IF(AND(YEAR(FévDim1+26)=AnnéeCalendrier,MONTH(FévDim1+26)=2),FévDim1+26,""))</f>
        <v>47536</v>
      </c>
      <c r="O11" s="5">
        <f>IF(DAY(FévDim1)=1,IF(AND(YEAR(FévDim1+20)=AnnéeCalendrier,MONTH(FévDim1+20)=2),FévDim1+20,""),IF(AND(YEAR(FévDim1+27)=AnnéeCalendrier,MONTH(FévDim1+27)=2),FévDim1+27,""))</f>
        <v>47537</v>
      </c>
      <c r="P11" s="5">
        <f>IF(DAY(FévDim1)=1,IF(AND(YEAR(FévDim1+21)=AnnéeCalendrier,MONTH(FévDim1+21)=2),FévDim1+21,""),IF(AND(YEAR(FévDim1+28)=AnnéeCalendrier,MONTH(FévDim1+28)=2),FévDim1+28,""))</f>
        <v>47538</v>
      </c>
      <c r="Q11" s="4"/>
      <c r="R11" s="5">
        <f>IF(DAY(MarDim1)=1,IF(AND(YEAR(MarDim1+15)=AnnéeCalendrier,MONTH(MarDim1+15)=3),MarDim1+15,""),IF(AND(YEAR(MarDim1+22)=AnnéeCalendrier,MONTH(MarDim1+22)=3),MarDim1+22,""))</f>
        <v>47560</v>
      </c>
      <c r="S11" s="5">
        <f>IF(DAY(MarDim1)=1,IF(AND(YEAR(MarDim1+16)=AnnéeCalendrier,MONTH(MarDim1+16)=3),MarDim1+16,""),IF(AND(YEAR(MarDim1+23)=AnnéeCalendrier,MONTH(MarDim1+23)=3),MarDim1+23,""))</f>
        <v>47561</v>
      </c>
      <c r="T11" s="5">
        <f>IF(DAY(MarDim1)=1,IF(AND(YEAR(MarDim1+17)=AnnéeCalendrier,MONTH(MarDim1+17)=3),MarDim1+17,""),IF(AND(YEAR(MarDim1+24)=AnnéeCalendrier,MONTH(MarDim1+24)=3),MarDim1+24,""))</f>
        <v>47562</v>
      </c>
      <c r="U11" s="5">
        <f>IF(DAY(MarDim1)=1,IF(AND(YEAR(MarDim1+18)=AnnéeCalendrier,MONTH(MarDim1+18)=3),MarDim1+18,""),IF(AND(YEAR(MarDim1+25)=AnnéeCalendrier,MONTH(MarDim1+25)=3),MarDim1+25,""))</f>
        <v>47563</v>
      </c>
      <c r="V11" s="5">
        <f>IF(DAY(MarDim1)=1,IF(AND(YEAR(MarDim1+19)=AnnéeCalendrier,MONTH(MarDim1+19)=3),MarDim1+19,""),IF(AND(YEAR(MarDim1+26)=AnnéeCalendrier,MONTH(MarDim1+26)=3),MarDim1+26,""))</f>
        <v>47564</v>
      </c>
      <c r="W11" s="5">
        <f>IF(DAY(MarDim1)=1,IF(AND(YEAR(MarDim1+20)=AnnéeCalendrier,MONTH(MarDim1+20)=3),MarDim1+20,""),IF(AND(YEAR(MarDim1+27)=AnnéeCalendrier,MONTH(MarDim1+27)=3),MarDim1+27,""))</f>
        <v>47565</v>
      </c>
      <c r="X11" s="5">
        <f>IF(DAY(MarDim1)=1,IF(AND(YEAR(MarDim1+21)=AnnéeCalendrier,MONTH(MarDim1+21)=3),MarDim1+21,""),IF(AND(YEAR(MarDim1+28)=AnnéeCalendrier,MONTH(MarDim1+28)=3),MarDim1+28,""))</f>
        <v>47566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47511</v>
      </c>
      <c r="C12" s="5">
        <f>IF(DAY(JanDim1)=1,IF(AND(YEAR(JanDim1+23)=AnnéeCalendrier,MONTH(JanDim1+23)=1),JanDim1+23,""),IF(AND(YEAR(JanDim1+30)=AnnéeCalendrier,MONTH(JanDim1+30)=1),JanDim1+30,""))</f>
        <v>47512</v>
      </c>
      <c r="D12" s="5">
        <f>IF(DAY(JanDim1)=1,IF(AND(YEAR(JanDim1+24)=AnnéeCalendrier,MONTH(JanDim1+24)=1),JanDim1+24,""),IF(AND(YEAR(JanDim1+31)=AnnéeCalendrier,MONTH(JanDim1+31)=1),JanDim1+31,""))</f>
        <v>47513</v>
      </c>
      <c r="E12" s="5">
        <f>IF(DAY(JanDim1)=1,IF(AND(YEAR(JanDim1+25)=AnnéeCalendrier,MONTH(JanDim1+25)=1),JanDim1+25,""),IF(AND(YEAR(JanDim1+32)=AnnéeCalendrier,MONTH(JanDim1+32)=1),JanDim1+32,""))</f>
        <v>47514</v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47539</v>
      </c>
      <c r="K12" s="5">
        <f>IF(DAY(FévDim1)=1,IF(AND(YEAR(FévDim1+23)=AnnéeCalendrier,MONTH(FévDim1+23)=2),FévDim1+23,""),IF(AND(YEAR(FévDim1+30)=AnnéeCalendrier,MONTH(FévDim1+30)=2),FévDim1+30,""))</f>
        <v>47540</v>
      </c>
      <c r="L12" s="5">
        <f>IF(DAY(FévDim1)=1,IF(AND(YEAR(FévDim1+24)=AnnéeCalendrier,MONTH(FévDim1+24)=2),FévDim1+24,""),IF(AND(YEAR(FévDim1+31)=AnnéeCalendrier,MONTH(FévDim1+31)=2),FévDim1+31,""))</f>
        <v>47541</v>
      </c>
      <c r="M12" s="5">
        <f>IF(DAY(FévDim1)=1,IF(AND(YEAR(FévDim1+25)=AnnéeCalendrier,MONTH(FévDim1+25)=2),FévDim1+25,""),IF(AND(YEAR(FévDim1+32)=AnnéeCalendrier,MONTH(FévDim1+32)=2),FévDim1+32,""))</f>
        <v>47542</v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47567</v>
      </c>
      <c r="S12" s="5">
        <f>IF(DAY(MarDim1)=1,IF(AND(YEAR(MarDim1+23)=AnnéeCalendrier,MONTH(MarDim1+23)=3),MarDim1+23,""),IF(AND(YEAR(MarDim1+30)=AnnéeCalendrier,MONTH(MarDim1+30)=3),MarDim1+30,""))</f>
        <v>47568</v>
      </c>
      <c r="T12" s="5">
        <f>IF(DAY(MarDim1)=1,IF(AND(YEAR(MarDim1+24)=AnnéeCalendrier,MONTH(MarDim1+24)=3),MarDim1+24,""),IF(AND(YEAR(MarDim1+31)=AnnéeCalendrier,MONTH(MarDim1+31)=3),MarDim1+31,""))</f>
        <v>47569</v>
      </c>
      <c r="U12" s="5">
        <f>IF(DAY(MarDim1)=1,IF(AND(YEAR(MarDim1+25)=AnnéeCalendrier,MONTH(MarDim1+25)=3),MarDim1+25,""),IF(AND(YEAR(MarDim1+32)=AnnéeCalendrier,MONTH(MarDim1+32)=3),MarDim1+32,""))</f>
        <v>47570</v>
      </c>
      <c r="V12" s="5">
        <f>IF(DAY(MarDim1)=1,IF(AND(YEAR(MarDim1+26)=AnnéeCalendrier,MONTH(MarDim1+26)=3),MarDim1+26,""),IF(AND(YEAR(MarDim1+33)=AnnéeCalendrier,MONTH(MarDim1+33)=3),MarDim1+33,""))</f>
        <v>47571</v>
      </c>
      <c r="W12" s="5">
        <f>IF(DAY(MarDim1)=1,IF(AND(YEAR(MarDim1+27)=AnnéeCalendrier,MONTH(MarDim1+27)=3),MarDim1+27,""),IF(AND(YEAR(MarDim1+34)=AnnéeCalendrier,MONTH(MarDim1+34)=3),MarDim1+34,""))</f>
        <v>47572</v>
      </c>
      <c r="X12" s="5">
        <f>IF(DAY(MarDim1)=1,IF(AND(YEAR(MarDim1+28)=AnnéeCalendrier,MONTH(MarDim1+28)=3),MarDim1+28,""),IF(AND(YEAR(MarDim1+35)=AnnéeCalendrier,MONTH(MarDim1+35)=3),MarDim1+35,""))</f>
        <v>47573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>
        <f>IF(DAY(AvrDim1)=1,"",IF(AND(YEAR(AvrDim1+1)=AnnéeCalendrier,MONTH(AvrDim1+1)=4),AvrDim1+1,""))</f>
        <v>47574</v>
      </c>
      <c r="C17" s="5">
        <f>IF(DAY(AvrDim1)=1,"",IF(AND(YEAR(AvrDim1+2)=AnnéeCalendrier,MONTH(AvrDim1+2)=4),AvrDim1+2,""))</f>
        <v>47575</v>
      </c>
      <c r="D17" s="5">
        <f>IF(DAY(AvrDim1)=1,"",IF(AND(YEAR(AvrDim1+3)=AnnéeCalendrier,MONTH(AvrDim1+3)=4),AvrDim1+3,""))</f>
        <v>47576</v>
      </c>
      <c r="E17" s="5">
        <f>IF(DAY(AvrDim1)=1,"",IF(AND(YEAR(AvrDim1+4)=AnnéeCalendrier,MONTH(AvrDim1+4)=4),AvrDim1+4,""))</f>
        <v>47577</v>
      </c>
      <c r="F17" s="5">
        <f>IF(DAY(AvrDim1)=1,"",IF(AND(YEAR(AvrDim1+5)=AnnéeCalendrier,MONTH(AvrDim1+5)=4),AvrDim1+5,""))</f>
        <v>47578</v>
      </c>
      <c r="G17" s="5">
        <f>IF(DAY(AvrDim1)=1,"",IF(AND(YEAR(AvrDim1+6)=AnnéeCalendrier,MONTH(AvrDim1+6)=4),AvrDim1+6,""))</f>
        <v>47579</v>
      </c>
      <c r="H17" s="7">
        <f>IF(DAY(AvrDim1)=1,IF(AND(YEAR(AvrDim1)=AnnéeCalendrier,MONTH(AvrDim1)=4),AvrDim1,""),IF(AND(YEAR(AvrDim1+7)=AnnéeCalendrier,MONTH(AvrDim1+7)=4),AvrDim1+7,""))</f>
        <v>47580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>
        <f>IF(DAY(MaiDim1)=1,"",IF(AND(YEAR(MaiDim1+3)=AnnéeCalendrier,MONTH(MaiDim1+3)=5),MaiDim1+3,""))</f>
        <v>47604</v>
      </c>
      <c r="M17" s="5">
        <f>IF(DAY(MaiDim1)=1,"",IF(AND(YEAR(MaiDim1+4)=AnnéeCalendrier,MONTH(MaiDim1+4)=5),MaiDim1+4,""))</f>
        <v>47605</v>
      </c>
      <c r="N17" s="5">
        <f>IF(DAY(MaiDim1)=1,"",IF(AND(YEAR(MaiDim1+5)=AnnéeCalendrier,MONTH(MaiDim1+5)=5),MaiDim1+5,""))</f>
        <v>47606</v>
      </c>
      <c r="O17" s="5">
        <f>IF(DAY(MaiDim1)=1,"",IF(AND(YEAR(MaiDim1+6)=AnnéeCalendrier,MONTH(MaiDim1+6)=5),MaiDim1+6,""))</f>
        <v>47607</v>
      </c>
      <c r="P17" s="7">
        <f>IF(DAY(MaiDim1)=1,IF(AND(YEAR(MaiDim1)=AnnéeCalendrier,MONTH(MaiDim1)=5),MaiDim1,""),IF(AND(YEAR(MaiDim1+7)=AnnéeCalendrier,MONTH(MaiDim1+7)=5),MaiDim1+7,""))</f>
        <v>47608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>
        <f>IF(DAY(JunDim1)=1,"",IF(AND(YEAR(JunDim1+6)=AnnéeCalendrier,MONTH(JunDim1+6)=6),JunDim1+6,""))</f>
        <v>47635</v>
      </c>
      <c r="X17" s="7">
        <f>IF(DAY(JunDim1)=1,IF(AND(YEAR(JunDim1)=AnnéeCalendrier,MONTH(JunDim1)=6),JunDim1,""),IF(AND(YEAR(JunDim1+7)=AnnéeCalendrier,MONTH(JunDim1+7)=6),JunDim1+7,""))</f>
        <v>47636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47581</v>
      </c>
      <c r="C18" s="5">
        <f>IF(DAY(AvrDim1)=1,IF(AND(YEAR(AvrDim1+2)=AnnéeCalendrier,MONTH(AvrDim1+2)=4),AvrDim1+2,""),IF(AND(YEAR(AvrDim1+9)=AnnéeCalendrier,MONTH(AvrDim1+9)=4),AvrDim1+9,""))</f>
        <v>47582</v>
      </c>
      <c r="D18" s="5">
        <f>IF(DAY(AvrDim1)=1,IF(AND(YEAR(AvrDim1+3)=AnnéeCalendrier,MONTH(AvrDim1+3)=4),AvrDim1+3,""),IF(AND(YEAR(AvrDim1+10)=AnnéeCalendrier,MONTH(AvrDim1+10)=4),AvrDim1+10,""))</f>
        <v>47583</v>
      </c>
      <c r="E18" s="5">
        <f>IF(DAY(AvrDim1)=1,IF(AND(YEAR(AvrDim1+4)=AnnéeCalendrier,MONTH(AvrDim1+4)=4),AvrDim1+4,""),IF(AND(YEAR(AvrDim1+11)=AnnéeCalendrier,MONTH(AvrDim1+11)=4),AvrDim1+11,""))</f>
        <v>47584</v>
      </c>
      <c r="F18" s="5">
        <f>IF(DAY(AvrDim1)=1,IF(AND(YEAR(AvrDim1+5)=AnnéeCalendrier,MONTH(AvrDim1+5)=4),AvrDim1+5,""),IF(AND(YEAR(AvrDim1+12)=AnnéeCalendrier,MONTH(AvrDim1+12)=4),AvrDim1+12,""))</f>
        <v>47585</v>
      </c>
      <c r="G18" s="5">
        <f>IF(DAY(AvrDim1)=1,IF(AND(YEAR(AvrDim1+6)=AnnéeCalendrier,MONTH(AvrDim1+6)=4),AvrDim1+6,""),IF(AND(YEAR(AvrDim1+13)=AnnéeCalendrier,MONTH(AvrDim1+13)=4),AvrDim1+13,""))</f>
        <v>47586</v>
      </c>
      <c r="H18" s="7">
        <f>IF(DAY(AvrDim1)=1,IF(AND(YEAR(AvrDim1+7)=AnnéeCalendrier,MONTH(AvrDim1+7)=4),AvrDim1+7,""),IF(AND(YEAR(AvrDim1+14)=AnnéeCalendrier,MONTH(AvrDim1+14)=4),AvrDim1+14,""))</f>
        <v>47587</v>
      </c>
      <c r="I18" s="4"/>
      <c r="J18" s="6">
        <f>IF(DAY(MaiDim1)=1,IF(AND(YEAR(MaiDim1+1)=AnnéeCalendrier,MONTH(MaiDim1+1)=5),MaiDim1+1,""),IF(AND(YEAR(MaiDim1+8)=AnnéeCalendrier,MONTH(MaiDim1+8)=5),MaiDim1+8,""))</f>
        <v>47609</v>
      </c>
      <c r="K18" s="5">
        <f>IF(DAY(MaiDim1)=1,IF(AND(YEAR(MaiDim1+2)=AnnéeCalendrier,MONTH(MaiDim1+2)=5),MaiDim1+2,""),IF(AND(YEAR(MaiDim1+9)=AnnéeCalendrier,MONTH(MaiDim1+9)=5),MaiDim1+9,""))</f>
        <v>47610</v>
      </c>
      <c r="L18" s="5">
        <f>IF(DAY(MaiDim1)=1,IF(AND(YEAR(MaiDim1+3)=AnnéeCalendrier,MONTH(MaiDim1+3)=5),MaiDim1+3,""),IF(AND(YEAR(MaiDim1+10)=AnnéeCalendrier,MONTH(MaiDim1+10)=5),MaiDim1+10,""))</f>
        <v>47611</v>
      </c>
      <c r="M18" s="5">
        <f>IF(DAY(MaiDim1)=1,IF(AND(YEAR(MaiDim1+4)=AnnéeCalendrier,MONTH(MaiDim1+4)=5),MaiDim1+4,""),IF(AND(YEAR(MaiDim1+11)=AnnéeCalendrier,MONTH(MaiDim1+11)=5),MaiDim1+11,""))</f>
        <v>47612</v>
      </c>
      <c r="N18" s="5">
        <f>IF(DAY(MaiDim1)=1,IF(AND(YEAR(MaiDim1+5)=AnnéeCalendrier,MONTH(MaiDim1+5)=5),MaiDim1+5,""),IF(AND(YEAR(MaiDim1+12)=AnnéeCalendrier,MONTH(MaiDim1+12)=5),MaiDim1+12,""))</f>
        <v>47613</v>
      </c>
      <c r="O18" s="5">
        <f>IF(DAY(MaiDim1)=1,IF(AND(YEAR(MaiDim1+6)=AnnéeCalendrier,MONTH(MaiDim1+6)=5),MaiDim1+6,""),IF(AND(YEAR(MaiDim1+13)=AnnéeCalendrier,MONTH(MaiDim1+13)=5),MaiDim1+13,""))</f>
        <v>47614</v>
      </c>
      <c r="P18" s="7">
        <f>IF(DAY(MaiDim1)=1,IF(AND(YEAR(MaiDim1+7)=AnnéeCalendrier,MONTH(MaiDim1+7)=5),MaiDim1+7,""),IF(AND(YEAR(MaiDim1+14)=AnnéeCalendrier,MONTH(MaiDim1+14)=5),MaiDim1+14,""))</f>
        <v>47615</v>
      </c>
      <c r="Q18" s="4"/>
      <c r="R18" s="6">
        <f>IF(DAY(JunDim1)=1,IF(AND(YEAR(JunDim1+1)=AnnéeCalendrier,MONTH(JunDim1+1)=6),JunDim1+1,""),IF(AND(YEAR(JunDim1+8)=AnnéeCalendrier,MONTH(JunDim1+8)=6),JunDim1+8,""))</f>
        <v>47637</v>
      </c>
      <c r="S18" s="5">
        <f>IF(DAY(JunDim1)=1,IF(AND(YEAR(JunDim1+2)=AnnéeCalendrier,MONTH(JunDim1+2)=6),JunDim1+2,""),IF(AND(YEAR(JunDim1+9)=AnnéeCalendrier,MONTH(JunDim1+9)=6),JunDim1+9,""))</f>
        <v>47638</v>
      </c>
      <c r="T18" s="5">
        <f>IF(DAY(JunDim1)=1,IF(AND(YEAR(JunDim1+3)=AnnéeCalendrier,MONTH(JunDim1+3)=6),JunDim1+3,""),IF(AND(YEAR(JunDim1+10)=AnnéeCalendrier,MONTH(JunDim1+10)=6),JunDim1+10,""))</f>
        <v>47639</v>
      </c>
      <c r="U18" s="5">
        <f>IF(DAY(JunDim1)=1,IF(AND(YEAR(JunDim1+4)=AnnéeCalendrier,MONTH(JunDim1+4)=6),JunDim1+4,""),IF(AND(YEAR(JunDim1+11)=AnnéeCalendrier,MONTH(JunDim1+11)=6),JunDim1+11,""))</f>
        <v>47640</v>
      </c>
      <c r="V18" s="5">
        <f>IF(DAY(JunDim1)=1,IF(AND(YEAR(JunDim1+5)=AnnéeCalendrier,MONTH(JunDim1+5)=6),JunDim1+5,""),IF(AND(YEAR(JunDim1+12)=AnnéeCalendrier,MONTH(JunDim1+12)=6),JunDim1+12,""))</f>
        <v>47641</v>
      </c>
      <c r="W18" s="5">
        <f>IF(DAY(JunDim1)=1,IF(AND(YEAR(JunDim1+6)=AnnéeCalendrier,MONTH(JunDim1+6)=6),JunDim1+6,""),IF(AND(YEAR(JunDim1+13)=AnnéeCalendrier,MONTH(JunDim1+13)=6),JunDim1+13,""))</f>
        <v>47642</v>
      </c>
      <c r="X18" s="7">
        <f>IF(DAY(JunDim1)=1,IF(AND(YEAR(JunDim1+7)=AnnéeCalendrier,MONTH(JunDim1+7)=6),JunDim1+7,""),IF(AND(YEAR(JunDim1+14)=AnnéeCalendrier,MONTH(JunDim1+14)=6),JunDim1+14,""))</f>
        <v>47643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47588</v>
      </c>
      <c r="C19" s="5">
        <f>IF(DAY(AvrDim1)=1,IF(AND(YEAR(AvrDim1+9)=AnnéeCalendrier,MONTH(AvrDim1+9)=4),AvrDim1+9,""),IF(AND(YEAR(AvrDim1+16)=AnnéeCalendrier,MONTH(AvrDim1+16)=4),AvrDim1+16,""))</f>
        <v>47589</v>
      </c>
      <c r="D19" s="5">
        <f>IF(DAY(AvrDim1)=1,IF(AND(YEAR(AvrDim1+10)=AnnéeCalendrier,MONTH(AvrDim1+10)=4),AvrDim1+10,""),IF(AND(YEAR(AvrDim1+17)=AnnéeCalendrier,MONTH(AvrDim1+17)=4),AvrDim1+17,""))</f>
        <v>47590</v>
      </c>
      <c r="E19" s="5">
        <f>IF(DAY(AvrDim1)=1,IF(AND(YEAR(AvrDim1+11)=AnnéeCalendrier,MONTH(AvrDim1+11)=4),AvrDim1+11,""),IF(AND(YEAR(AvrDim1+18)=AnnéeCalendrier,MONTH(AvrDim1+18)=4),AvrDim1+18,""))</f>
        <v>47591</v>
      </c>
      <c r="F19" s="5">
        <f>IF(DAY(AvrDim1)=1,IF(AND(YEAR(AvrDim1+12)=AnnéeCalendrier,MONTH(AvrDim1+12)=4),AvrDim1+12,""),IF(AND(YEAR(AvrDim1+19)=AnnéeCalendrier,MONTH(AvrDim1+19)=4),AvrDim1+19,""))</f>
        <v>47592</v>
      </c>
      <c r="G19" s="5">
        <f>IF(DAY(AvrDim1)=1,IF(AND(YEAR(AvrDim1+13)=AnnéeCalendrier,MONTH(AvrDim1+13)=4),AvrDim1+13,""),IF(AND(YEAR(AvrDim1+20)=AnnéeCalendrier,MONTH(AvrDim1+20)=4),AvrDim1+20,""))</f>
        <v>47593</v>
      </c>
      <c r="H19" s="7">
        <f>IF(DAY(AvrDim1)=1,IF(AND(YEAR(AvrDim1+14)=AnnéeCalendrier,MONTH(AvrDim1+14)=4),AvrDim1+14,""),IF(AND(YEAR(AvrDim1+21)=AnnéeCalendrier,MONTH(AvrDim1+21)=4),AvrDim1+21,""))</f>
        <v>47594</v>
      </c>
      <c r="I19" s="4"/>
      <c r="J19" s="6">
        <f>IF(DAY(MaiDim1)=1,IF(AND(YEAR(MaiDim1+8)=AnnéeCalendrier,MONTH(MaiDim1+8)=5),MaiDim1+8,""),IF(AND(YEAR(MaiDim1+15)=AnnéeCalendrier,MONTH(MaiDim1+15)=5),MaiDim1+15,""))</f>
        <v>47616</v>
      </c>
      <c r="K19" s="5">
        <f>IF(DAY(MaiDim1)=1,IF(AND(YEAR(MaiDim1+9)=AnnéeCalendrier,MONTH(MaiDim1+9)=5),MaiDim1+9,""),IF(AND(YEAR(MaiDim1+16)=AnnéeCalendrier,MONTH(MaiDim1+16)=5),MaiDim1+16,""))</f>
        <v>47617</v>
      </c>
      <c r="L19" s="5">
        <f>IF(DAY(MaiDim1)=1,IF(AND(YEAR(MaiDim1+10)=AnnéeCalendrier,MONTH(MaiDim1+10)=5),MaiDim1+10,""),IF(AND(YEAR(MaiDim1+17)=AnnéeCalendrier,MONTH(MaiDim1+17)=5),MaiDim1+17,""))</f>
        <v>47618</v>
      </c>
      <c r="M19" s="5">
        <f>IF(DAY(MaiDim1)=1,IF(AND(YEAR(MaiDim1+11)=AnnéeCalendrier,MONTH(MaiDim1+11)=5),MaiDim1+11,""),IF(AND(YEAR(MaiDim1+18)=AnnéeCalendrier,MONTH(MaiDim1+18)=5),MaiDim1+18,""))</f>
        <v>47619</v>
      </c>
      <c r="N19" s="5">
        <f>IF(DAY(MaiDim1)=1,IF(AND(YEAR(MaiDim1+12)=AnnéeCalendrier,MONTH(MaiDim1+12)=5),MaiDim1+12,""),IF(AND(YEAR(MaiDim1+19)=AnnéeCalendrier,MONTH(MaiDim1+19)=5),MaiDim1+19,""))</f>
        <v>47620</v>
      </c>
      <c r="O19" s="5">
        <f>IF(DAY(MaiDim1)=1,IF(AND(YEAR(MaiDim1+13)=AnnéeCalendrier,MONTH(MaiDim1+13)=5),MaiDim1+13,""),IF(AND(YEAR(MaiDim1+20)=AnnéeCalendrier,MONTH(MaiDim1+20)=5),MaiDim1+20,""))</f>
        <v>47621</v>
      </c>
      <c r="P19" s="7">
        <f>IF(DAY(MaiDim1)=1,IF(AND(YEAR(MaiDim1+14)=AnnéeCalendrier,MONTH(MaiDim1+14)=5),MaiDim1+14,""),IF(AND(YEAR(MaiDim1+21)=AnnéeCalendrier,MONTH(MaiDim1+21)=5),MaiDim1+21,""))</f>
        <v>47622</v>
      </c>
      <c r="Q19" s="4"/>
      <c r="R19" s="6">
        <f>IF(DAY(JunDim1)=1,IF(AND(YEAR(JunDim1+8)=AnnéeCalendrier,MONTH(JunDim1+8)=6),JunDim1+8,""),IF(AND(YEAR(JunDim1+15)=AnnéeCalendrier,MONTH(JunDim1+15)=6),JunDim1+15,""))</f>
        <v>47644</v>
      </c>
      <c r="S19" s="5">
        <f>IF(DAY(JunDim1)=1,IF(AND(YEAR(JunDim1+9)=AnnéeCalendrier,MONTH(JunDim1+9)=6),JunDim1+9,""),IF(AND(YEAR(JunDim1+16)=AnnéeCalendrier,MONTH(JunDim1+16)=6),JunDim1+16,""))</f>
        <v>47645</v>
      </c>
      <c r="T19" s="5">
        <f>IF(DAY(JunDim1)=1,IF(AND(YEAR(JunDim1+10)=AnnéeCalendrier,MONTH(JunDim1+10)=6),JunDim1+10,""),IF(AND(YEAR(JunDim1+17)=AnnéeCalendrier,MONTH(JunDim1+17)=6),JunDim1+17,""))</f>
        <v>47646</v>
      </c>
      <c r="U19" s="5">
        <f>IF(DAY(JunDim1)=1,IF(AND(YEAR(JunDim1+11)=AnnéeCalendrier,MONTH(JunDim1+11)=6),JunDim1+11,""),IF(AND(YEAR(JunDim1+18)=AnnéeCalendrier,MONTH(JunDim1+18)=6),JunDim1+18,""))</f>
        <v>47647</v>
      </c>
      <c r="V19" s="5">
        <f>IF(DAY(JunDim1)=1,IF(AND(YEAR(JunDim1+12)=AnnéeCalendrier,MONTH(JunDim1+12)=6),JunDim1+12,""),IF(AND(YEAR(JunDim1+19)=AnnéeCalendrier,MONTH(JunDim1+19)=6),JunDim1+19,""))</f>
        <v>47648</v>
      </c>
      <c r="W19" s="5">
        <f>IF(DAY(JunDim1)=1,IF(AND(YEAR(JunDim1+13)=AnnéeCalendrier,MONTH(JunDim1+13)=6),JunDim1+13,""),IF(AND(YEAR(JunDim1+20)=AnnéeCalendrier,MONTH(JunDim1+20)=6),JunDim1+20,""))</f>
        <v>47649</v>
      </c>
      <c r="X19" s="7">
        <f>IF(DAY(JunDim1)=1,IF(AND(YEAR(JunDim1+14)=AnnéeCalendrier,MONTH(JunDim1+14)=6),JunDim1+14,""),IF(AND(YEAR(JunDim1+21)=AnnéeCalendrier,MONTH(JunDim1+21)=6),JunDim1+21,""))</f>
        <v>47650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47595</v>
      </c>
      <c r="C20" s="5">
        <f>IF(DAY(AvrDim1)=1,IF(AND(YEAR(AvrDim1+16)=AnnéeCalendrier,MONTH(AvrDim1+16)=4),AvrDim1+16,""),IF(AND(YEAR(AvrDim1+23)=AnnéeCalendrier,MONTH(AvrDim1+23)=4),AvrDim1+23,""))</f>
        <v>47596</v>
      </c>
      <c r="D20" s="5">
        <f>IF(DAY(AvrDim1)=1,IF(AND(YEAR(AvrDim1+17)=AnnéeCalendrier,MONTH(AvrDim1+17)=4),AvrDim1+17,""),IF(AND(YEAR(AvrDim1+24)=AnnéeCalendrier,MONTH(AvrDim1+24)=4),AvrDim1+24,""))</f>
        <v>47597</v>
      </c>
      <c r="E20" s="5">
        <f>IF(DAY(AvrDim1)=1,IF(AND(YEAR(AvrDim1+18)=AnnéeCalendrier,MONTH(AvrDim1+18)=4),AvrDim1+18,""),IF(AND(YEAR(AvrDim1+25)=AnnéeCalendrier,MONTH(AvrDim1+25)=4),AvrDim1+25,""))</f>
        <v>47598</v>
      </c>
      <c r="F20" s="5">
        <f>IF(DAY(AvrDim1)=1,IF(AND(YEAR(AvrDim1+19)=AnnéeCalendrier,MONTH(AvrDim1+19)=4),AvrDim1+19,""),IF(AND(YEAR(AvrDim1+26)=AnnéeCalendrier,MONTH(AvrDim1+26)=4),AvrDim1+26,""))</f>
        <v>47599</v>
      </c>
      <c r="G20" s="5">
        <f>IF(DAY(AvrDim1)=1,IF(AND(YEAR(AvrDim1+20)=AnnéeCalendrier,MONTH(AvrDim1+20)=4),AvrDim1+20,""),IF(AND(YEAR(AvrDim1+27)=AnnéeCalendrier,MONTH(AvrDim1+27)=4),AvrDim1+27,""))</f>
        <v>47600</v>
      </c>
      <c r="H20" s="7">
        <f>IF(DAY(AvrDim1)=1,IF(AND(YEAR(AvrDim1+21)=AnnéeCalendrier,MONTH(AvrDim1+21)=4),AvrDim1+21,""),IF(AND(YEAR(AvrDim1+28)=AnnéeCalendrier,MONTH(AvrDim1+28)=4),AvrDim1+28,""))</f>
        <v>47601</v>
      </c>
      <c r="I20" s="4"/>
      <c r="J20" s="6">
        <f>IF(DAY(MaiDim1)=1,IF(AND(YEAR(MaiDim1+15)=AnnéeCalendrier,MONTH(MaiDim1+15)=5),MaiDim1+15,""),IF(AND(YEAR(MaiDim1+22)=AnnéeCalendrier,MONTH(MaiDim1+22)=5),MaiDim1+22,""))</f>
        <v>47623</v>
      </c>
      <c r="K20" s="5">
        <f>IF(DAY(MaiDim1)=1,IF(AND(YEAR(MaiDim1+16)=AnnéeCalendrier,MONTH(MaiDim1+16)=5),MaiDim1+16,""),IF(AND(YEAR(MaiDim1+23)=AnnéeCalendrier,MONTH(MaiDim1+23)=5),MaiDim1+23,""))</f>
        <v>47624</v>
      </c>
      <c r="L20" s="5">
        <f>IF(DAY(MaiDim1)=1,IF(AND(YEAR(MaiDim1+17)=AnnéeCalendrier,MONTH(MaiDim1+17)=5),MaiDim1+17,""),IF(AND(YEAR(MaiDim1+24)=AnnéeCalendrier,MONTH(MaiDim1+24)=5),MaiDim1+24,""))</f>
        <v>47625</v>
      </c>
      <c r="M20" s="5">
        <f>IF(DAY(MaiDim1)=1,IF(AND(YEAR(MaiDim1+18)=AnnéeCalendrier,MONTH(MaiDim1+18)=5),MaiDim1+18,""),IF(AND(YEAR(MaiDim1+25)=AnnéeCalendrier,MONTH(MaiDim1+25)=5),MaiDim1+25,""))</f>
        <v>47626</v>
      </c>
      <c r="N20" s="5">
        <f>IF(DAY(MaiDim1)=1,IF(AND(YEAR(MaiDim1+19)=AnnéeCalendrier,MONTH(MaiDim1+19)=5),MaiDim1+19,""),IF(AND(YEAR(MaiDim1+26)=AnnéeCalendrier,MONTH(MaiDim1+26)=5),MaiDim1+26,""))</f>
        <v>47627</v>
      </c>
      <c r="O20" s="5">
        <f>IF(DAY(MaiDim1)=1,IF(AND(YEAR(MaiDim1+20)=AnnéeCalendrier,MONTH(MaiDim1+20)=5),MaiDim1+20,""),IF(AND(YEAR(MaiDim1+27)=AnnéeCalendrier,MONTH(MaiDim1+27)=5),MaiDim1+27,""))</f>
        <v>47628</v>
      </c>
      <c r="P20" s="7">
        <f>IF(DAY(MaiDim1)=1,IF(AND(YEAR(MaiDim1+21)=AnnéeCalendrier,MONTH(MaiDim1+21)=5),MaiDim1+21,""),IF(AND(YEAR(MaiDim1+28)=AnnéeCalendrier,MONTH(MaiDim1+28)=5),MaiDim1+28,""))</f>
        <v>47629</v>
      </c>
      <c r="Q20" s="4"/>
      <c r="R20" s="6">
        <f>IF(DAY(JunDim1)=1,IF(AND(YEAR(JunDim1+15)=AnnéeCalendrier,MONTH(JunDim1+15)=6),JunDim1+15,""),IF(AND(YEAR(JunDim1+22)=AnnéeCalendrier,MONTH(JunDim1+22)=6),JunDim1+22,""))</f>
        <v>47651</v>
      </c>
      <c r="S20" s="5">
        <f>IF(DAY(JunDim1)=1,IF(AND(YEAR(JunDim1+16)=AnnéeCalendrier,MONTH(JunDim1+16)=6),JunDim1+16,""),IF(AND(YEAR(JunDim1+23)=AnnéeCalendrier,MONTH(JunDim1+23)=6),JunDim1+23,""))</f>
        <v>47652</v>
      </c>
      <c r="T20" s="5">
        <f>IF(DAY(JunDim1)=1,IF(AND(YEAR(JunDim1+17)=AnnéeCalendrier,MONTH(JunDim1+17)=6),JunDim1+17,""),IF(AND(YEAR(JunDim1+24)=AnnéeCalendrier,MONTH(JunDim1+24)=6),JunDim1+24,""))</f>
        <v>47653</v>
      </c>
      <c r="U20" s="5">
        <f>IF(DAY(JunDim1)=1,IF(AND(YEAR(JunDim1+18)=AnnéeCalendrier,MONTH(JunDim1+18)=6),JunDim1+18,""),IF(AND(YEAR(JunDim1+25)=AnnéeCalendrier,MONTH(JunDim1+25)=6),JunDim1+25,""))</f>
        <v>47654</v>
      </c>
      <c r="V20" s="5">
        <f>IF(DAY(JunDim1)=1,IF(AND(YEAR(JunDim1+19)=AnnéeCalendrier,MONTH(JunDim1+19)=6),JunDim1+19,""),IF(AND(YEAR(JunDim1+26)=AnnéeCalendrier,MONTH(JunDim1+26)=6),JunDim1+26,""))</f>
        <v>47655</v>
      </c>
      <c r="W20" s="5">
        <f>IF(DAY(JunDim1)=1,IF(AND(YEAR(JunDim1+20)=AnnéeCalendrier,MONTH(JunDim1+20)=6),JunDim1+20,""),IF(AND(YEAR(JunDim1+27)=AnnéeCalendrier,MONTH(JunDim1+27)=6),JunDim1+27,""))</f>
        <v>47656</v>
      </c>
      <c r="X20" s="7">
        <f>IF(DAY(JunDim1)=1,IF(AND(YEAR(JunDim1+21)=AnnéeCalendrier,MONTH(JunDim1+21)=6),JunDim1+21,""),IF(AND(YEAR(JunDim1+28)=AnnéeCalendrier,MONTH(JunDim1+28)=6),JunDim1+28,""))</f>
        <v>47657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47602</v>
      </c>
      <c r="C21" s="5">
        <f>IF(DAY(AvrDim1)=1,IF(AND(YEAR(AvrDim1+23)=AnnéeCalendrier,MONTH(AvrDim1+23)=4),AvrDim1+23,""),IF(AND(YEAR(AvrDim1+30)=AnnéeCalendrier,MONTH(AvrDim1+30)=4),AvrDim1+30,""))</f>
        <v>47603</v>
      </c>
      <c r="D21" s="5" t="str">
        <f>IF(DAY(AvrDim1)=1,IF(AND(YEAR(AvrDim1+24)=AnnéeCalendrier,MONTH(AvrDim1+24)=4),AvrDim1+24,""),IF(AND(YEAR(AvrDim1+31)=AnnéeCalendrier,MONTH(AvrDim1+31)=4),AvrDim1+31,""))</f>
        <v/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47630</v>
      </c>
      <c r="K21" s="5">
        <f>IF(DAY(MaiDim1)=1,IF(AND(YEAR(MaiDim1+23)=AnnéeCalendrier,MONTH(MaiDim1+23)=5),MaiDim1+23,""),IF(AND(YEAR(MaiDim1+30)=AnnéeCalendrier,MONTH(MaiDim1+30)=5),MaiDim1+30,""))</f>
        <v>47631</v>
      </c>
      <c r="L21" s="5">
        <f>IF(DAY(MaiDim1)=1,IF(AND(YEAR(MaiDim1+24)=AnnéeCalendrier,MONTH(MaiDim1+24)=5),MaiDim1+24,""),IF(AND(YEAR(MaiDim1+31)=AnnéeCalendrier,MONTH(MaiDim1+31)=5),MaiDim1+31,""))</f>
        <v>47632</v>
      </c>
      <c r="M21" s="5">
        <f>IF(DAY(MaiDim1)=1,IF(AND(YEAR(MaiDim1+25)=AnnéeCalendrier,MONTH(MaiDim1+25)=5),MaiDim1+25,""),IF(AND(YEAR(MaiDim1+32)=AnnéeCalendrier,MONTH(MaiDim1+32)=5),MaiDim1+32,""))</f>
        <v>47633</v>
      </c>
      <c r="N21" s="5">
        <f>IF(DAY(MaiDim1)=1,IF(AND(YEAR(MaiDim1+26)=AnnéeCalendrier,MONTH(MaiDim1+26)=5),MaiDim1+26,""),IF(AND(YEAR(MaiDim1+33)=AnnéeCalendrier,MONTH(MaiDim1+33)=5),MaiDim1+33,""))</f>
        <v>47634</v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47658</v>
      </c>
      <c r="S21" s="5">
        <f>IF(DAY(JunDim1)=1,IF(AND(YEAR(JunDim1+23)=AnnéeCalendrier,MONTH(JunDim1+23)=6),JunDim1+23,""),IF(AND(YEAR(JunDim1+30)=AnnéeCalendrier,MONTH(JunDim1+30)=6),JunDim1+30,""))</f>
        <v>47659</v>
      </c>
      <c r="T21" s="5">
        <f>IF(DAY(JunDim1)=1,IF(AND(YEAR(JunDim1+24)=AnnéeCalendrier,MONTH(JunDim1+24)=6),JunDim1+24,""),IF(AND(YEAR(JunDim1+31)=AnnéeCalendrier,MONTH(JunDim1+31)=6),JunDim1+31,""))</f>
        <v>47660</v>
      </c>
      <c r="U21" s="5">
        <f>IF(DAY(JunDim1)=1,IF(AND(YEAR(JunDim1+25)=AnnéeCalendrier,MONTH(JunDim1+25)=6),JunDim1+25,""),IF(AND(YEAR(JunDim1+32)=AnnéeCalendrier,MONTH(JunDim1+32)=6),JunDim1+32,""))</f>
        <v>47661</v>
      </c>
      <c r="V21" s="5">
        <f>IF(DAY(JunDim1)=1,IF(AND(YEAR(JunDim1+26)=AnnéeCalendrier,MONTH(JunDim1+26)=6),JunDim1+26,""),IF(AND(YEAR(JunDim1+33)=AnnéeCalendrier,MONTH(JunDim1+33)=6),JunDim1+33,""))</f>
        <v>47662</v>
      </c>
      <c r="W21" s="5">
        <f>IF(DAY(JunDim1)=1,IF(AND(YEAR(JunDim1+27)=AnnéeCalendrier,MONTH(JunDim1+27)=6),JunDim1+27,""),IF(AND(YEAR(JunDim1+34)=AnnéeCalendrier,MONTH(JunDim1+34)=6),JunDim1+34,""))</f>
        <v>47663</v>
      </c>
      <c r="X21" s="7">
        <f>IF(DAY(JunDim1)=1,IF(AND(YEAR(JunDim1+28)=AnnéeCalendrier,MONTH(JunDim1+28)=6),JunDim1+28,""),IF(AND(YEAR(JunDim1+35)=AnnéeCalendrier,MONTH(JunDim1+35)=6),JunDim1+35,""))</f>
        <v>47664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>
        <f>IF(DAY(JulDim1)=1,"",IF(AND(YEAR(JulDim1+1)=AnnéeCalendrier,MONTH(JulDim1+1)=7),JulDim1+1,""))</f>
        <v>47665</v>
      </c>
      <c r="C26" s="5">
        <f>IF(DAY(JulDim1)=1,"",IF(AND(YEAR(JulDim1+2)=AnnéeCalendrier,MONTH(JulDim1+2)=7),JulDim1+2,""))</f>
        <v>47666</v>
      </c>
      <c r="D26" s="5">
        <f>IF(DAY(JulDim1)=1,"",IF(AND(YEAR(JulDim1+3)=AnnéeCalendrier,MONTH(JulDim1+3)=7),JulDim1+3,""))</f>
        <v>47667</v>
      </c>
      <c r="E26" s="5">
        <f>IF(DAY(JulDim1)=1,"",IF(AND(YEAR(JulDim1+4)=AnnéeCalendrier,MONTH(JulDim1+4)=7),JulDim1+4,""))</f>
        <v>47668</v>
      </c>
      <c r="F26" s="5">
        <f>IF(DAY(JulDim1)=1,"",IF(AND(YEAR(JulDim1+5)=AnnéeCalendrier,MONTH(JulDim1+5)=7),JulDim1+5,""))</f>
        <v>47669</v>
      </c>
      <c r="G26" s="5">
        <f>IF(DAY(JulDim1)=1,"",IF(AND(YEAR(JulDim1+6)=AnnéeCalendrier,MONTH(JulDim1+6)=7),JulDim1+6,""))</f>
        <v>47670</v>
      </c>
      <c r="H26" s="7">
        <f>IF(DAY(JulDim1)=1,IF(AND(YEAR(JulDim1)=AnnéeCalendrier,MONTH(JulDim1)=7),JulDim1,""),IF(AND(YEAR(JulDim1+7)=AnnéeCalendrier,MONTH(JulDim1+7)=7),JulDim1+7,""))</f>
        <v>47671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>
        <f>IF(DAY(AouDim1)=1,"",IF(AND(YEAR(AouDim1+4)=AnnéeCalendrier,MONTH(AouDim1+4)=8),AouDim1+4,""))</f>
        <v>47696</v>
      </c>
      <c r="N26" s="5">
        <f>IF(DAY(AouDim1)=1,"",IF(AND(YEAR(AouDim1+5)=AnnéeCalendrier,MONTH(AouDim1+5)=8),AouDim1+5,""))</f>
        <v>47697</v>
      </c>
      <c r="O26" s="5">
        <f>IF(DAY(AouDim1)=1,"",IF(AND(YEAR(AouDim1+6)=AnnéeCalendrier,MONTH(AouDim1+6)=8),AouDim1+6,""))</f>
        <v>47698</v>
      </c>
      <c r="P26" s="7">
        <f>IF(DAY(AouDim1)=1,IF(AND(YEAR(AouDim1)=AnnéeCalendrier,MONTH(AouDim1)=8),AouDim1,""),IF(AND(YEAR(AouDim1+7)=AnnéeCalendrier,MONTH(AouDim1+7)=8),AouDim1+7,""))</f>
        <v>47699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 t="str">
        <f>IF(DAY(SepDim1)=1,"",IF(AND(YEAR(SepDim1+6)=AnnéeCalendrier,MONTH(SepDim1+6)=9),SepDim1+6,""))</f>
        <v/>
      </c>
      <c r="X26" s="7">
        <f>IF(DAY(SepDim1)=1,IF(AND(YEAR(SepDim1)=AnnéeCalendrier,MONTH(SepDim1)=9),SepDim1,""),IF(AND(YEAR(SepDim1+7)=AnnéeCalendrier,MONTH(SepDim1+7)=9),SepDim1+7,""))</f>
        <v>47727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47672</v>
      </c>
      <c r="C27" s="5">
        <f>IF(DAY(JulDim1)=1,IF(AND(YEAR(JulDim1+2)=AnnéeCalendrier,MONTH(JulDim1+2)=7),JulDim1+2,""),IF(AND(YEAR(JulDim1+9)=AnnéeCalendrier,MONTH(JulDim1+9)=7),JulDim1+9,""))</f>
        <v>47673</v>
      </c>
      <c r="D27" s="5">
        <f>IF(DAY(JulDim1)=1,IF(AND(YEAR(JulDim1+3)=AnnéeCalendrier,MONTH(JulDim1+3)=7),JulDim1+3,""),IF(AND(YEAR(JulDim1+10)=AnnéeCalendrier,MONTH(JulDim1+10)=7),JulDim1+10,""))</f>
        <v>47674</v>
      </c>
      <c r="E27" s="5">
        <f>IF(DAY(JulDim1)=1,IF(AND(YEAR(JulDim1+4)=AnnéeCalendrier,MONTH(JulDim1+4)=7),JulDim1+4,""),IF(AND(YEAR(JulDim1+11)=AnnéeCalendrier,MONTH(JulDim1+11)=7),JulDim1+11,""))</f>
        <v>47675</v>
      </c>
      <c r="F27" s="5">
        <f>IF(DAY(JulDim1)=1,IF(AND(YEAR(JulDim1+5)=AnnéeCalendrier,MONTH(JulDim1+5)=7),JulDim1+5,""),IF(AND(YEAR(JulDim1+12)=AnnéeCalendrier,MONTH(JulDim1+12)=7),JulDim1+12,""))</f>
        <v>47676</v>
      </c>
      <c r="G27" s="5">
        <f>IF(DAY(JulDim1)=1,IF(AND(YEAR(JulDim1+6)=AnnéeCalendrier,MONTH(JulDim1+6)=7),JulDim1+6,""),IF(AND(YEAR(JulDim1+13)=AnnéeCalendrier,MONTH(JulDim1+13)=7),JulDim1+13,""))</f>
        <v>47677</v>
      </c>
      <c r="H27" s="7">
        <f>IF(DAY(JulDim1)=1,IF(AND(YEAR(JulDim1+7)=AnnéeCalendrier,MONTH(JulDim1+7)=7),JulDim1+7,""),IF(AND(YEAR(JulDim1+14)=AnnéeCalendrier,MONTH(JulDim1+14)=7),JulDim1+14,""))</f>
        <v>47678</v>
      </c>
      <c r="J27" s="6">
        <f>IF(DAY(AouDim1)=1,IF(AND(YEAR(AouDim1+1)=AnnéeCalendrier,MONTH(AouDim1+1)=8),AouDim1+1,""),IF(AND(YEAR(AouDim1+8)=AnnéeCalendrier,MONTH(AouDim1+8)=8),AouDim1+8,""))</f>
        <v>47700</v>
      </c>
      <c r="K27" s="5">
        <f>IF(DAY(AouDim1)=1,IF(AND(YEAR(AouDim1+2)=AnnéeCalendrier,MONTH(AouDim1+2)=8),AouDim1+2,""),IF(AND(YEAR(AouDim1+9)=AnnéeCalendrier,MONTH(AouDim1+9)=8),AouDim1+9,""))</f>
        <v>47701</v>
      </c>
      <c r="L27" s="5">
        <f>IF(DAY(AouDim1)=1,IF(AND(YEAR(AouDim1+3)=AnnéeCalendrier,MONTH(AouDim1+3)=8),AouDim1+3,""),IF(AND(YEAR(AouDim1+10)=AnnéeCalendrier,MONTH(AouDim1+10)=8),AouDim1+10,""))</f>
        <v>47702</v>
      </c>
      <c r="M27" s="5">
        <f>IF(DAY(AouDim1)=1,IF(AND(YEAR(AouDim1+4)=AnnéeCalendrier,MONTH(AouDim1+4)=8),AouDim1+4,""),IF(AND(YEAR(AouDim1+11)=AnnéeCalendrier,MONTH(AouDim1+11)=8),AouDim1+11,""))</f>
        <v>47703</v>
      </c>
      <c r="N27" s="5">
        <f>IF(DAY(AouDim1)=1,IF(AND(YEAR(AouDim1+5)=AnnéeCalendrier,MONTH(AouDim1+5)=8),AouDim1+5,""),IF(AND(YEAR(AouDim1+12)=AnnéeCalendrier,MONTH(AouDim1+12)=8),AouDim1+12,""))</f>
        <v>47704</v>
      </c>
      <c r="O27" s="5">
        <f>IF(DAY(AouDim1)=1,IF(AND(YEAR(AouDim1+6)=AnnéeCalendrier,MONTH(AouDim1+6)=8),AouDim1+6,""),IF(AND(YEAR(AouDim1+13)=AnnéeCalendrier,MONTH(AouDim1+13)=8),AouDim1+13,""))</f>
        <v>47705</v>
      </c>
      <c r="P27" s="7">
        <f>IF(DAY(AouDim1)=1,IF(AND(YEAR(AouDim1+7)=AnnéeCalendrier,MONTH(AouDim1+7)=8),AouDim1+7,""),IF(AND(YEAR(AouDim1+14)=AnnéeCalendrier,MONTH(AouDim1+14)=8),AouDim1+14,""))</f>
        <v>47706</v>
      </c>
      <c r="Q27" s="1"/>
      <c r="R27" s="6">
        <f>IF(DAY(SepDim1)=1,IF(AND(YEAR(SepDim1+1)=AnnéeCalendrier,MONTH(SepDim1+1)=9),SepDim1+1,""),IF(AND(YEAR(SepDim1+8)=AnnéeCalendrier,MONTH(SepDim1+8)=9),SepDim1+8,""))</f>
        <v>47728</v>
      </c>
      <c r="S27" s="5">
        <f>IF(DAY(SepDim1)=1,IF(AND(YEAR(SepDim1+2)=AnnéeCalendrier,MONTH(SepDim1+2)=9),SepDim1+2,""),IF(AND(YEAR(SepDim1+9)=AnnéeCalendrier,MONTH(SepDim1+9)=9),SepDim1+9,""))</f>
        <v>47729</v>
      </c>
      <c r="T27" s="5">
        <f>IF(DAY(SepDim1)=1,IF(AND(YEAR(SepDim1+3)=AnnéeCalendrier,MONTH(SepDim1+3)=9),SepDim1+3,""),IF(AND(YEAR(SepDim1+10)=AnnéeCalendrier,MONTH(SepDim1+10)=9),SepDim1+10,""))</f>
        <v>47730</v>
      </c>
      <c r="U27" s="5">
        <f>IF(DAY(SepDim1)=1,IF(AND(YEAR(SepDim1+4)=AnnéeCalendrier,MONTH(SepDim1+4)=9),SepDim1+4,""),IF(AND(YEAR(SepDim1+11)=AnnéeCalendrier,MONTH(SepDim1+11)=9),SepDim1+11,""))</f>
        <v>47731</v>
      </c>
      <c r="V27" s="5">
        <f>IF(DAY(SepDim1)=1,IF(AND(YEAR(SepDim1+5)=AnnéeCalendrier,MONTH(SepDim1+5)=9),SepDim1+5,""),IF(AND(YEAR(SepDim1+12)=AnnéeCalendrier,MONTH(SepDim1+12)=9),SepDim1+12,""))</f>
        <v>47732</v>
      </c>
      <c r="W27" s="5">
        <f>IF(DAY(SepDim1)=1,IF(AND(YEAR(SepDim1+6)=AnnéeCalendrier,MONTH(SepDim1+6)=9),SepDim1+6,""),IF(AND(YEAR(SepDim1+13)=AnnéeCalendrier,MONTH(SepDim1+13)=9),SepDim1+13,""))</f>
        <v>47733</v>
      </c>
      <c r="X27" s="7">
        <f>IF(DAY(SepDim1)=1,IF(AND(YEAR(SepDim1+7)=AnnéeCalendrier,MONTH(SepDim1+7)=9),SepDim1+7,""),IF(AND(YEAR(SepDim1+14)=AnnéeCalendrier,MONTH(SepDim1+14)=9),SepDim1+14,""))</f>
        <v>47734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47679</v>
      </c>
      <c r="C28" s="5">
        <f>IF(DAY(JulDim1)=1,IF(AND(YEAR(JulDim1+9)=AnnéeCalendrier,MONTH(JulDim1+9)=7),JulDim1+9,""),IF(AND(YEAR(JulDim1+16)=AnnéeCalendrier,MONTH(JulDim1+16)=7),JulDim1+16,""))</f>
        <v>47680</v>
      </c>
      <c r="D28" s="5">
        <f>IF(DAY(JulDim1)=1,IF(AND(YEAR(JulDim1+10)=AnnéeCalendrier,MONTH(JulDim1+10)=7),JulDim1+10,""),IF(AND(YEAR(JulDim1+17)=AnnéeCalendrier,MONTH(JulDim1+17)=7),JulDim1+17,""))</f>
        <v>47681</v>
      </c>
      <c r="E28" s="5">
        <f>IF(DAY(JulDim1)=1,IF(AND(YEAR(JulDim1+11)=AnnéeCalendrier,MONTH(JulDim1+11)=7),JulDim1+11,""),IF(AND(YEAR(JulDim1+18)=AnnéeCalendrier,MONTH(JulDim1+18)=7),JulDim1+18,""))</f>
        <v>47682</v>
      </c>
      <c r="F28" s="5">
        <f>IF(DAY(JulDim1)=1,IF(AND(YEAR(JulDim1+12)=AnnéeCalendrier,MONTH(JulDim1+12)=7),JulDim1+12,""),IF(AND(YEAR(JulDim1+19)=AnnéeCalendrier,MONTH(JulDim1+19)=7),JulDim1+19,""))</f>
        <v>47683</v>
      </c>
      <c r="G28" s="5">
        <f>IF(DAY(JulDim1)=1,IF(AND(YEAR(JulDim1+13)=AnnéeCalendrier,MONTH(JulDim1+13)=7),JulDim1+13,""),IF(AND(YEAR(JulDim1+20)=AnnéeCalendrier,MONTH(JulDim1+20)=7),JulDim1+20,""))</f>
        <v>47684</v>
      </c>
      <c r="H28" s="7">
        <f>IF(DAY(JulDim1)=1,IF(AND(YEAR(JulDim1+14)=AnnéeCalendrier,MONTH(JulDim1+14)=7),JulDim1+14,""),IF(AND(YEAR(JulDim1+21)=AnnéeCalendrier,MONTH(JulDim1+21)=7),JulDim1+21,""))</f>
        <v>47685</v>
      </c>
      <c r="J28" s="6">
        <f>IF(DAY(AouDim1)=1,IF(AND(YEAR(AouDim1+8)=AnnéeCalendrier,MONTH(AouDim1+8)=8),AouDim1+8,""),IF(AND(YEAR(AouDim1+15)=AnnéeCalendrier,MONTH(AouDim1+15)=8),AouDim1+15,""))</f>
        <v>47707</v>
      </c>
      <c r="K28" s="5">
        <f>IF(DAY(AouDim1)=1,IF(AND(YEAR(AouDim1+9)=AnnéeCalendrier,MONTH(AouDim1+9)=8),AouDim1+9,""),IF(AND(YEAR(AouDim1+16)=AnnéeCalendrier,MONTH(AouDim1+16)=8),AouDim1+16,""))</f>
        <v>47708</v>
      </c>
      <c r="L28" s="5">
        <f>IF(DAY(AouDim1)=1,IF(AND(YEAR(AouDim1+10)=AnnéeCalendrier,MONTH(AouDim1+10)=8),AouDim1+10,""),IF(AND(YEAR(AouDim1+17)=AnnéeCalendrier,MONTH(AouDim1+17)=8),AouDim1+17,""))</f>
        <v>47709</v>
      </c>
      <c r="M28" s="5">
        <f>IF(DAY(AouDim1)=1,IF(AND(YEAR(AouDim1+11)=AnnéeCalendrier,MONTH(AouDim1+11)=8),AouDim1+11,""),IF(AND(YEAR(AouDim1+18)=AnnéeCalendrier,MONTH(AouDim1+18)=8),AouDim1+18,""))</f>
        <v>47710</v>
      </c>
      <c r="N28" s="5">
        <f>IF(DAY(AouDim1)=1,IF(AND(YEAR(AouDim1+12)=AnnéeCalendrier,MONTH(AouDim1+12)=8),AouDim1+12,""),IF(AND(YEAR(AouDim1+19)=AnnéeCalendrier,MONTH(AouDim1+19)=8),AouDim1+19,""))</f>
        <v>47711</v>
      </c>
      <c r="O28" s="5">
        <f>IF(DAY(AouDim1)=1,IF(AND(YEAR(AouDim1+13)=AnnéeCalendrier,MONTH(AouDim1+13)=8),AouDim1+13,""),IF(AND(YEAR(AouDim1+20)=AnnéeCalendrier,MONTH(AouDim1+20)=8),AouDim1+20,""))</f>
        <v>47712</v>
      </c>
      <c r="P28" s="7">
        <f>IF(DAY(AouDim1)=1,IF(AND(YEAR(AouDim1+14)=AnnéeCalendrier,MONTH(AouDim1+14)=8),AouDim1+14,""),IF(AND(YEAR(AouDim1+21)=AnnéeCalendrier,MONTH(AouDim1+21)=8),AouDim1+21,""))</f>
        <v>47713</v>
      </c>
      <c r="Q28" s="1"/>
      <c r="R28" s="6">
        <f>IF(DAY(SepDim1)=1,IF(AND(YEAR(SepDim1+8)=AnnéeCalendrier,MONTH(SepDim1+8)=9),SepDim1+8,""),IF(AND(YEAR(SepDim1+15)=AnnéeCalendrier,MONTH(SepDim1+15)=9),SepDim1+15,""))</f>
        <v>47735</v>
      </c>
      <c r="S28" s="5">
        <f>IF(DAY(SepDim1)=1,IF(AND(YEAR(SepDim1+9)=AnnéeCalendrier,MONTH(SepDim1+9)=9),SepDim1+9,""),IF(AND(YEAR(SepDim1+16)=AnnéeCalendrier,MONTH(SepDim1+16)=9),SepDim1+16,""))</f>
        <v>47736</v>
      </c>
      <c r="T28" s="5">
        <f>IF(DAY(SepDim1)=1,IF(AND(YEAR(SepDim1+10)=AnnéeCalendrier,MONTH(SepDim1+10)=9),SepDim1+10,""),IF(AND(YEAR(SepDim1+17)=AnnéeCalendrier,MONTH(SepDim1+17)=9),SepDim1+17,""))</f>
        <v>47737</v>
      </c>
      <c r="U28" s="5">
        <f>IF(DAY(SepDim1)=1,IF(AND(YEAR(SepDim1+11)=AnnéeCalendrier,MONTH(SepDim1+11)=9),SepDim1+11,""),IF(AND(YEAR(SepDim1+18)=AnnéeCalendrier,MONTH(SepDim1+18)=9),SepDim1+18,""))</f>
        <v>47738</v>
      </c>
      <c r="V28" s="5">
        <f>IF(DAY(SepDim1)=1,IF(AND(YEAR(SepDim1+12)=AnnéeCalendrier,MONTH(SepDim1+12)=9),SepDim1+12,""),IF(AND(YEAR(SepDim1+19)=AnnéeCalendrier,MONTH(SepDim1+19)=9),SepDim1+19,""))</f>
        <v>47739</v>
      </c>
      <c r="W28" s="5">
        <f>IF(DAY(SepDim1)=1,IF(AND(YEAR(SepDim1+13)=AnnéeCalendrier,MONTH(SepDim1+13)=9),SepDim1+13,""),IF(AND(YEAR(SepDim1+20)=AnnéeCalendrier,MONTH(SepDim1+20)=9),SepDim1+20,""))</f>
        <v>47740</v>
      </c>
      <c r="X28" s="7">
        <f>IF(DAY(SepDim1)=1,IF(AND(YEAR(SepDim1+14)=AnnéeCalendrier,MONTH(SepDim1+14)=9),SepDim1+14,""),IF(AND(YEAR(SepDim1+21)=AnnéeCalendrier,MONTH(SepDim1+21)=9),SepDim1+21,""))</f>
        <v>47741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47686</v>
      </c>
      <c r="C29" s="5">
        <f>IF(DAY(JulDim1)=1,IF(AND(YEAR(JulDim1+16)=AnnéeCalendrier,MONTH(JulDim1+16)=7),JulDim1+16,""),IF(AND(YEAR(JulDim1+23)=AnnéeCalendrier,MONTH(JulDim1+23)=7),JulDim1+23,""))</f>
        <v>47687</v>
      </c>
      <c r="D29" s="5">
        <f>IF(DAY(JulDim1)=1,IF(AND(YEAR(JulDim1+17)=AnnéeCalendrier,MONTH(JulDim1+17)=7),JulDim1+17,""),IF(AND(YEAR(JulDim1+24)=AnnéeCalendrier,MONTH(JulDim1+24)=7),JulDim1+24,""))</f>
        <v>47688</v>
      </c>
      <c r="E29" s="5">
        <f>IF(DAY(JulDim1)=1,IF(AND(YEAR(JulDim1+18)=AnnéeCalendrier,MONTH(JulDim1+18)=7),JulDim1+18,""),IF(AND(YEAR(JulDim1+25)=AnnéeCalendrier,MONTH(JulDim1+25)=7),JulDim1+25,""))</f>
        <v>47689</v>
      </c>
      <c r="F29" s="5">
        <f>IF(DAY(JulDim1)=1,IF(AND(YEAR(JulDim1+19)=AnnéeCalendrier,MONTH(JulDim1+19)=7),JulDim1+19,""),IF(AND(YEAR(JulDim1+26)=AnnéeCalendrier,MONTH(JulDim1+26)=7),JulDim1+26,""))</f>
        <v>47690</v>
      </c>
      <c r="G29" s="5">
        <f>IF(DAY(JulDim1)=1,IF(AND(YEAR(JulDim1+20)=AnnéeCalendrier,MONTH(JulDim1+20)=7),JulDim1+20,""),IF(AND(YEAR(JulDim1+27)=AnnéeCalendrier,MONTH(JulDim1+27)=7),JulDim1+27,""))</f>
        <v>47691</v>
      </c>
      <c r="H29" s="7">
        <f>IF(DAY(JulDim1)=1,IF(AND(YEAR(JulDim1+21)=AnnéeCalendrier,MONTH(JulDim1+21)=7),JulDim1+21,""),IF(AND(YEAR(JulDim1+28)=AnnéeCalendrier,MONTH(JulDim1+28)=7),JulDim1+28,""))</f>
        <v>47692</v>
      </c>
      <c r="J29" s="6">
        <f>IF(DAY(AouDim1)=1,IF(AND(YEAR(AouDim1+15)=AnnéeCalendrier,MONTH(AouDim1+15)=8),AouDim1+15,""),IF(AND(YEAR(AouDim1+22)=AnnéeCalendrier,MONTH(AouDim1+22)=8),AouDim1+22,""))</f>
        <v>47714</v>
      </c>
      <c r="K29" s="5">
        <f>IF(DAY(AouDim1)=1,IF(AND(YEAR(AouDim1+16)=AnnéeCalendrier,MONTH(AouDim1+16)=8),AouDim1+16,""),IF(AND(YEAR(AouDim1+23)=AnnéeCalendrier,MONTH(AouDim1+23)=8),AouDim1+23,""))</f>
        <v>47715</v>
      </c>
      <c r="L29" s="5">
        <f>IF(DAY(AouDim1)=1,IF(AND(YEAR(AouDim1+17)=AnnéeCalendrier,MONTH(AouDim1+17)=8),AouDim1+17,""),IF(AND(YEAR(AouDim1+24)=AnnéeCalendrier,MONTH(AouDim1+24)=8),AouDim1+24,""))</f>
        <v>47716</v>
      </c>
      <c r="M29" s="5">
        <f>IF(DAY(AouDim1)=1,IF(AND(YEAR(AouDim1+18)=AnnéeCalendrier,MONTH(AouDim1+18)=8),AouDim1+18,""),IF(AND(YEAR(AouDim1+25)=AnnéeCalendrier,MONTH(AouDim1+25)=8),AouDim1+25,""))</f>
        <v>47717</v>
      </c>
      <c r="N29" s="5">
        <f>IF(DAY(AouDim1)=1,IF(AND(YEAR(AouDim1+19)=AnnéeCalendrier,MONTH(AouDim1+19)=8),AouDim1+19,""),IF(AND(YEAR(AouDim1+26)=AnnéeCalendrier,MONTH(AouDim1+26)=8),AouDim1+26,""))</f>
        <v>47718</v>
      </c>
      <c r="O29" s="5">
        <f>IF(DAY(AouDim1)=1,IF(AND(YEAR(AouDim1+20)=AnnéeCalendrier,MONTH(AouDim1+20)=8),AouDim1+20,""),IF(AND(YEAR(AouDim1+27)=AnnéeCalendrier,MONTH(AouDim1+27)=8),AouDim1+27,""))</f>
        <v>47719</v>
      </c>
      <c r="P29" s="7">
        <f>IF(DAY(AouDim1)=1,IF(AND(YEAR(AouDim1+21)=AnnéeCalendrier,MONTH(AouDim1+21)=8),AouDim1+21,""),IF(AND(YEAR(AouDim1+28)=AnnéeCalendrier,MONTH(AouDim1+28)=8),AouDim1+28,""))</f>
        <v>47720</v>
      </c>
      <c r="Q29" s="1"/>
      <c r="R29" s="6">
        <f>IF(DAY(SepDim1)=1,IF(AND(YEAR(SepDim1+15)=AnnéeCalendrier,MONTH(SepDim1+15)=9),SepDim1+15,""),IF(AND(YEAR(SepDim1+22)=AnnéeCalendrier,MONTH(SepDim1+22)=9),SepDim1+22,""))</f>
        <v>47742</v>
      </c>
      <c r="S29" s="5">
        <f>IF(DAY(SepDim1)=1,IF(AND(YEAR(SepDim1+16)=AnnéeCalendrier,MONTH(SepDim1+16)=9),SepDim1+16,""),IF(AND(YEAR(SepDim1+23)=AnnéeCalendrier,MONTH(SepDim1+23)=9),SepDim1+23,""))</f>
        <v>47743</v>
      </c>
      <c r="T29" s="5">
        <f>IF(DAY(SepDim1)=1,IF(AND(YEAR(SepDim1+17)=AnnéeCalendrier,MONTH(SepDim1+17)=9),SepDim1+17,""),IF(AND(YEAR(SepDim1+24)=AnnéeCalendrier,MONTH(SepDim1+24)=9),SepDim1+24,""))</f>
        <v>47744</v>
      </c>
      <c r="U29" s="5">
        <f>IF(DAY(SepDim1)=1,IF(AND(YEAR(SepDim1+18)=AnnéeCalendrier,MONTH(SepDim1+18)=9),SepDim1+18,""),IF(AND(YEAR(SepDim1+25)=AnnéeCalendrier,MONTH(SepDim1+25)=9),SepDim1+25,""))</f>
        <v>47745</v>
      </c>
      <c r="V29" s="5">
        <f>IF(DAY(SepDim1)=1,IF(AND(YEAR(SepDim1+19)=AnnéeCalendrier,MONTH(SepDim1+19)=9),SepDim1+19,""),IF(AND(YEAR(SepDim1+26)=AnnéeCalendrier,MONTH(SepDim1+26)=9),SepDim1+26,""))</f>
        <v>47746</v>
      </c>
      <c r="W29" s="5">
        <f>IF(DAY(SepDim1)=1,IF(AND(YEAR(SepDim1+20)=AnnéeCalendrier,MONTH(SepDim1+20)=9),SepDim1+20,""),IF(AND(YEAR(SepDim1+27)=AnnéeCalendrier,MONTH(SepDim1+27)=9),SepDim1+27,""))</f>
        <v>47747</v>
      </c>
      <c r="X29" s="7">
        <f>IF(DAY(SepDim1)=1,IF(AND(YEAR(SepDim1+21)=AnnéeCalendrier,MONTH(SepDim1+21)=9),SepDim1+21,""),IF(AND(YEAR(SepDim1+28)=AnnéeCalendrier,MONTH(SepDim1+28)=9),SepDim1+28,""))</f>
        <v>47748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47693</v>
      </c>
      <c r="C30" s="5">
        <f>IF(DAY(JulDim1)=1,IF(AND(YEAR(JulDim1+23)=AnnéeCalendrier,MONTH(JulDim1+23)=7),JulDim1+23,""),IF(AND(YEAR(JulDim1+30)=AnnéeCalendrier,MONTH(JulDim1+30)=7),JulDim1+30,""))</f>
        <v>47694</v>
      </c>
      <c r="D30" s="5">
        <f>IF(DAY(JulDim1)=1,IF(AND(YEAR(JulDim1+24)=AnnéeCalendrier,MONTH(JulDim1+24)=7),JulDim1+24,""),IF(AND(YEAR(JulDim1+31)=AnnéeCalendrier,MONTH(JulDim1+31)=7),JulDim1+31,""))</f>
        <v>47695</v>
      </c>
      <c r="E30" s="5" t="str">
        <f>IF(DAY(JulDim1)=1,IF(AND(YEAR(JulDim1+25)=AnnéeCalendrier,MONTH(JulDim1+25)=7),JulDim1+25,""),IF(AND(YEAR(JulDim1+32)=AnnéeCalendrier,MONTH(JulDim1+32)=7),JulDim1+32,""))</f>
        <v/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47721</v>
      </c>
      <c r="K30" s="5">
        <f>IF(DAY(AouDim1)=1,IF(AND(YEAR(AouDim1+23)=AnnéeCalendrier,MONTH(AouDim1+23)=8),AouDim1+23,""),IF(AND(YEAR(AouDim1+30)=AnnéeCalendrier,MONTH(AouDim1+30)=8),AouDim1+30,""))</f>
        <v>47722</v>
      </c>
      <c r="L30" s="5">
        <f>IF(DAY(AouDim1)=1,IF(AND(YEAR(AouDim1+24)=AnnéeCalendrier,MONTH(AouDim1+24)=8),AouDim1+24,""),IF(AND(YEAR(AouDim1+31)=AnnéeCalendrier,MONTH(AouDim1+31)=8),AouDim1+31,""))</f>
        <v>47723</v>
      </c>
      <c r="M30" s="5">
        <f>IF(DAY(AouDim1)=1,IF(AND(YEAR(AouDim1+25)=AnnéeCalendrier,MONTH(AouDim1+25)=8),AouDim1+25,""),IF(AND(YEAR(AouDim1+32)=AnnéeCalendrier,MONTH(AouDim1+32)=8),AouDim1+32,""))</f>
        <v>47724</v>
      </c>
      <c r="N30" s="5">
        <f>IF(DAY(AouDim1)=1,IF(AND(YEAR(AouDim1+26)=AnnéeCalendrier,MONTH(AouDim1+26)=8),AouDim1+26,""),IF(AND(YEAR(AouDim1+33)=AnnéeCalendrier,MONTH(AouDim1+33)=8),AouDim1+33,""))</f>
        <v>47725</v>
      </c>
      <c r="O30" s="5">
        <f>IF(DAY(AouDim1)=1,IF(AND(YEAR(AouDim1+27)=AnnéeCalendrier,MONTH(AouDim1+27)=8),AouDim1+27,""),IF(AND(YEAR(AouDim1+34)=AnnéeCalendrier,MONTH(AouDim1+34)=8),AouDim1+34,""))</f>
        <v>47726</v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47749</v>
      </c>
      <c r="S30" s="5">
        <f>IF(DAY(SepDim1)=1,IF(AND(YEAR(SepDim1+23)=AnnéeCalendrier,MONTH(SepDim1+23)=9),SepDim1+23,""),IF(AND(YEAR(SepDim1+30)=AnnéeCalendrier,MONTH(SepDim1+30)=9),SepDim1+30,""))</f>
        <v>47750</v>
      </c>
      <c r="T30" s="5">
        <f>IF(DAY(SepDim1)=1,IF(AND(YEAR(SepDim1+24)=AnnéeCalendrier,MONTH(SepDim1+24)=9),SepDim1+24,""),IF(AND(YEAR(SepDim1+31)=AnnéeCalendrier,MONTH(SepDim1+31)=9),SepDim1+31,""))</f>
        <v>47751</v>
      </c>
      <c r="U30" s="5">
        <f>IF(DAY(SepDim1)=1,IF(AND(YEAR(SepDim1+25)=AnnéeCalendrier,MONTH(SepDim1+25)=9),SepDim1+25,""),IF(AND(YEAR(SepDim1+32)=AnnéeCalendrier,MONTH(SepDim1+32)=9),SepDim1+32,""))</f>
        <v>47752</v>
      </c>
      <c r="V30" s="5">
        <f>IF(DAY(SepDim1)=1,IF(AND(YEAR(SepDim1+26)=AnnéeCalendrier,MONTH(SepDim1+26)=9),SepDim1+26,""),IF(AND(YEAR(SepDim1+33)=AnnéeCalendrier,MONTH(SepDim1+33)=9),SepDim1+33,""))</f>
        <v>47753</v>
      </c>
      <c r="W30" s="5">
        <f>IF(DAY(SepDim1)=1,IF(AND(YEAR(SepDim1+27)=AnnéeCalendrier,MONTH(SepDim1+27)=9),SepDim1+27,""),IF(AND(YEAR(SepDim1+34)=AnnéeCalendrier,MONTH(SepDim1+34)=9),SepDim1+34,""))</f>
        <v>47754</v>
      </c>
      <c r="X30" s="7">
        <f>IF(DAY(SepDim1)=1,IF(AND(YEAR(SepDim1+28)=AnnéeCalendrier,MONTH(SepDim1+28)=9),SepDim1+28,""),IF(AND(YEAR(SepDim1+35)=AnnéeCalendrier,MONTH(SepDim1+35)=9),SepDim1+35,""))</f>
        <v>47755</v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>
        <f>IF(DAY(SepDim1)=1,IF(AND(YEAR(SepDim1+29)=AnnéeCalendrier,MONTH(SepDim1+29)=9),SepDim1+29,""),IF(AND(YEAR(SepDim1+36)=AnnéeCalendrier,MONTH(SepDim1+36)=9),SepDim1+36,""))</f>
        <v>47756</v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>
        <f>IF(DAY(OctDim1)=1,"",IF(AND(YEAR(OctDim1+2)=AnnéeCalendrier,MONTH(OctDim1+2)=10),OctDim1+2,""))</f>
        <v>47757</v>
      </c>
      <c r="D35" s="5">
        <f>IF(DAY(OctDim1)=1,"",IF(AND(YEAR(OctDim1+3)=AnnéeCalendrier,MONTH(OctDim1+3)=10),OctDim1+3,""))</f>
        <v>47758</v>
      </c>
      <c r="E35" s="5">
        <f>IF(DAY(OctDim1)=1,"",IF(AND(YEAR(OctDim1+4)=AnnéeCalendrier,MONTH(OctDim1+4)=10),OctDim1+4,""))</f>
        <v>47759</v>
      </c>
      <c r="F35" s="5">
        <f>IF(DAY(OctDim1)=1,"",IF(AND(YEAR(OctDim1+5)=AnnéeCalendrier,MONTH(OctDim1+5)=10),OctDim1+5,""))</f>
        <v>47760</v>
      </c>
      <c r="G35" s="5">
        <f>IF(DAY(OctDim1)=1,"",IF(AND(YEAR(OctDim1+6)=AnnéeCalendrier,MONTH(OctDim1+6)=10),OctDim1+6,""))</f>
        <v>47761</v>
      </c>
      <c r="H35" s="7">
        <f>IF(DAY(OctDim1)=1,IF(AND(YEAR(OctDim1)=AnnéeCalendrier,MONTH(OctDim1)=10),OctDim1,""),IF(AND(YEAR(OctDim1+7)=AnnéeCalendrier,MONTH(OctDim1+7)=10),OctDim1+7,""))</f>
        <v>47762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>
        <f>IF(DAY(NovDim1)=1,"",IF(AND(YEAR(NovDim1+5)=AnnéeCalendrier,MONTH(NovDim1+5)=11),NovDim1+5,""))</f>
        <v>47788</v>
      </c>
      <c r="O35" s="5">
        <f>IF(DAY(NovDim1)=1,"",IF(AND(YEAR(NovDim1+6)=AnnéeCalendrier,MONTH(NovDim1+6)=11),NovDim1+6,""))</f>
        <v>47789</v>
      </c>
      <c r="P35" s="7">
        <f>IF(DAY(NovDim1)=1,IF(AND(YEAR(NovDim1)=AnnéeCalendrier,MONTH(NovDim1)=11),NovDim1,""),IF(AND(YEAR(NovDim1+7)=AnnéeCalendrier,MONTH(NovDim1+7)=11),NovDim1+7,""))</f>
        <v>47790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>
        <f>IF(DAY(DécDim1)=1,IF(AND(YEAR(DécDim1)=AnnéeCalendrier,MONTH(DécDim1)=12),DécDim1,""),IF(AND(YEAR(DécDim1+7)=AnnéeCalendrier,MONTH(DécDim1+7)=12),DécDim1+7,""))</f>
        <v>47818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47763</v>
      </c>
      <c r="C36" s="5">
        <f>IF(DAY(OctDim1)=1,IF(AND(YEAR(OctDim1+2)=AnnéeCalendrier,MONTH(OctDim1+2)=10),OctDim1+2,""),IF(AND(YEAR(OctDim1+9)=AnnéeCalendrier,MONTH(OctDim1+9)=10),OctDim1+9,""))</f>
        <v>47764</v>
      </c>
      <c r="D36" s="5">
        <f>IF(DAY(OctDim1)=1,IF(AND(YEAR(OctDim1+3)=AnnéeCalendrier,MONTH(OctDim1+3)=10),OctDim1+3,""),IF(AND(YEAR(OctDim1+10)=AnnéeCalendrier,MONTH(OctDim1+10)=10),OctDim1+10,""))</f>
        <v>47765</v>
      </c>
      <c r="E36" s="5">
        <f>IF(DAY(OctDim1)=1,IF(AND(YEAR(OctDim1+4)=AnnéeCalendrier,MONTH(OctDim1+4)=10),OctDim1+4,""),IF(AND(YEAR(OctDim1+11)=AnnéeCalendrier,MONTH(OctDim1+11)=10),OctDim1+11,""))</f>
        <v>47766</v>
      </c>
      <c r="F36" s="5">
        <f>IF(DAY(OctDim1)=1,IF(AND(YEAR(OctDim1+5)=AnnéeCalendrier,MONTH(OctDim1+5)=10),OctDim1+5,""),IF(AND(YEAR(OctDim1+12)=AnnéeCalendrier,MONTH(OctDim1+12)=10),OctDim1+12,""))</f>
        <v>47767</v>
      </c>
      <c r="G36" s="5">
        <f>IF(DAY(OctDim1)=1,IF(AND(YEAR(OctDim1+6)=AnnéeCalendrier,MONTH(OctDim1+6)=10),OctDim1+6,""),IF(AND(YEAR(OctDim1+13)=AnnéeCalendrier,MONTH(OctDim1+13)=10),OctDim1+13,""))</f>
        <v>47768</v>
      </c>
      <c r="H36" s="7">
        <f>IF(DAY(OctDim1)=1,IF(AND(YEAR(OctDim1+7)=AnnéeCalendrier,MONTH(OctDim1+7)=10),OctDim1+7,""),IF(AND(YEAR(OctDim1+14)=AnnéeCalendrier,MONTH(OctDim1+14)=10),OctDim1+14,""))</f>
        <v>47769</v>
      </c>
      <c r="I36" s="4"/>
      <c r="J36" s="6">
        <f>IF(DAY(NovDim1)=1,IF(AND(YEAR(NovDim1+1)=AnnéeCalendrier,MONTH(NovDim1+1)=11),NovDim1+1,""),IF(AND(YEAR(NovDim1+8)=AnnéeCalendrier,MONTH(NovDim1+8)=11),NovDim1+8,""))</f>
        <v>47791</v>
      </c>
      <c r="K36" s="5">
        <f>IF(DAY(NovDim1)=1,IF(AND(YEAR(NovDim1+2)=AnnéeCalendrier,MONTH(NovDim1+2)=11),NovDim1+2,""),IF(AND(YEAR(NovDim1+9)=AnnéeCalendrier,MONTH(NovDim1+9)=11),NovDim1+9,""))</f>
        <v>47792</v>
      </c>
      <c r="L36" s="5">
        <f>IF(DAY(NovDim1)=1,IF(AND(YEAR(NovDim1+3)=AnnéeCalendrier,MONTH(NovDim1+3)=11),NovDim1+3,""),IF(AND(YEAR(NovDim1+10)=AnnéeCalendrier,MONTH(NovDim1+10)=11),NovDim1+10,""))</f>
        <v>47793</v>
      </c>
      <c r="M36" s="5">
        <f>IF(DAY(NovDim1)=1,IF(AND(YEAR(NovDim1+4)=AnnéeCalendrier,MONTH(NovDim1+4)=11),NovDim1+4,""),IF(AND(YEAR(NovDim1+11)=AnnéeCalendrier,MONTH(NovDim1+11)=11),NovDim1+11,""))</f>
        <v>47794</v>
      </c>
      <c r="N36" s="5">
        <f>IF(DAY(NovDim1)=1,IF(AND(YEAR(NovDim1+5)=AnnéeCalendrier,MONTH(NovDim1+5)=11),NovDim1+5,""),IF(AND(YEAR(NovDim1+12)=AnnéeCalendrier,MONTH(NovDim1+12)=11),NovDim1+12,""))</f>
        <v>47795</v>
      </c>
      <c r="O36" s="5">
        <f>IF(DAY(NovDim1)=1,IF(AND(YEAR(NovDim1+6)=AnnéeCalendrier,MONTH(NovDim1+6)=11),NovDim1+6,""),IF(AND(YEAR(NovDim1+13)=AnnéeCalendrier,MONTH(NovDim1+13)=11),NovDim1+13,""))</f>
        <v>47796</v>
      </c>
      <c r="P36" s="7">
        <f>IF(DAY(NovDim1)=1,IF(AND(YEAR(NovDim1+7)=AnnéeCalendrier,MONTH(NovDim1+7)=11),NovDim1+7,""),IF(AND(YEAR(NovDim1+14)=AnnéeCalendrier,MONTH(NovDim1+14)=11),NovDim1+14,""))</f>
        <v>47797</v>
      </c>
      <c r="R36" s="6">
        <f>IF(DAY(DécDim1)=1,IF(AND(YEAR(DécDim1+1)=AnnéeCalendrier,MONTH(DécDim1+1)=12),DécDim1+1,""),IF(AND(YEAR(DécDim1+8)=AnnéeCalendrier,MONTH(DécDim1+8)=12),DécDim1+8,""))</f>
        <v>47819</v>
      </c>
      <c r="S36" s="5">
        <f>IF(DAY(DécDim1)=1,IF(AND(YEAR(DécDim1+2)=AnnéeCalendrier,MONTH(DécDim1+2)=12),DécDim1+2,""),IF(AND(YEAR(DécDim1+9)=AnnéeCalendrier,MONTH(DécDim1+9)=12),DécDim1+9,""))</f>
        <v>47820</v>
      </c>
      <c r="T36" s="5">
        <f>IF(DAY(DécDim1)=1,IF(AND(YEAR(DécDim1+3)=AnnéeCalendrier,MONTH(DécDim1+3)=12),DécDim1+3,""),IF(AND(YEAR(DécDim1+10)=AnnéeCalendrier,MONTH(DécDim1+10)=12),DécDim1+10,""))</f>
        <v>47821</v>
      </c>
      <c r="U36" s="5">
        <f>IF(DAY(DécDim1)=1,IF(AND(YEAR(DécDim1+4)=AnnéeCalendrier,MONTH(DécDim1+4)=12),DécDim1+4,""),IF(AND(YEAR(DécDim1+11)=AnnéeCalendrier,MONTH(DécDim1+11)=12),DécDim1+11,""))</f>
        <v>47822</v>
      </c>
      <c r="V36" s="5">
        <f>IF(DAY(DécDim1)=1,IF(AND(YEAR(DécDim1+5)=AnnéeCalendrier,MONTH(DécDim1+5)=12),DécDim1+5,""),IF(AND(YEAR(DécDim1+12)=AnnéeCalendrier,MONTH(DécDim1+12)=12),DécDim1+12,""))</f>
        <v>47823</v>
      </c>
      <c r="W36" s="5">
        <f>IF(DAY(DécDim1)=1,IF(AND(YEAR(DécDim1+6)=AnnéeCalendrier,MONTH(DécDim1+6)=12),DécDim1+6,""),IF(AND(YEAR(DécDim1+13)=AnnéeCalendrier,MONTH(DécDim1+13)=12),DécDim1+13,""))</f>
        <v>47824</v>
      </c>
      <c r="X36" s="7">
        <f>IF(DAY(DécDim1)=1,IF(AND(YEAR(DécDim1+7)=AnnéeCalendrier,MONTH(DécDim1+7)=12),DécDim1+7,""),IF(AND(YEAR(DécDim1+14)=AnnéeCalendrier,MONTH(DécDim1+14)=12),DécDim1+14,""))</f>
        <v>47825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47770</v>
      </c>
      <c r="C37" s="5">
        <f>IF(DAY(OctDim1)=1,IF(AND(YEAR(OctDim1+9)=AnnéeCalendrier,MONTH(OctDim1+9)=10),OctDim1+9,""),IF(AND(YEAR(OctDim1+16)=AnnéeCalendrier,MONTH(OctDim1+16)=10),OctDim1+16,""))</f>
        <v>47771</v>
      </c>
      <c r="D37" s="5">
        <f>IF(DAY(OctDim1)=1,IF(AND(YEAR(OctDim1+10)=AnnéeCalendrier,MONTH(OctDim1+10)=10),OctDim1+10,""),IF(AND(YEAR(OctDim1+17)=AnnéeCalendrier,MONTH(OctDim1+17)=10),OctDim1+17,""))</f>
        <v>47772</v>
      </c>
      <c r="E37" s="5">
        <f>IF(DAY(OctDim1)=1,IF(AND(YEAR(OctDim1+11)=AnnéeCalendrier,MONTH(OctDim1+11)=10),OctDim1+11,""),IF(AND(YEAR(OctDim1+18)=AnnéeCalendrier,MONTH(OctDim1+18)=10),OctDim1+18,""))</f>
        <v>47773</v>
      </c>
      <c r="F37" s="5">
        <f>IF(DAY(OctDim1)=1,IF(AND(YEAR(OctDim1+12)=AnnéeCalendrier,MONTH(OctDim1+12)=10),OctDim1+12,""),IF(AND(YEAR(OctDim1+19)=AnnéeCalendrier,MONTH(OctDim1+19)=10),OctDim1+19,""))</f>
        <v>47774</v>
      </c>
      <c r="G37" s="5">
        <f>IF(DAY(OctDim1)=1,IF(AND(YEAR(OctDim1+13)=AnnéeCalendrier,MONTH(OctDim1+13)=10),OctDim1+13,""),IF(AND(YEAR(OctDim1+20)=AnnéeCalendrier,MONTH(OctDim1+20)=10),OctDim1+20,""))</f>
        <v>47775</v>
      </c>
      <c r="H37" s="7">
        <f>IF(DAY(OctDim1)=1,IF(AND(YEAR(OctDim1+14)=AnnéeCalendrier,MONTH(OctDim1+14)=10),OctDim1+14,""),IF(AND(YEAR(OctDim1+21)=AnnéeCalendrier,MONTH(OctDim1+21)=10),OctDim1+21,""))</f>
        <v>47776</v>
      </c>
      <c r="I37" s="4"/>
      <c r="J37" s="6">
        <f>IF(DAY(NovDim1)=1,IF(AND(YEAR(NovDim1+8)=AnnéeCalendrier,MONTH(NovDim1+8)=11),NovDim1+8,""),IF(AND(YEAR(NovDim1+15)=AnnéeCalendrier,MONTH(NovDim1+15)=11),NovDim1+15,""))</f>
        <v>47798</v>
      </c>
      <c r="K37" s="5">
        <f>IF(DAY(NovDim1)=1,IF(AND(YEAR(NovDim1+9)=AnnéeCalendrier,MONTH(NovDim1+9)=11),NovDim1+9,""),IF(AND(YEAR(NovDim1+16)=AnnéeCalendrier,MONTH(NovDim1+16)=11),NovDim1+16,""))</f>
        <v>47799</v>
      </c>
      <c r="L37" s="5">
        <f>IF(DAY(NovDim1)=1,IF(AND(YEAR(NovDim1+10)=AnnéeCalendrier,MONTH(NovDim1+10)=11),NovDim1+10,""),IF(AND(YEAR(NovDim1+17)=AnnéeCalendrier,MONTH(NovDim1+17)=11),NovDim1+17,""))</f>
        <v>47800</v>
      </c>
      <c r="M37" s="5">
        <f>IF(DAY(NovDim1)=1,IF(AND(YEAR(NovDim1+11)=AnnéeCalendrier,MONTH(NovDim1+11)=11),NovDim1+11,""),IF(AND(YEAR(NovDim1+18)=AnnéeCalendrier,MONTH(NovDim1+18)=11),NovDim1+18,""))</f>
        <v>47801</v>
      </c>
      <c r="N37" s="5">
        <f>IF(DAY(NovDim1)=1,IF(AND(YEAR(NovDim1+12)=AnnéeCalendrier,MONTH(NovDim1+12)=11),NovDim1+12,""),IF(AND(YEAR(NovDim1+19)=AnnéeCalendrier,MONTH(NovDim1+19)=11),NovDim1+19,""))</f>
        <v>47802</v>
      </c>
      <c r="O37" s="5">
        <f>IF(DAY(NovDim1)=1,IF(AND(YEAR(NovDim1+13)=AnnéeCalendrier,MONTH(NovDim1+13)=11),NovDim1+13,""),IF(AND(YEAR(NovDim1+20)=AnnéeCalendrier,MONTH(NovDim1+20)=11),NovDim1+20,""))</f>
        <v>47803</v>
      </c>
      <c r="P37" s="7">
        <f>IF(DAY(NovDim1)=1,IF(AND(YEAR(NovDim1+14)=AnnéeCalendrier,MONTH(NovDim1+14)=11),NovDim1+14,""),IF(AND(YEAR(NovDim1+21)=AnnéeCalendrier,MONTH(NovDim1+21)=11),NovDim1+21,""))</f>
        <v>47804</v>
      </c>
      <c r="R37" s="6">
        <f>IF(DAY(DécDim1)=1,IF(AND(YEAR(DécDim1+8)=AnnéeCalendrier,MONTH(DécDim1+8)=12),DécDim1+8,""),IF(AND(YEAR(DécDim1+15)=AnnéeCalendrier,MONTH(DécDim1+15)=12),DécDim1+15,""))</f>
        <v>47826</v>
      </c>
      <c r="S37" s="5">
        <f>IF(DAY(DécDim1)=1,IF(AND(YEAR(DécDim1+9)=AnnéeCalendrier,MONTH(DécDim1+9)=12),DécDim1+9,""),IF(AND(YEAR(DécDim1+16)=AnnéeCalendrier,MONTH(DécDim1+16)=12),DécDim1+16,""))</f>
        <v>47827</v>
      </c>
      <c r="T37" s="5">
        <f>IF(DAY(DécDim1)=1,IF(AND(YEAR(DécDim1+10)=AnnéeCalendrier,MONTH(DécDim1+10)=12),DécDim1+10,""),IF(AND(YEAR(DécDim1+17)=AnnéeCalendrier,MONTH(DécDim1+17)=12),DécDim1+17,""))</f>
        <v>47828</v>
      </c>
      <c r="U37" s="5">
        <f>IF(DAY(DécDim1)=1,IF(AND(YEAR(DécDim1+11)=AnnéeCalendrier,MONTH(DécDim1+11)=12),DécDim1+11,""),IF(AND(YEAR(DécDim1+18)=AnnéeCalendrier,MONTH(DécDim1+18)=12),DécDim1+18,""))</f>
        <v>47829</v>
      </c>
      <c r="V37" s="5">
        <f>IF(DAY(DécDim1)=1,IF(AND(YEAR(DécDim1+12)=AnnéeCalendrier,MONTH(DécDim1+12)=12),DécDim1+12,""),IF(AND(YEAR(DécDim1+19)=AnnéeCalendrier,MONTH(DécDim1+19)=12),DécDim1+19,""))</f>
        <v>47830</v>
      </c>
      <c r="W37" s="5">
        <f>IF(DAY(DécDim1)=1,IF(AND(YEAR(DécDim1+13)=AnnéeCalendrier,MONTH(DécDim1+13)=12),DécDim1+13,""),IF(AND(YEAR(DécDim1+20)=AnnéeCalendrier,MONTH(DécDim1+20)=12),DécDim1+20,""))</f>
        <v>47831</v>
      </c>
      <c r="X37" s="7">
        <f>IF(DAY(DécDim1)=1,IF(AND(YEAR(DécDim1+14)=AnnéeCalendrier,MONTH(DécDim1+14)=12),DécDim1+14,""),IF(AND(YEAR(DécDim1+21)=AnnéeCalendrier,MONTH(DécDim1+21)=12),DécDim1+21,""))</f>
        <v>47832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47777</v>
      </c>
      <c r="C38" s="5">
        <f>IF(DAY(OctDim1)=1,IF(AND(YEAR(OctDim1+16)=AnnéeCalendrier,MONTH(OctDim1+16)=10),OctDim1+16,""),IF(AND(YEAR(OctDim1+23)=AnnéeCalendrier,MONTH(OctDim1+23)=10),OctDim1+23,""))</f>
        <v>47778</v>
      </c>
      <c r="D38" s="5">
        <f>IF(DAY(OctDim1)=1,IF(AND(YEAR(OctDim1+17)=AnnéeCalendrier,MONTH(OctDim1+17)=10),OctDim1+17,""),IF(AND(YEAR(OctDim1+24)=AnnéeCalendrier,MONTH(OctDim1+24)=10),OctDim1+24,""))</f>
        <v>47779</v>
      </c>
      <c r="E38" s="5">
        <f>IF(DAY(OctDim1)=1,IF(AND(YEAR(OctDim1+18)=AnnéeCalendrier,MONTH(OctDim1+18)=10),OctDim1+18,""),IF(AND(YEAR(OctDim1+25)=AnnéeCalendrier,MONTH(OctDim1+25)=10),OctDim1+25,""))</f>
        <v>47780</v>
      </c>
      <c r="F38" s="5">
        <f>IF(DAY(OctDim1)=1,IF(AND(YEAR(OctDim1+19)=AnnéeCalendrier,MONTH(OctDim1+19)=10),OctDim1+19,""),IF(AND(YEAR(OctDim1+26)=AnnéeCalendrier,MONTH(OctDim1+26)=10),OctDim1+26,""))</f>
        <v>47781</v>
      </c>
      <c r="G38" s="5">
        <f>IF(DAY(OctDim1)=1,IF(AND(YEAR(OctDim1+20)=AnnéeCalendrier,MONTH(OctDim1+20)=10),OctDim1+20,""),IF(AND(YEAR(OctDim1+27)=AnnéeCalendrier,MONTH(OctDim1+27)=10),OctDim1+27,""))</f>
        <v>47782</v>
      </c>
      <c r="H38" s="7">
        <f>IF(DAY(OctDim1)=1,IF(AND(YEAR(OctDim1+21)=AnnéeCalendrier,MONTH(OctDim1+21)=10),OctDim1+21,""),IF(AND(YEAR(OctDim1+28)=AnnéeCalendrier,MONTH(OctDim1+28)=10),OctDim1+28,""))</f>
        <v>47783</v>
      </c>
      <c r="I38" s="4"/>
      <c r="J38" s="6">
        <f>IF(DAY(NovDim1)=1,IF(AND(YEAR(NovDim1+15)=AnnéeCalendrier,MONTH(NovDim1+15)=11),NovDim1+15,""),IF(AND(YEAR(NovDim1+22)=AnnéeCalendrier,MONTH(NovDim1+22)=11),NovDim1+22,""))</f>
        <v>47805</v>
      </c>
      <c r="K38" s="5">
        <f>IF(DAY(NovDim1)=1,IF(AND(YEAR(NovDim1+16)=AnnéeCalendrier,MONTH(NovDim1+16)=11),NovDim1+16,""),IF(AND(YEAR(NovDim1+23)=AnnéeCalendrier,MONTH(NovDim1+23)=11),NovDim1+23,""))</f>
        <v>47806</v>
      </c>
      <c r="L38" s="5">
        <f>IF(DAY(NovDim1)=1,IF(AND(YEAR(NovDim1+17)=AnnéeCalendrier,MONTH(NovDim1+17)=11),NovDim1+17,""),IF(AND(YEAR(NovDim1+24)=AnnéeCalendrier,MONTH(NovDim1+24)=11),NovDim1+24,""))</f>
        <v>47807</v>
      </c>
      <c r="M38" s="5">
        <f>IF(DAY(NovDim1)=1,IF(AND(YEAR(NovDim1+18)=AnnéeCalendrier,MONTH(NovDim1+18)=11),NovDim1+18,""),IF(AND(YEAR(NovDim1+25)=AnnéeCalendrier,MONTH(NovDim1+25)=11),NovDim1+25,""))</f>
        <v>47808</v>
      </c>
      <c r="N38" s="5">
        <f>IF(DAY(NovDim1)=1,IF(AND(YEAR(NovDim1+19)=AnnéeCalendrier,MONTH(NovDim1+19)=11),NovDim1+19,""),IF(AND(YEAR(NovDim1+26)=AnnéeCalendrier,MONTH(NovDim1+26)=11),NovDim1+26,""))</f>
        <v>47809</v>
      </c>
      <c r="O38" s="5">
        <f>IF(DAY(NovDim1)=1,IF(AND(YEAR(NovDim1+20)=AnnéeCalendrier,MONTH(NovDim1+20)=11),NovDim1+20,""),IF(AND(YEAR(NovDim1+27)=AnnéeCalendrier,MONTH(NovDim1+27)=11),NovDim1+27,""))</f>
        <v>47810</v>
      </c>
      <c r="P38" s="7">
        <f>IF(DAY(NovDim1)=1,IF(AND(YEAR(NovDim1+21)=AnnéeCalendrier,MONTH(NovDim1+21)=11),NovDim1+21,""),IF(AND(YEAR(NovDim1+28)=AnnéeCalendrier,MONTH(NovDim1+28)=11),NovDim1+28,""))</f>
        <v>47811</v>
      </c>
      <c r="R38" s="6">
        <f>IF(DAY(DécDim1)=1,IF(AND(YEAR(DécDim1+15)=AnnéeCalendrier,MONTH(DécDim1+15)=12),DécDim1+15,""),IF(AND(YEAR(DécDim1+22)=AnnéeCalendrier,MONTH(DécDim1+22)=12),DécDim1+22,""))</f>
        <v>47833</v>
      </c>
      <c r="S38" s="5">
        <f>IF(DAY(DécDim1)=1,IF(AND(YEAR(DécDim1+16)=AnnéeCalendrier,MONTH(DécDim1+16)=12),DécDim1+16,""),IF(AND(YEAR(DécDim1+23)=AnnéeCalendrier,MONTH(DécDim1+23)=12),DécDim1+23,""))</f>
        <v>47834</v>
      </c>
      <c r="T38" s="5">
        <f>IF(DAY(DécDim1)=1,IF(AND(YEAR(DécDim1+17)=AnnéeCalendrier,MONTH(DécDim1+17)=12),DécDim1+17,""),IF(AND(YEAR(DécDim1+24)=AnnéeCalendrier,MONTH(DécDim1+24)=12),DécDim1+24,""))</f>
        <v>47835</v>
      </c>
      <c r="U38" s="5">
        <f>IF(DAY(DécDim1)=1,IF(AND(YEAR(DécDim1+18)=AnnéeCalendrier,MONTH(DécDim1+18)=12),DécDim1+18,""),IF(AND(YEAR(DécDim1+25)=AnnéeCalendrier,MONTH(DécDim1+25)=12),DécDim1+25,""))</f>
        <v>47836</v>
      </c>
      <c r="V38" s="5">
        <f>IF(DAY(DécDim1)=1,IF(AND(YEAR(DécDim1+19)=AnnéeCalendrier,MONTH(DécDim1+19)=12),DécDim1+19,""),IF(AND(YEAR(DécDim1+26)=AnnéeCalendrier,MONTH(DécDim1+26)=12),DécDim1+26,""))</f>
        <v>47837</v>
      </c>
      <c r="W38" s="5">
        <f>IF(DAY(DécDim1)=1,IF(AND(YEAR(DécDim1+20)=AnnéeCalendrier,MONTH(DécDim1+20)=12),DécDim1+20,""),IF(AND(YEAR(DécDim1+27)=AnnéeCalendrier,MONTH(DécDim1+27)=12),DécDim1+27,""))</f>
        <v>47838</v>
      </c>
      <c r="X38" s="7">
        <f>IF(DAY(DécDim1)=1,IF(AND(YEAR(DécDim1+21)=AnnéeCalendrier,MONTH(DécDim1+21)=12),DécDim1+21,""),IF(AND(YEAR(DécDim1+28)=AnnéeCalendrier,MONTH(DécDim1+28)=12),DécDim1+28,""))</f>
        <v>47839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47784</v>
      </c>
      <c r="C39" s="5">
        <f>IF(DAY(OctDim1)=1,IF(AND(YEAR(OctDim1+23)=AnnéeCalendrier,MONTH(OctDim1+23)=10),OctDim1+23,""),IF(AND(YEAR(OctDim1+30)=AnnéeCalendrier,MONTH(OctDim1+30)=10),OctDim1+30,""))</f>
        <v>47785</v>
      </c>
      <c r="D39" s="5">
        <f>IF(DAY(OctDim1)=1,IF(AND(YEAR(OctDim1+24)=AnnéeCalendrier,MONTH(OctDim1+24)=10),OctDim1+24,""),IF(AND(YEAR(OctDim1+31)=AnnéeCalendrier,MONTH(OctDim1+31)=10),OctDim1+31,""))</f>
        <v>47786</v>
      </c>
      <c r="E39" s="5">
        <f>IF(DAY(OctDim1)=1,IF(AND(YEAR(OctDim1+25)=AnnéeCalendrier,MONTH(OctDim1+25)=10),OctDim1+25,""),IF(AND(YEAR(OctDim1+32)=AnnéeCalendrier,MONTH(OctDim1+32)=10),OctDim1+32,""))</f>
        <v>47787</v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47812</v>
      </c>
      <c r="K39" s="5">
        <f>IF(DAY(NovDim1)=1,IF(AND(YEAR(NovDim1+23)=AnnéeCalendrier,MONTH(NovDim1+23)=11),NovDim1+23,""),IF(AND(YEAR(NovDim1+30)=AnnéeCalendrier,MONTH(NovDim1+30)=11),NovDim1+30,""))</f>
        <v>47813</v>
      </c>
      <c r="L39" s="5">
        <f>IF(DAY(NovDim1)=1,IF(AND(YEAR(NovDim1+24)=AnnéeCalendrier,MONTH(NovDim1+24)=11),NovDim1+24,""),IF(AND(YEAR(NovDim1+31)=AnnéeCalendrier,MONTH(NovDim1+31)=11),NovDim1+31,""))</f>
        <v>47814</v>
      </c>
      <c r="M39" s="5">
        <f>IF(DAY(NovDim1)=1,IF(AND(YEAR(NovDim1+25)=AnnéeCalendrier,MONTH(NovDim1+25)=11),NovDim1+25,""),IF(AND(YEAR(NovDim1+32)=AnnéeCalendrier,MONTH(NovDim1+32)=11),NovDim1+32,""))</f>
        <v>47815</v>
      </c>
      <c r="N39" s="5">
        <f>IF(DAY(NovDim1)=1,IF(AND(YEAR(NovDim1+26)=AnnéeCalendrier,MONTH(NovDim1+26)=11),NovDim1+26,""),IF(AND(YEAR(NovDim1+33)=AnnéeCalendrier,MONTH(NovDim1+33)=11),NovDim1+33,""))</f>
        <v>47816</v>
      </c>
      <c r="O39" s="5">
        <f>IF(DAY(NovDim1)=1,IF(AND(YEAR(NovDim1+27)=AnnéeCalendrier,MONTH(NovDim1+27)=11),NovDim1+27,""),IF(AND(YEAR(NovDim1+34)=AnnéeCalendrier,MONTH(NovDim1+34)=11),NovDim1+34,""))</f>
        <v>47817</v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47840</v>
      </c>
      <c r="S39" s="5">
        <f>IF(DAY(DécDim1)=1,IF(AND(YEAR(DécDim1+23)=AnnéeCalendrier,MONTH(DécDim1+23)=12),DécDim1+23,""),IF(AND(YEAR(DécDim1+30)=AnnéeCalendrier,MONTH(DécDim1+30)=12),DécDim1+30,""))</f>
        <v>47841</v>
      </c>
      <c r="T39" s="5">
        <f>IF(DAY(DécDim1)=1,IF(AND(YEAR(DécDim1+24)=AnnéeCalendrier,MONTH(DécDim1+24)=12),DécDim1+24,""),IF(AND(YEAR(DécDim1+31)=AnnéeCalendrier,MONTH(DécDim1+31)=12),DécDim1+31,""))</f>
        <v>47842</v>
      </c>
      <c r="U39" s="5">
        <f>IF(DAY(DécDim1)=1,IF(AND(YEAR(DécDim1+25)=AnnéeCalendrier,MONTH(DécDim1+25)=12),DécDim1+25,""),IF(AND(YEAR(DécDim1+32)=AnnéeCalendrier,MONTH(DécDim1+32)=12),DécDim1+32,""))</f>
        <v>47843</v>
      </c>
      <c r="V39" s="5">
        <f>IF(DAY(DécDim1)=1,IF(AND(YEAR(DécDim1+26)=AnnéeCalendrier,MONTH(DécDim1+26)=12),DécDim1+26,""),IF(AND(YEAR(DécDim1+33)=AnnéeCalendrier,MONTH(DécDim1+33)=12),DécDim1+33,""))</f>
        <v>47844</v>
      </c>
      <c r="W39" s="5">
        <f>IF(DAY(DécDim1)=1,IF(AND(YEAR(DécDim1+27)=AnnéeCalendrier,MONTH(DécDim1+27)=12),DécDim1+27,""),IF(AND(YEAR(DécDim1+34)=AnnéeCalendrier,MONTH(DécDim1+34)=12),DécDim1+34,""))</f>
        <v>47845</v>
      </c>
      <c r="X39" s="7">
        <f>IF(DAY(DécDim1)=1,IF(AND(YEAR(DécDim1+28)=AnnéeCalendrier,MONTH(DécDim1+28)=12),DécDim1+28,""),IF(AND(YEAR(DécDim1+35)=AnnéeCalendrier,MONTH(DécDim1+35)=12),DécDim1+35,""))</f>
        <v>47846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47847</v>
      </c>
      <c r="S40" s="9">
        <f>IF(DAY(DécDim1)=1,IF(AND(YEAR(DécDim1+30)=AnnéeCalendrier,MONTH(DécDim1+30)=12),DécDim1+30,""),IF(AND(YEAR(DécDim1+37)=AnnéeCalendrier,MONTH(DécDim1+37)=12),DécDim1+37,""))</f>
        <v>47848</v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33" priority="1">
      <formula>LEN(TRIM(B8))&gt;0</formula>
    </cfRule>
  </conditionalFormatting>
  <conditionalFormatting sqref="J8:P13">
    <cfRule type="notContainsBlanks" dxfId="132" priority="2">
      <formula>LEN(TRIM(J8))&gt;0</formula>
    </cfRule>
  </conditionalFormatting>
  <conditionalFormatting sqref="R8:X13">
    <cfRule type="notContainsBlanks" dxfId="131" priority="3">
      <formula>LEN(TRIM(R8))&gt;0</formula>
    </cfRule>
  </conditionalFormatting>
  <conditionalFormatting sqref="B17:H22">
    <cfRule type="notContainsBlanks" dxfId="130" priority="4">
      <formula>LEN(TRIM(B17))&gt;0</formula>
    </cfRule>
  </conditionalFormatting>
  <conditionalFormatting sqref="J17:P22">
    <cfRule type="notContainsBlanks" dxfId="129" priority="5">
      <formula>LEN(TRIM(J17))&gt;0</formula>
    </cfRule>
  </conditionalFormatting>
  <conditionalFormatting sqref="R17:X22">
    <cfRule type="notContainsBlanks" dxfId="128" priority="6">
      <formula>LEN(TRIM(R17))&gt;0</formula>
    </cfRule>
  </conditionalFormatting>
  <conditionalFormatting sqref="R35:X40">
    <cfRule type="notContainsBlanks" dxfId="127" priority="12">
      <formula>LEN(TRIM(R35))&gt;0</formula>
    </cfRule>
  </conditionalFormatting>
  <conditionalFormatting sqref="B26:H31">
    <cfRule type="notContainsBlanks" dxfId="126" priority="7">
      <formula>LEN(TRIM(B26))&gt;0</formula>
    </cfRule>
  </conditionalFormatting>
  <conditionalFormatting sqref="J26:P31">
    <cfRule type="notContainsBlanks" dxfId="125" priority="8">
      <formula>LEN(TRIM(J26))&gt;0</formula>
    </cfRule>
  </conditionalFormatting>
  <conditionalFormatting sqref="R26:X31">
    <cfRule type="notContainsBlanks" dxfId="124" priority="9">
      <formula>LEN(TRIM(R26))&gt;0</formula>
    </cfRule>
  </conditionalFormatting>
  <conditionalFormatting sqref="B35:H40">
    <cfRule type="notContainsBlanks" dxfId="123" priority="10">
      <formula>LEN(TRIM(B35))&gt;0</formula>
    </cfRule>
  </conditionalFormatting>
  <conditionalFormatting sqref="J35:P40">
    <cfRule type="notContainsBlanks" dxfId="122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D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D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wsData"/>
  <dimension ref="B1:F702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9.140625" defaultRowHeight="18" customHeight="1" x14ac:dyDescent="0.25"/>
  <cols>
    <col min="1" max="1" width="1.7109375" style="12" customWidth="1"/>
    <col min="2" max="2" width="23" style="12" customWidth="1"/>
    <col min="3" max="3" width="21.7109375" style="12" customWidth="1"/>
    <col min="4" max="4" width="16.28515625" style="40" customWidth="1"/>
    <col min="5" max="5" width="23.85546875" style="12" customWidth="1"/>
    <col min="6" max="6" width="1.7109375" style="12" customWidth="1"/>
    <col min="7" max="16384" width="9.140625" style="12"/>
  </cols>
  <sheetData>
    <row r="1" spans="2:6" ht="9" customHeight="1" x14ac:dyDescent="0.25">
      <c r="F1" s="12" t="s">
        <v>20</v>
      </c>
    </row>
    <row r="2" spans="2:6" s="32" customFormat="1" ht="35.25" x14ac:dyDescent="0.25">
      <c r="B2" s="30" t="s">
        <v>21</v>
      </c>
      <c r="C2" s="31"/>
      <c r="D2" s="41"/>
      <c r="E2" s="31"/>
    </row>
    <row r="3" spans="2:6" ht="18" customHeight="1" x14ac:dyDescent="0.25">
      <c r="B3" s="13" t="s">
        <v>22</v>
      </c>
    </row>
    <row r="4" spans="2:6" ht="18" customHeight="1" x14ac:dyDescent="0.25">
      <c r="B4" s="13" t="s">
        <v>23</v>
      </c>
    </row>
    <row r="6" spans="2:6" ht="30.75" customHeight="1" x14ac:dyDescent="0.25">
      <c r="B6" s="43" t="s">
        <v>24</v>
      </c>
      <c r="C6" s="45" t="s">
        <v>25</v>
      </c>
      <c r="D6" s="33" t="s">
        <v>26</v>
      </c>
      <c r="E6" s="34" t="s">
        <v>27</v>
      </c>
    </row>
    <row r="7" spans="2:6" ht="18" customHeight="1" x14ac:dyDescent="0.25">
      <c r="B7" s="44">
        <v>42740.824305555558</v>
      </c>
      <c r="C7" s="44">
        <f>Tableau_Données_Lune[[#This Row],[Jour et heure (UTC)*]]-7/24</f>
        <v>42740.532638888893</v>
      </c>
      <c r="D7" s="46">
        <f>INT(Tableau_Données_Lune[[#This Row],[Heure ajustée1]])</f>
        <v>42740</v>
      </c>
      <c r="E7" s="42" t="s">
        <v>28</v>
      </c>
    </row>
    <row r="8" spans="2:6" ht="18" customHeight="1" x14ac:dyDescent="0.25">
      <c r="B8" s="44">
        <v>42747.481944444444</v>
      </c>
      <c r="C8" s="44">
        <f>Tableau_Données_Lune[[#This Row],[Jour et heure (UTC)*]]-7/24</f>
        <v>42747.19027777778</v>
      </c>
      <c r="D8" s="46">
        <f>INT(Tableau_Données_Lune[[#This Row],[Heure ajustée1]])</f>
        <v>42747</v>
      </c>
      <c r="E8" s="42" t="s">
        <v>29</v>
      </c>
    </row>
    <row r="9" spans="2:6" ht="18" customHeight="1" x14ac:dyDescent="0.25">
      <c r="B9" s="44">
        <v>42754.925694444442</v>
      </c>
      <c r="C9" s="44">
        <f>Tableau_Données_Lune[[#This Row],[Jour et heure (UTC)*]]-7/24</f>
        <v>42754.634027777778</v>
      </c>
      <c r="D9" s="46">
        <f>INT(Tableau_Données_Lune[[#This Row],[Heure ajustée1]])</f>
        <v>42754</v>
      </c>
      <c r="E9" s="42" t="s">
        <v>30</v>
      </c>
    </row>
    <row r="10" spans="2:6" ht="18" customHeight="1" x14ac:dyDescent="0.25">
      <c r="B10" s="44">
        <v>42763.004861111112</v>
      </c>
      <c r="C10" s="44">
        <f>Tableau_Données_Lune[[#This Row],[Jour et heure (UTC)*]]-7/24</f>
        <v>42762.713194444448</v>
      </c>
      <c r="D10" s="46">
        <f>INT(Tableau_Données_Lune[[#This Row],[Heure ajustée1]])</f>
        <v>42762</v>
      </c>
      <c r="E10" s="42" t="s">
        <v>31</v>
      </c>
    </row>
    <row r="11" spans="2:6" ht="18" customHeight="1" x14ac:dyDescent="0.25">
      <c r="B11" s="44">
        <v>42770.179861111108</v>
      </c>
      <c r="C11" s="44">
        <f>Tableau_Données_Lune[[#This Row],[Jour et heure (UTC)*]]-7/24</f>
        <v>42769.888194444444</v>
      </c>
      <c r="D11" s="46">
        <f>INT(Tableau_Données_Lune[[#This Row],[Heure ajustée1]])</f>
        <v>42769</v>
      </c>
      <c r="E11" s="42" t="s">
        <v>28</v>
      </c>
    </row>
    <row r="12" spans="2:6" ht="18" customHeight="1" x14ac:dyDescent="0.25">
      <c r="B12" s="44">
        <v>42777.022916666669</v>
      </c>
      <c r="C12" s="44">
        <f>Tableau_Données_Lune[[#This Row],[Jour et heure (UTC)*]]-7/24</f>
        <v>42776.731250000004</v>
      </c>
      <c r="D12" s="46">
        <f>INT(Tableau_Données_Lune[[#This Row],[Heure ajustée1]])</f>
        <v>42776</v>
      </c>
      <c r="E12" s="42" t="s">
        <v>29</v>
      </c>
    </row>
    <row r="13" spans="2:6" ht="18" customHeight="1" x14ac:dyDescent="0.25">
      <c r="B13" s="44">
        <v>42784.814583333333</v>
      </c>
      <c r="C13" s="44">
        <f>Tableau_Données_Lune[[#This Row],[Jour et heure (UTC)*]]-7/24</f>
        <v>42784.522916666669</v>
      </c>
      <c r="D13" s="46">
        <f>INT(Tableau_Données_Lune[[#This Row],[Heure ajustée1]])</f>
        <v>42784</v>
      </c>
      <c r="E13" s="42" t="s">
        <v>30</v>
      </c>
    </row>
    <row r="14" spans="2:6" ht="18" customHeight="1" x14ac:dyDescent="0.25">
      <c r="B14" s="44">
        <v>42792.623611111114</v>
      </c>
      <c r="C14" s="44">
        <f>Tableau_Données_Lune[[#This Row],[Jour et heure (UTC)*]]-7/24</f>
        <v>42792.33194444445</v>
      </c>
      <c r="D14" s="46">
        <f>INT(Tableau_Données_Lune[[#This Row],[Heure ajustée1]])</f>
        <v>42792</v>
      </c>
      <c r="E14" s="42" t="s">
        <v>31</v>
      </c>
    </row>
    <row r="15" spans="2:6" ht="18" customHeight="1" x14ac:dyDescent="0.25">
      <c r="B15" s="44">
        <v>42799.480555555558</v>
      </c>
      <c r="C15" s="44">
        <f>Tableau_Données_Lune[[#This Row],[Jour et heure (UTC)*]]-7/24</f>
        <v>42799.188888888893</v>
      </c>
      <c r="D15" s="46">
        <f>INT(Tableau_Données_Lune[[#This Row],[Heure ajustée1]])</f>
        <v>42799</v>
      </c>
      <c r="E15" s="42" t="s">
        <v>28</v>
      </c>
    </row>
    <row r="16" spans="2:6" ht="18" customHeight="1" x14ac:dyDescent="0.25">
      <c r="B16" s="44">
        <v>42806.620833333334</v>
      </c>
      <c r="C16" s="44">
        <f>Tableau_Données_Lune[[#This Row],[Jour et heure (UTC)*]]-7/24</f>
        <v>42806.32916666667</v>
      </c>
      <c r="D16" s="46">
        <f>INT(Tableau_Données_Lune[[#This Row],[Heure ajustée1]])</f>
        <v>42806</v>
      </c>
      <c r="E16" s="42" t="s">
        <v>29</v>
      </c>
    </row>
    <row r="17" spans="2:5" ht="18" customHeight="1" x14ac:dyDescent="0.25">
      <c r="B17" s="44">
        <v>42814.665277777778</v>
      </c>
      <c r="C17" s="44">
        <f>Tableau_Données_Lune[[#This Row],[Jour et heure (UTC)*]]-7/24</f>
        <v>42814.373611111114</v>
      </c>
      <c r="D17" s="46">
        <f>INT(Tableau_Données_Lune[[#This Row],[Heure ajustée1]])</f>
        <v>42814</v>
      </c>
      <c r="E17" s="42" t="s">
        <v>30</v>
      </c>
    </row>
    <row r="18" spans="2:5" ht="18" customHeight="1" x14ac:dyDescent="0.25">
      <c r="B18" s="44">
        <v>42822.122916666667</v>
      </c>
      <c r="C18" s="44">
        <f>Tableau_Données_Lune[[#This Row],[Jour et heure (UTC)*]]-7/24</f>
        <v>42821.831250000003</v>
      </c>
      <c r="D18" s="46">
        <f>INT(Tableau_Données_Lune[[#This Row],[Heure ajustée1]])</f>
        <v>42821</v>
      </c>
      <c r="E18" s="42" t="s">
        <v>31</v>
      </c>
    </row>
    <row r="19" spans="2:5" ht="18" customHeight="1" x14ac:dyDescent="0.25">
      <c r="B19" s="44">
        <v>42828.777083333334</v>
      </c>
      <c r="C19" s="44">
        <f>Tableau_Données_Lune[[#This Row],[Jour et heure (UTC)*]]-7/24</f>
        <v>42828.48541666667</v>
      </c>
      <c r="D19" s="46">
        <f>INT(Tableau_Données_Lune[[#This Row],[Heure ajustée1]])</f>
        <v>42828</v>
      </c>
      <c r="E19" s="42" t="s">
        <v>28</v>
      </c>
    </row>
    <row r="20" spans="2:5" ht="18" customHeight="1" x14ac:dyDescent="0.25">
      <c r="B20" s="44">
        <v>42836.255555555559</v>
      </c>
      <c r="C20" s="44">
        <f>Tableau_Données_Lune[[#This Row],[Jour et heure (UTC)*]]-7/24</f>
        <v>42835.963888888895</v>
      </c>
      <c r="D20" s="46">
        <f>INT(Tableau_Données_Lune[[#This Row],[Heure ajustée1]])</f>
        <v>42835</v>
      </c>
      <c r="E20" s="42" t="s">
        <v>29</v>
      </c>
    </row>
    <row r="21" spans="2:5" ht="18" customHeight="1" x14ac:dyDescent="0.25">
      <c r="B21" s="44">
        <v>42844.414583333331</v>
      </c>
      <c r="C21" s="44">
        <f>Tableau_Données_Lune[[#This Row],[Jour et heure (UTC)*]]-7/24</f>
        <v>42844.122916666667</v>
      </c>
      <c r="D21" s="46">
        <f>INT(Tableau_Données_Lune[[#This Row],[Heure ajustée1]])</f>
        <v>42844</v>
      </c>
      <c r="E21" s="42" t="s">
        <v>30</v>
      </c>
    </row>
    <row r="22" spans="2:5" ht="18" customHeight="1" x14ac:dyDescent="0.25">
      <c r="B22" s="44">
        <v>42851.511111111111</v>
      </c>
      <c r="C22" s="44">
        <f>Tableau_Données_Lune[[#This Row],[Jour et heure (UTC)*]]-7/24</f>
        <v>42851.219444444447</v>
      </c>
      <c r="D22" s="46">
        <f>INT(Tableau_Données_Lune[[#This Row],[Heure ajustée1]])</f>
        <v>42851</v>
      </c>
      <c r="E22" s="42" t="s">
        <v>31</v>
      </c>
    </row>
    <row r="23" spans="2:5" ht="18" customHeight="1" x14ac:dyDescent="0.25">
      <c r="B23" s="44">
        <v>42858.115972222222</v>
      </c>
      <c r="C23" s="44">
        <f>Tableau_Données_Lune[[#This Row],[Jour et heure (UTC)*]]-7/24</f>
        <v>42857.824305555558</v>
      </c>
      <c r="D23" s="46">
        <f>INT(Tableau_Données_Lune[[#This Row],[Heure ajustée1]])</f>
        <v>42857</v>
      </c>
      <c r="E23" s="42" t="s">
        <v>28</v>
      </c>
    </row>
    <row r="24" spans="2:5" ht="18" customHeight="1" x14ac:dyDescent="0.25">
      <c r="B24" s="44">
        <v>42865.904166666667</v>
      </c>
      <c r="C24" s="44">
        <f>Tableau_Données_Lune[[#This Row],[Jour et heure (UTC)*]]-7/24</f>
        <v>42865.612500000003</v>
      </c>
      <c r="D24" s="46">
        <f>INT(Tableau_Données_Lune[[#This Row],[Heure ajustée1]])</f>
        <v>42865</v>
      </c>
      <c r="E24" s="42" t="s">
        <v>29</v>
      </c>
    </row>
    <row r="25" spans="2:5" ht="18" customHeight="1" x14ac:dyDescent="0.25">
      <c r="B25" s="44">
        <v>42874.022916666669</v>
      </c>
      <c r="C25" s="44">
        <f>Tableau_Données_Lune[[#This Row],[Jour et heure (UTC)*]]-7/24</f>
        <v>42873.731250000004</v>
      </c>
      <c r="D25" s="46">
        <f>INT(Tableau_Données_Lune[[#This Row],[Heure ajustée1]])</f>
        <v>42873</v>
      </c>
      <c r="E25" s="42" t="s">
        <v>30</v>
      </c>
    </row>
    <row r="26" spans="2:5" ht="18" customHeight="1" x14ac:dyDescent="0.25">
      <c r="B26" s="44">
        <v>42880.822222222225</v>
      </c>
      <c r="C26" s="44">
        <f>Tableau_Données_Lune[[#This Row],[Jour et heure (UTC)*]]-7/24</f>
        <v>42880.530555555561</v>
      </c>
      <c r="D26" s="46">
        <f>INT(Tableau_Données_Lune[[#This Row],[Heure ajustée1]])</f>
        <v>42880</v>
      </c>
      <c r="E26" s="42" t="s">
        <v>31</v>
      </c>
    </row>
    <row r="27" spans="2:5" ht="18" customHeight="1" x14ac:dyDescent="0.25">
      <c r="B27" s="44">
        <v>42887.529166666667</v>
      </c>
      <c r="C27" s="44">
        <f>Tableau_Données_Lune[[#This Row],[Jour et heure (UTC)*]]-7/24</f>
        <v>42887.237500000003</v>
      </c>
      <c r="D27" s="46">
        <f>INT(Tableau_Données_Lune[[#This Row],[Heure ajustée1]])</f>
        <v>42887</v>
      </c>
      <c r="E27" s="42" t="s">
        <v>28</v>
      </c>
    </row>
    <row r="28" spans="2:5" ht="18" customHeight="1" x14ac:dyDescent="0.25">
      <c r="B28" s="44">
        <v>42895.548611111109</v>
      </c>
      <c r="C28" s="44">
        <f>Tableau_Données_Lune[[#This Row],[Jour et heure (UTC)*]]-7/24</f>
        <v>42895.256944444445</v>
      </c>
      <c r="D28" s="46">
        <f>INT(Tableau_Données_Lune[[#This Row],[Heure ajustée1]])</f>
        <v>42895</v>
      </c>
      <c r="E28" s="42" t="s">
        <v>29</v>
      </c>
    </row>
    <row r="29" spans="2:5" ht="18" customHeight="1" x14ac:dyDescent="0.25">
      <c r="B29" s="44">
        <v>42903.481249999997</v>
      </c>
      <c r="C29" s="44">
        <f>Tableau_Données_Lune[[#This Row],[Jour et heure (UTC)*]]-7/24</f>
        <v>42903.189583333333</v>
      </c>
      <c r="D29" s="46">
        <f>INT(Tableau_Données_Lune[[#This Row],[Heure ajustée1]])</f>
        <v>42903</v>
      </c>
      <c r="E29" s="42" t="s">
        <v>30</v>
      </c>
    </row>
    <row r="30" spans="2:5" ht="18" customHeight="1" x14ac:dyDescent="0.25">
      <c r="B30" s="44">
        <v>42910.104861111111</v>
      </c>
      <c r="C30" s="44">
        <f>Tableau_Données_Lune[[#This Row],[Jour et heure (UTC)*]]-7/24</f>
        <v>42909.813194444447</v>
      </c>
      <c r="D30" s="46">
        <f>INT(Tableau_Données_Lune[[#This Row],[Heure ajustée1]])</f>
        <v>42909</v>
      </c>
      <c r="E30" s="42" t="s">
        <v>31</v>
      </c>
    </row>
    <row r="31" spans="2:5" ht="18" customHeight="1" x14ac:dyDescent="0.25">
      <c r="B31" s="44">
        <v>42917.035416666666</v>
      </c>
      <c r="C31" s="44">
        <f>Tableau_Données_Lune[[#This Row],[Jour et heure (UTC)*]]-7/24</f>
        <v>42916.743750000001</v>
      </c>
      <c r="D31" s="46">
        <f>INT(Tableau_Données_Lune[[#This Row],[Heure ajustée1]])</f>
        <v>42916</v>
      </c>
      <c r="E31" s="42" t="s">
        <v>28</v>
      </c>
    </row>
    <row r="32" spans="2:5" ht="18" customHeight="1" x14ac:dyDescent="0.25">
      <c r="B32" s="44">
        <v>42925.171527777777</v>
      </c>
      <c r="C32" s="44">
        <f>Tableau_Données_Lune[[#This Row],[Jour et heure (UTC)*]]-7/24</f>
        <v>42924.879861111112</v>
      </c>
      <c r="D32" s="46">
        <f>INT(Tableau_Données_Lune[[#This Row],[Heure ajustée1]])</f>
        <v>42924</v>
      </c>
      <c r="E32" s="42" t="s">
        <v>29</v>
      </c>
    </row>
    <row r="33" spans="2:5" ht="18" customHeight="1" x14ac:dyDescent="0.25">
      <c r="B33" s="44">
        <v>42932.80972222222</v>
      </c>
      <c r="C33" s="44">
        <f>Tableau_Données_Lune[[#This Row],[Jour et heure (UTC)*]]-7/24</f>
        <v>42932.518055555556</v>
      </c>
      <c r="D33" s="46">
        <f>INT(Tableau_Données_Lune[[#This Row],[Heure ajustée1]])</f>
        <v>42932</v>
      </c>
      <c r="E33" s="42" t="s">
        <v>30</v>
      </c>
    </row>
    <row r="34" spans="2:5" ht="18" customHeight="1" x14ac:dyDescent="0.25">
      <c r="B34" s="44">
        <v>42939.406944444447</v>
      </c>
      <c r="C34" s="44">
        <f>Tableau_Données_Lune[[#This Row],[Jour et heure (UTC)*]]-7/24</f>
        <v>42939.115277777782</v>
      </c>
      <c r="D34" s="46">
        <f>INT(Tableau_Données_Lune[[#This Row],[Heure ajustée1]])</f>
        <v>42939</v>
      </c>
      <c r="E34" s="42" t="s">
        <v>31</v>
      </c>
    </row>
    <row r="35" spans="2:5" ht="18" customHeight="1" x14ac:dyDescent="0.25">
      <c r="B35" s="44">
        <v>42946.640972222223</v>
      </c>
      <c r="C35" s="44">
        <f>Tableau_Données_Lune[[#This Row],[Jour et heure (UTC)*]]-7/24</f>
        <v>42946.349305555559</v>
      </c>
      <c r="D35" s="46">
        <f>INT(Tableau_Données_Lune[[#This Row],[Heure ajustée1]])</f>
        <v>42946</v>
      </c>
      <c r="E35" s="42" t="s">
        <v>28</v>
      </c>
    </row>
    <row r="36" spans="2:5" ht="18" customHeight="1" x14ac:dyDescent="0.25">
      <c r="B36" s="44">
        <v>42954.757638888892</v>
      </c>
      <c r="C36" s="44">
        <f>Tableau_Données_Lune[[#This Row],[Jour et heure (UTC)*]]-7/24</f>
        <v>42954.465972222228</v>
      </c>
      <c r="D36" s="46">
        <f>INT(Tableau_Données_Lune[[#This Row],[Heure ajustée1]])</f>
        <v>42954</v>
      </c>
      <c r="E36" s="42" t="s">
        <v>29</v>
      </c>
    </row>
    <row r="37" spans="2:5" ht="18" customHeight="1" x14ac:dyDescent="0.25">
      <c r="B37" s="44">
        <v>42962.052083333336</v>
      </c>
      <c r="C37" s="44">
        <f>Tableau_Données_Lune[[#This Row],[Jour et heure (UTC)*]]-7/24</f>
        <v>42961.760416666672</v>
      </c>
      <c r="D37" s="46">
        <f>INT(Tableau_Données_Lune[[#This Row],[Heure ajustée1]])</f>
        <v>42961</v>
      </c>
      <c r="E37" s="42" t="s">
        <v>30</v>
      </c>
    </row>
    <row r="38" spans="2:5" ht="18" customHeight="1" x14ac:dyDescent="0.25">
      <c r="B38" s="44">
        <v>42968.770833333336</v>
      </c>
      <c r="C38" s="44">
        <f>Tableau_Données_Lune[[#This Row],[Jour et heure (UTC)*]]-7/24</f>
        <v>42968.479166666672</v>
      </c>
      <c r="D38" s="46">
        <f>INT(Tableau_Données_Lune[[#This Row],[Heure ajustée1]])</f>
        <v>42968</v>
      </c>
      <c r="E38" s="42" t="s">
        <v>31</v>
      </c>
    </row>
    <row r="39" spans="2:5" ht="18" customHeight="1" x14ac:dyDescent="0.25">
      <c r="B39" s="44">
        <v>42976.342361111114</v>
      </c>
      <c r="C39" s="44">
        <f>Tableau_Données_Lune[[#This Row],[Jour et heure (UTC)*]]-7/24</f>
        <v>42976.05069444445</v>
      </c>
      <c r="D39" s="46">
        <f>INT(Tableau_Données_Lune[[#This Row],[Heure ajustée1]])</f>
        <v>42976</v>
      </c>
      <c r="E39" s="42" t="s">
        <v>28</v>
      </c>
    </row>
    <row r="40" spans="2:5" ht="18" customHeight="1" x14ac:dyDescent="0.25">
      <c r="B40" s="44">
        <v>42984.293749999997</v>
      </c>
      <c r="C40" s="44">
        <f>Tableau_Données_Lune[[#This Row],[Jour et heure (UTC)*]]-7/24</f>
        <v>42984.002083333333</v>
      </c>
      <c r="D40" s="46">
        <f>INT(Tableau_Données_Lune[[#This Row],[Heure ajustée1]])</f>
        <v>42984</v>
      </c>
      <c r="E40" s="42" t="s">
        <v>29</v>
      </c>
    </row>
    <row r="41" spans="2:5" ht="18" customHeight="1" x14ac:dyDescent="0.25">
      <c r="B41" s="44">
        <v>42991.267361111109</v>
      </c>
      <c r="C41" s="44">
        <f>Tableau_Données_Lune[[#This Row],[Jour et heure (UTC)*]]-7/24</f>
        <v>42990.975694444445</v>
      </c>
      <c r="D41" s="46">
        <f>INT(Tableau_Données_Lune[[#This Row],[Heure ajustée1]])</f>
        <v>42990</v>
      </c>
      <c r="E41" s="42" t="s">
        <v>30</v>
      </c>
    </row>
    <row r="42" spans="2:5" ht="18" customHeight="1" x14ac:dyDescent="0.25">
      <c r="B42" s="44">
        <v>42998.229166666664</v>
      </c>
      <c r="C42" s="44">
        <f>Tableau_Données_Lune[[#This Row],[Jour et heure (UTC)*]]-7/24</f>
        <v>42997.9375</v>
      </c>
      <c r="D42" s="46">
        <f>INT(Tableau_Données_Lune[[#This Row],[Heure ajustée1]])</f>
        <v>42997</v>
      </c>
      <c r="E42" s="42" t="s">
        <v>31</v>
      </c>
    </row>
    <row r="43" spans="2:5" ht="18" customHeight="1" x14ac:dyDescent="0.25">
      <c r="B43" s="44">
        <v>43006.120138888888</v>
      </c>
      <c r="C43" s="44">
        <f>Tableau_Données_Lune[[#This Row],[Jour et heure (UTC)*]]-7/24</f>
        <v>43005.828472222223</v>
      </c>
      <c r="D43" s="46">
        <f>INT(Tableau_Données_Lune[[#This Row],[Heure ajustée1]])</f>
        <v>43005</v>
      </c>
      <c r="E43" s="42" t="s">
        <v>28</v>
      </c>
    </row>
    <row r="44" spans="2:5" ht="18" customHeight="1" x14ac:dyDescent="0.25">
      <c r="B44" s="44">
        <v>43013.777777777781</v>
      </c>
      <c r="C44" s="44">
        <f>Tableau_Données_Lune[[#This Row],[Jour et heure (UTC)*]]-7/24</f>
        <v>43013.486111111117</v>
      </c>
      <c r="D44" s="46">
        <f>INT(Tableau_Données_Lune[[#This Row],[Heure ajustée1]])</f>
        <v>43013</v>
      </c>
      <c r="E44" s="42" t="s">
        <v>29</v>
      </c>
    </row>
    <row r="45" spans="2:5" ht="18" customHeight="1" x14ac:dyDescent="0.25">
      <c r="B45" s="44">
        <v>43020.517361111109</v>
      </c>
      <c r="C45" s="44">
        <f>Tableau_Données_Lune[[#This Row],[Jour et heure (UTC)*]]-7/24</f>
        <v>43020.225694444445</v>
      </c>
      <c r="D45" s="46">
        <f>INT(Tableau_Données_Lune[[#This Row],[Heure ajustée1]])</f>
        <v>43020</v>
      </c>
      <c r="E45" s="42" t="s">
        <v>30</v>
      </c>
    </row>
    <row r="46" spans="2:5" ht="18" customHeight="1" x14ac:dyDescent="0.25">
      <c r="B46" s="44">
        <v>43027.8</v>
      </c>
      <c r="C46" s="44">
        <f>Tableau_Données_Lune[[#This Row],[Jour et heure (UTC)*]]-7/24</f>
        <v>43027.508333333339</v>
      </c>
      <c r="D46" s="46">
        <f>INT(Tableau_Données_Lune[[#This Row],[Heure ajustée1]])</f>
        <v>43027</v>
      </c>
      <c r="E46" s="42" t="s">
        <v>31</v>
      </c>
    </row>
    <row r="47" spans="2:5" ht="18" customHeight="1" x14ac:dyDescent="0.25">
      <c r="B47" s="44">
        <v>43035.931944444441</v>
      </c>
      <c r="C47" s="44">
        <f>Tableau_Données_Lune[[#This Row],[Jour et heure (UTC)*]]-7/24</f>
        <v>43035.640277777777</v>
      </c>
      <c r="D47" s="46">
        <f>INT(Tableau_Données_Lune[[#This Row],[Heure ajustée1]])</f>
        <v>43035</v>
      </c>
      <c r="E47" s="42" t="s">
        <v>28</v>
      </c>
    </row>
    <row r="48" spans="2:5" ht="18" customHeight="1" x14ac:dyDescent="0.25">
      <c r="B48" s="44">
        <v>43043.224305555559</v>
      </c>
      <c r="C48" s="44">
        <f>Tableau_Données_Lune[[#This Row],[Jour et heure (UTC)*]]-7/24</f>
        <v>43042.932638888895</v>
      </c>
      <c r="D48" s="46">
        <f>INT(Tableau_Données_Lune[[#This Row],[Heure ajustée1]])</f>
        <v>43042</v>
      </c>
      <c r="E48" s="42" t="s">
        <v>29</v>
      </c>
    </row>
    <row r="49" spans="2:5" ht="18" customHeight="1" x14ac:dyDescent="0.25">
      <c r="B49" s="44">
        <v>43049.85833333333</v>
      </c>
      <c r="C49" s="44">
        <f>Tableau_Données_Lune[[#This Row],[Jour et heure (UTC)*]]-7/24</f>
        <v>43049.566666666666</v>
      </c>
      <c r="D49" s="46">
        <f>INT(Tableau_Données_Lune[[#This Row],[Heure ajustée1]])</f>
        <v>43049</v>
      </c>
      <c r="E49" s="42" t="s">
        <v>30</v>
      </c>
    </row>
    <row r="50" spans="2:5" ht="18" customHeight="1" x14ac:dyDescent="0.25">
      <c r="B50" s="44">
        <v>43057.487500000003</v>
      </c>
      <c r="C50" s="44">
        <f>Tableau_Données_Lune[[#This Row],[Jour et heure (UTC)*]]-7/24</f>
        <v>43057.195833333339</v>
      </c>
      <c r="D50" s="46">
        <f>INT(Tableau_Données_Lune[[#This Row],[Heure ajustée1]])</f>
        <v>43057</v>
      </c>
      <c r="E50" s="42" t="s">
        <v>31</v>
      </c>
    </row>
    <row r="51" spans="2:5" ht="18" customHeight="1" x14ac:dyDescent="0.25">
      <c r="B51" s="44">
        <v>43065.710416666669</v>
      </c>
      <c r="C51" s="44">
        <f>Tableau_Données_Lune[[#This Row],[Jour et heure (UTC)*]]-7/24</f>
        <v>43065.418750000004</v>
      </c>
      <c r="D51" s="46">
        <f>INT(Tableau_Données_Lune[[#This Row],[Heure ajustée1]])</f>
        <v>43065</v>
      </c>
      <c r="E51" s="42" t="s">
        <v>28</v>
      </c>
    </row>
    <row r="52" spans="2:5" ht="18" customHeight="1" x14ac:dyDescent="0.25">
      <c r="B52" s="44">
        <v>43072.657638888886</v>
      </c>
      <c r="C52" s="44">
        <f>Tableau_Données_Lune[[#This Row],[Jour et heure (UTC)*]]-7/24</f>
        <v>43072.365972222222</v>
      </c>
      <c r="D52" s="46">
        <f>INT(Tableau_Données_Lune[[#This Row],[Heure ajustée1]])</f>
        <v>43072</v>
      </c>
      <c r="E52" s="42" t="s">
        <v>29</v>
      </c>
    </row>
    <row r="53" spans="2:5" ht="18" customHeight="1" x14ac:dyDescent="0.25">
      <c r="B53" s="44">
        <v>43079.32708333333</v>
      </c>
      <c r="C53" s="44">
        <f>Tableau_Données_Lune[[#This Row],[Jour et heure (UTC)*]]-7/24</f>
        <v>43079.035416666666</v>
      </c>
      <c r="D53" s="46">
        <f>INT(Tableau_Données_Lune[[#This Row],[Heure ajustée1]])</f>
        <v>43079</v>
      </c>
      <c r="E53" s="42" t="s">
        <v>30</v>
      </c>
    </row>
    <row r="54" spans="2:5" ht="18" customHeight="1" x14ac:dyDescent="0.25">
      <c r="B54" s="44">
        <v>43087.270833333336</v>
      </c>
      <c r="C54" s="44">
        <f>Tableau_Données_Lune[[#This Row],[Jour et heure (UTC)*]]-7/24</f>
        <v>43086.979166666672</v>
      </c>
      <c r="D54" s="46">
        <f>INT(Tableau_Données_Lune[[#This Row],[Heure ajustée1]])</f>
        <v>43086</v>
      </c>
      <c r="E54" s="42" t="s">
        <v>31</v>
      </c>
    </row>
    <row r="55" spans="2:5" ht="18" customHeight="1" x14ac:dyDescent="0.25">
      <c r="B55" s="44">
        <v>43095.388888888891</v>
      </c>
      <c r="C55" s="44">
        <f>Tableau_Données_Lune[[#This Row],[Jour et heure (UTC)*]]-7/24</f>
        <v>43095.097222222226</v>
      </c>
      <c r="D55" s="46">
        <f>INT(Tableau_Données_Lune[[#This Row],[Heure ajustée1]])</f>
        <v>43095</v>
      </c>
      <c r="E55" s="42" t="s">
        <v>28</v>
      </c>
    </row>
    <row r="56" spans="2:5" ht="18" customHeight="1" x14ac:dyDescent="0.25">
      <c r="B56" s="44">
        <v>43102.1</v>
      </c>
      <c r="C56" s="44">
        <f>Tableau_Données_Lune[[#This Row],[Jour et heure (UTC)*]]-7/24</f>
        <v>43101.808333333334</v>
      </c>
      <c r="D56" s="46">
        <f>INT(Tableau_Données_Lune[[#This Row],[Heure ajustée1]])</f>
        <v>43101</v>
      </c>
      <c r="E56" s="42" t="s">
        <v>29</v>
      </c>
    </row>
    <row r="57" spans="2:5" ht="18" customHeight="1" x14ac:dyDescent="0.25">
      <c r="B57" s="44">
        <v>43108.934027777781</v>
      </c>
      <c r="C57" s="44">
        <f>Tableau_Données_Lune[[#This Row],[Jour et heure (UTC)*]]-7/24</f>
        <v>43108.642361111117</v>
      </c>
      <c r="D57" s="46">
        <f>INT(Tableau_Données_Lune[[#This Row],[Heure ajustée1]])</f>
        <v>43108</v>
      </c>
      <c r="E57" s="42" t="s">
        <v>30</v>
      </c>
    </row>
    <row r="58" spans="2:5" ht="18" customHeight="1" x14ac:dyDescent="0.25">
      <c r="B58" s="44">
        <v>43117.095138888886</v>
      </c>
      <c r="C58" s="44">
        <f>Tableau_Données_Lune[[#This Row],[Jour et heure (UTC)*]]-7/24</f>
        <v>43116.803472222222</v>
      </c>
      <c r="D58" s="46">
        <f>INT(Tableau_Données_Lune[[#This Row],[Heure ajustée1]])</f>
        <v>43116</v>
      </c>
      <c r="E58" s="42" t="s">
        <v>31</v>
      </c>
    </row>
    <row r="59" spans="2:5" ht="18" customHeight="1" x14ac:dyDescent="0.25">
      <c r="B59" s="44">
        <v>43124.930555555555</v>
      </c>
      <c r="C59" s="44">
        <f>Tableau_Données_Lune[[#This Row],[Jour et heure (UTC)*]]-7/24</f>
        <v>43124.638888888891</v>
      </c>
      <c r="D59" s="46">
        <f>INT(Tableau_Données_Lune[[#This Row],[Heure ajustée1]])</f>
        <v>43124</v>
      </c>
      <c r="E59" s="42" t="s">
        <v>28</v>
      </c>
    </row>
    <row r="60" spans="2:5" ht="18" customHeight="1" x14ac:dyDescent="0.25">
      <c r="B60" s="44">
        <v>43131.560416666667</v>
      </c>
      <c r="C60" s="44">
        <f>Tableau_Données_Lune[[#This Row],[Jour et heure (UTC)*]]-7/24</f>
        <v>43131.268750000003</v>
      </c>
      <c r="D60" s="46">
        <f>INT(Tableau_Données_Lune[[#This Row],[Heure ajustée1]])</f>
        <v>43131</v>
      </c>
      <c r="E60" s="42" t="s">
        <v>29</v>
      </c>
    </row>
    <row r="61" spans="2:5" ht="18" customHeight="1" x14ac:dyDescent="0.25">
      <c r="B61" s="44">
        <v>43138.662499999999</v>
      </c>
      <c r="C61" s="44">
        <f>Tableau_Données_Lune[[#This Row],[Jour et heure (UTC)*]]-7/24</f>
        <v>43138.370833333334</v>
      </c>
      <c r="D61" s="46">
        <f>INT(Tableau_Données_Lune[[#This Row],[Heure ajustée1]])</f>
        <v>43138</v>
      </c>
      <c r="E61" s="42" t="s">
        <v>30</v>
      </c>
    </row>
    <row r="62" spans="2:5" ht="18" customHeight="1" x14ac:dyDescent="0.25">
      <c r="B62" s="44">
        <v>43146.878472222219</v>
      </c>
      <c r="C62" s="44">
        <f>Tableau_Données_Lune[[#This Row],[Jour et heure (UTC)*]]-7/24</f>
        <v>43146.586805555555</v>
      </c>
      <c r="D62" s="46">
        <f>INT(Tableau_Données_Lune[[#This Row],[Heure ajustée1]])</f>
        <v>43146</v>
      </c>
      <c r="E62" s="42" t="s">
        <v>31</v>
      </c>
    </row>
    <row r="63" spans="2:5" ht="18" customHeight="1" x14ac:dyDescent="0.25">
      <c r="B63" s="44">
        <v>43154.339583333334</v>
      </c>
      <c r="C63" s="44">
        <f>Tableau_Données_Lune[[#This Row],[Jour et heure (UTC)*]]-7/24</f>
        <v>43154.04791666667</v>
      </c>
      <c r="D63" s="46">
        <f>INT(Tableau_Données_Lune[[#This Row],[Heure ajustée1]])</f>
        <v>43154</v>
      </c>
      <c r="E63" s="42" t="s">
        <v>28</v>
      </c>
    </row>
    <row r="64" spans="2:5" ht="18" customHeight="1" x14ac:dyDescent="0.25">
      <c r="B64" s="44">
        <v>43161.035416666666</v>
      </c>
      <c r="C64" s="44">
        <f>Tableau_Données_Lune[[#This Row],[Jour et heure (UTC)*]]-7/24</f>
        <v>43160.743750000001</v>
      </c>
      <c r="D64" s="46">
        <f>INT(Tableau_Données_Lune[[#This Row],[Heure ajustée1]])</f>
        <v>43160</v>
      </c>
      <c r="E64" s="42" t="s">
        <v>29</v>
      </c>
    </row>
    <row r="65" spans="2:5" ht="18" customHeight="1" x14ac:dyDescent="0.25">
      <c r="B65" s="44">
        <v>43168.472222222219</v>
      </c>
      <c r="C65" s="44">
        <f>Tableau_Données_Lune[[#This Row],[Jour et heure (UTC)*]]-7/24</f>
        <v>43168.180555555555</v>
      </c>
      <c r="D65" s="46">
        <f>INT(Tableau_Données_Lune[[#This Row],[Heure ajustée1]])</f>
        <v>43168</v>
      </c>
      <c r="E65" s="42" t="s">
        <v>30</v>
      </c>
    </row>
    <row r="66" spans="2:5" ht="18" customHeight="1" x14ac:dyDescent="0.25">
      <c r="B66" s="44">
        <v>43176.55</v>
      </c>
      <c r="C66" s="44">
        <f>Tableau_Données_Lune[[#This Row],[Jour et heure (UTC)*]]-7/24</f>
        <v>43176.258333333339</v>
      </c>
      <c r="D66" s="46">
        <f>INT(Tableau_Données_Lune[[#This Row],[Heure ajustée1]])</f>
        <v>43176</v>
      </c>
      <c r="E66" s="42" t="s">
        <v>31</v>
      </c>
    </row>
    <row r="67" spans="2:5" ht="18" customHeight="1" x14ac:dyDescent="0.25">
      <c r="B67" s="44">
        <v>43183.649305555555</v>
      </c>
      <c r="C67" s="44">
        <f>Tableau_Données_Lune[[#This Row],[Jour et heure (UTC)*]]-7/24</f>
        <v>43183.357638888891</v>
      </c>
      <c r="D67" s="46">
        <f>INT(Tableau_Données_Lune[[#This Row],[Heure ajustée1]])</f>
        <v>43183</v>
      </c>
      <c r="E67" s="42" t="s">
        <v>28</v>
      </c>
    </row>
    <row r="68" spans="2:5" ht="18" customHeight="1" x14ac:dyDescent="0.25">
      <c r="B68" s="44">
        <v>43190.525694444441</v>
      </c>
      <c r="C68" s="44">
        <f>Tableau_Données_Lune[[#This Row],[Jour et heure (UTC)*]]-7/24</f>
        <v>43190.234027777777</v>
      </c>
      <c r="D68" s="46">
        <f>INT(Tableau_Données_Lune[[#This Row],[Heure ajustée1]])</f>
        <v>43190</v>
      </c>
      <c r="E68" s="42" t="s">
        <v>29</v>
      </c>
    </row>
    <row r="69" spans="2:5" ht="18" customHeight="1" x14ac:dyDescent="0.25">
      <c r="B69" s="44">
        <v>43198.303472222222</v>
      </c>
      <c r="C69" s="44">
        <f>Tableau_Données_Lune[[#This Row],[Jour et heure (UTC)*]]-7/24</f>
        <v>43198.011805555558</v>
      </c>
      <c r="D69" s="46">
        <f>INT(Tableau_Données_Lune[[#This Row],[Heure ajustée1]])</f>
        <v>43198</v>
      </c>
      <c r="E69" s="42" t="s">
        <v>30</v>
      </c>
    </row>
    <row r="70" spans="2:5" ht="18" customHeight="1" x14ac:dyDescent="0.25">
      <c r="B70" s="44">
        <v>43206.081250000003</v>
      </c>
      <c r="C70" s="44">
        <f>Tableau_Données_Lune[[#This Row],[Jour et heure (UTC)*]]-7/24</f>
        <v>43205.789583333339</v>
      </c>
      <c r="D70" s="46">
        <f>INT(Tableau_Données_Lune[[#This Row],[Heure ajustée1]])</f>
        <v>43205</v>
      </c>
      <c r="E70" s="42" t="s">
        <v>31</v>
      </c>
    </row>
    <row r="71" spans="2:5" ht="18" customHeight="1" x14ac:dyDescent="0.25">
      <c r="B71" s="44">
        <v>43212.906944444447</v>
      </c>
      <c r="C71" s="44">
        <f>Tableau_Données_Lune[[#This Row],[Jour et heure (UTC)*]]-7/24</f>
        <v>43212.615277777782</v>
      </c>
      <c r="D71" s="46">
        <f>INT(Tableau_Données_Lune[[#This Row],[Heure ajustée1]])</f>
        <v>43212</v>
      </c>
      <c r="E71" s="42" t="s">
        <v>28</v>
      </c>
    </row>
    <row r="72" spans="2:5" ht="18" customHeight="1" x14ac:dyDescent="0.25">
      <c r="B72" s="44">
        <v>43220.040277777778</v>
      </c>
      <c r="C72" s="44">
        <f>Tableau_Données_Lune[[#This Row],[Jour et heure (UTC)*]]-7/24</f>
        <v>43219.748611111114</v>
      </c>
      <c r="D72" s="46">
        <f>INT(Tableau_Données_Lune[[#This Row],[Heure ajustée1]])</f>
        <v>43219</v>
      </c>
      <c r="E72" s="42" t="s">
        <v>29</v>
      </c>
    </row>
    <row r="73" spans="2:5" ht="18" customHeight="1" x14ac:dyDescent="0.25">
      <c r="B73" s="44">
        <v>43228.089583333334</v>
      </c>
      <c r="C73" s="44">
        <f>Tableau_Données_Lune[[#This Row],[Jour et heure (UTC)*]]-7/24</f>
        <v>43227.79791666667</v>
      </c>
      <c r="D73" s="46">
        <f>INT(Tableau_Données_Lune[[#This Row],[Heure ajustée1]])</f>
        <v>43227</v>
      </c>
      <c r="E73" s="42" t="s">
        <v>30</v>
      </c>
    </row>
    <row r="74" spans="2:5" ht="18" customHeight="1" x14ac:dyDescent="0.25">
      <c r="B74" s="44">
        <v>43235.491666666669</v>
      </c>
      <c r="C74" s="44">
        <f>Tableau_Données_Lune[[#This Row],[Jour et heure (UTC)*]]-7/24</f>
        <v>43235.200000000004</v>
      </c>
      <c r="D74" s="46">
        <f>INT(Tableau_Données_Lune[[#This Row],[Heure ajustée1]])</f>
        <v>43235</v>
      </c>
      <c r="E74" s="42" t="s">
        <v>31</v>
      </c>
    </row>
    <row r="75" spans="2:5" ht="18" customHeight="1" x14ac:dyDescent="0.25">
      <c r="B75" s="44">
        <v>43242.15902777778</v>
      </c>
      <c r="C75" s="44">
        <f>Tableau_Données_Lune[[#This Row],[Jour et heure (UTC)*]]-7/24</f>
        <v>43241.867361111115</v>
      </c>
      <c r="D75" s="46">
        <f>INT(Tableau_Données_Lune[[#This Row],[Heure ajustée1]])</f>
        <v>43241</v>
      </c>
      <c r="E75" s="42" t="s">
        <v>28</v>
      </c>
    </row>
    <row r="76" spans="2:5" ht="18" customHeight="1" x14ac:dyDescent="0.25">
      <c r="B76" s="44">
        <v>43249.59652777778</v>
      </c>
      <c r="C76" s="44">
        <f>Tableau_Données_Lune[[#This Row],[Jour et heure (UTC)*]]-7/24</f>
        <v>43249.304861111115</v>
      </c>
      <c r="D76" s="46">
        <f>INT(Tableau_Données_Lune[[#This Row],[Heure ajustée1]])</f>
        <v>43249</v>
      </c>
      <c r="E76" s="42" t="s">
        <v>29</v>
      </c>
    </row>
    <row r="77" spans="2:5" ht="18" customHeight="1" x14ac:dyDescent="0.25">
      <c r="B77" s="44">
        <v>43257.772222222222</v>
      </c>
      <c r="C77" s="44">
        <f>Tableau_Données_Lune[[#This Row],[Jour et heure (UTC)*]]-7/24</f>
        <v>43257.480555555558</v>
      </c>
      <c r="D77" s="46">
        <f>INT(Tableau_Données_Lune[[#This Row],[Heure ajustée1]])</f>
        <v>43257</v>
      </c>
      <c r="E77" s="42" t="s">
        <v>30</v>
      </c>
    </row>
    <row r="78" spans="2:5" ht="18" customHeight="1" x14ac:dyDescent="0.25">
      <c r="B78" s="44">
        <v>43264.821527777778</v>
      </c>
      <c r="C78" s="44">
        <f>Tableau_Données_Lune[[#This Row],[Jour et heure (UTC)*]]-7/24</f>
        <v>43264.529861111114</v>
      </c>
      <c r="D78" s="46">
        <f>INT(Tableau_Données_Lune[[#This Row],[Heure ajustée1]])</f>
        <v>43264</v>
      </c>
      <c r="E78" s="42" t="s">
        <v>31</v>
      </c>
    </row>
    <row r="79" spans="2:5" ht="18" customHeight="1" x14ac:dyDescent="0.25">
      <c r="B79" s="44">
        <v>43271.45208333333</v>
      </c>
      <c r="C79" s="44">
        <f>Tableau_Données_Lune[[#This Row],[Jour et heure (UTC)*]]-7/24</f>
        <v>43271.160416666666</v>
      </c>
      <c r="D79" s="46">
        <f>INT(Tableau_Données_Lune[[#This Row],[Heure ajustée1]])</f>
        <v>43271</v>
      </c>
      <c r="E79" s="42" t="s">
        <v>28</v>
      </c>
    </row>
    <row r="80" spans="2:5" ht="18" customHeight="1" x14ac:dyDescent="0.25">
      <c r="B80" s="44">
        <v>43279.203472222223</v>
      </c>
      <c r="C80" s="44">
        <f>Tableau_Données_Lune[[#This Row],[Jour et heure (UTC)*]]-7/24</f>
        <v>43278.911805555559</v>
      </c>
      <c r="D80" s="46">
        <f>INT(Tableau_Données_Lune[[#This Row],[Heure ajustée1]])</f>
        <v>43278</v>
      </c>
      <c r="E80" s="42" t="s">
        <v>29</v>
      </c>
    </row>
    <row r="81" spans="2:5" ht="18" customHeight="1" x14ac:dyDescent="0.25">
      <c r="B81" s="44">
        <v>43287.32708333333</v>
      </c>
      <c r="C81" s="44">
        <f>Tableau_Données_Lune[[#This Row],[Jour et heure (UTC)*]]-7/24</f>
        <v>43287.035416666666</v>
      </c>
      <c r="D81" s="46">
        <f>INT(Tableau_Données_Lune[[#This Row],[Heure ajustée1]])</f>
        <v>43287</v>
      </c>
      <c r="E81" s="42" t="s">
        <v>30</v>
      </c>
    </row>
    <row r="82" spans="2:5" ht="18" customHeight="1" x14ac:dyDescent="0.25">
      <c r="B82" s="44">
        <v>43294.116666666669</v>
      </c>
      <c r="C82" s="44">
        <f>Tableau_Données_Lune[[#This Row],[Jour et heure (UTC)*]]-7/24</f>
        <v>43293.825000000004</v>
      </c>
      <c r="D82" s="46">
        <f>INT(Tableau_Données_Lune[[#This Row],[Heure ajustée1]])</f>
        <v>43293</v>
      </c>
      <c r="E82" s="42" t="s">
        <v>31</v>
      </c>
    </row>
    <row r="83" spans="2:5" ht="18" customHeight="1" x14ac:dyDescent="0.25">
      <c r="B83" s="44">
        <v>43300.827777777777</v>
      </c>
      <c r="C83" s="44">
        <f>Tableau_Données_Lune[[#This Row],[Jour et heure (UTC)*]]-7/24</f>
        <v>43300.536111111112</v>
      </c>
      <c r="D83" s="46">
        <f>INT(Tableau_Données_Lune[[#This Row],[Heure ajustée1]])</f>
        <v>43300</v>
      </c>
      <c r="E83" s="42" t="s">
        <v>28</v>
      </c>
    </row>
    <row r="84" spans="2:5" ht="18" customHeight="1" x14ac:dyDescent="0.25">
      <c r="B84" s="44">
        <v>43308.847222222219</v>
      </c>
      <c r="C84" s="44">
        <f>Tableau_Données_Lune[[#This Row],[Jour et heure (UTC)*]]-7/24</f>
        <v>43308.555555555555</v>
      </c>
      <c r="D84" s="46">
        <f>INT(Tableau_Données_Lune[[#This Row],[Heure ajustée1]])</f>
        <v>43308</v>
      </c>
      <c r="E84" s="42" t="s">
        <v>29</v>
      </c>
    </row>
    <row r="85" spans="2:5" ht="18" customHeight="1" x14ac:dyDescent="0.25">
      <c r="B85" s="44">
        <v>43316.762499999997</v>
      </c>
      <c r="C85" s="44">
        <f>Tableau_Données_Lune[[#This Row],[Jour et heure (UTC)*]]-7/24</f>
        <v>43316.470833333333</v>
      </c>
      <c r="D85" s="46">
        <f>INT(Tableau_Données_Lune[[#This Row],[Heure ajustée1]])</f>
        <v>43316</v>
      </c>
      <c r="E85" s="42" t="s">
        <v>30</v>
      </c>
    </row>
    <row r="86" spans="2:5" ht="18" customHeight="1" x14ac:dyDescent="0.25">
      <c r="B86" s="44">
        <v>43323.415277777778</v>
      </c>
      <c r="C86" s="44">
        <f>Tableau_Données_Lune[[#This Row],[Jour et heure (UTC)*]]-7/24</f>
        <v>43323.123611111114</v>
      </c>
      <c r="D86" s="46">
        <f>INT(Tableau_Données_Lune[[#This Row],[Heure ajustée1]])</f>
        <v>43323</v>
      </c>
      <c r="E86" s="42" t="s">
        <v>31</v>
      </c>
    </row>
    <row r="87" spans="2:5" ht="18" customHeight="1" x14ac:dyDescent="0.25">
      <c r="B87" s="44">
        <v>43330.324999999997</v>
      </c>
      <c r="C87" s="44">
        <f>Tableau_Données_Lune[[#This Row],[Jour et heure (UTC)*]]-7/24</f>
        <v>43330.033333333333</v>
      </c>
      <c r="D87" s="46">
        <f>INT(Tableau_Données_Lune[[#This Row],[Heure ajustée1]])</f>
        <v>43330</v>
      </c>
      <c r="E87" s="42" t="s">
        <v>28</v>
      </c>
    </row>
    <row r="88" spans="2:5" ht="18" customHeight="1" x14ac:dyDescent="0.25">
      <c r="B88" s="44">
        <v>43338.49722222222</v>
      </c>
      <c r="C88" s="44">
        <f>Tableau_Données_Lune[[#This Row],[Jour et heure (UTC)*]]-7/24</f>
        <v>43338.205555555556</v>
      </c>
      <c r="D88" s="46">
        <f>INT(Tableau_Données_Lune[[#This Row],[Heure ajustée1]])</f>
        <v>43338</v>
      </c>
      <c r="E88" s="42" t="s">
        <v>29</v>
      </c>
    </row>
    <row r="89" spans="2:5" ht="18" customHeight="1" x14ac:dyDescent="0.25">
      <c r="B89" s="44">
        <v>43346.109027777777</v>
      </c>
      <c r="C89" s="44">
        <f>Tableau_Données_Lune[[#This Row],[Jour et heure (UTC)*]]-7/24</f>
        <v>43345.817361111112</v>
      </c>
      <c r="D89" s="46">
        <f>INT(Tableau_Données_Lune[[#This Row],[Heure ajustée1]])</f>
        <v>43345</v>
      </c>
      <c r="E89" s="42" t="s">
        <v>30</v>
      </c>
    </row>
    <row r="90" spans="2:5" ht="18" customHeight="1" x14ac:dyDescent="0.25">
      <c r="B90" s="44">
        <v>43352.750694444447</v>
      </c>
      <c r="C90" s="44">
        <f>Tableau_Données_Lune[[#This Row],[Jour et heure (UTC)*]]-7/24</f>
        <v>43352.459027777782</v>
      </c>
      <c r="D90" s="46">
        <f>INT(Tableau_Données_Lune[[#This Row],[Heure ajustée1]])</f>
        <v>43352</v>
      </c>
      <c r="E90" s="42" t="s">
        <v>31</v>
      </c>
    </row>
    <row r="91" spans="2:5" ht="18" customHeight="1" x14ac:dyDescent="0.25">
      <c r="B91" s="44">
        <v>43359.96875</v>
      </c>
      <c r="C91" s="44">
        <f>Tableau_Données_Lune[[#This Row],[Jour et heure (UTC)*]]-7/24</f>
        <v>43359.677083333336</v>
      </c>
      <c r="D91" s="46">
        <f>INT(Tableau_Données_Lune[[#This Row],[Heure ajustée1]])</f>
        <v>43359</v>
      </c>
      <c r="E91" s="42" t="s">
        <v>28</v>
      </c>
    </row>
    <row r="92" spans="2:5" ht="18" customHeight="1" x14ac:dyDescent="0.25">
      <c r="B92" s="44">
        <v>43368.119444444441</v>
      </c>
      <c r="C92" s="44">
        <f>Tableau_Données_Lune[[#This Row],[Jour et heure (UTC)*]]-7/24</f>
        <v>43367.827777777777</v>
      </c>
      <c r="D92" s="46">
        <f>INT(Tableau_Données_Lune[[#This Row],[Heure ajustée1]])</f>
        <v>43367</v>
      </c>
      <c r="E92" s="42" t="s">
        <v>29</v>
      </c>
    </row>
    <row r="93" spans="2:5" ht="18" customHeight="1" x14ac:dyDescent="0.25">
      <c r="B93" s="44">
        <v>43375.40625</v>
      </c>
      <c r="C93" s="44">
        <f>Tableau_Données_Lune[[#This Row],[Jour et heure (UTC)*]]-7/24</f>
        <v>43375.114583333336</v>
      </c>
      <c r="D93" s="46">
        <f>INT(Tableau_Données_Lune[[#This Row],[Heure ajustée1]])</f>
        <v>43375</v>
      </c>
      <c r="E93" s="42" t="s">
        <v>30</v>
      </c>
    </row>
    <row r="94" spans="2:5" ht="18" customHeight="1" x14ac:dyDescent="0.25">
      <c r="B94" s="44">
        <v>43382.157638888886</v>
      </c>
      <c r="C94" s="44">
        <f>Tableau_Données_Lune[[#This Row],[Jour et heure (UTC)*]]-7/24</f>
        <v>43381.865972222222</v>
      </c>
      <c r="D94" s="46">
        <f>INT(Tableau_Données_Lune[[#This Row],[Heure ajustée1]])</f>
        <v>43381</v>
      </c>
      <c r="E94" s="42" t="s">
        <v>31</v>
      </c>
    </row>
    <row r="95" spans="2:5" ht="18" customHeight="1" x14ac:dyDescent="0.25">
      <c r="B95" s="44">
        <v>43389.751388888886</v>
      </c>
      <c r="C95" s="44">
        <f>Tableau_Données_Lune[[#This Row],[Jour et heure (UTC)*]]-7/24</f>
        <v>43389.459722222222</v>
      </c>
      <c r="D95" s="46">
        <f>INT(Tableau_Données_Lune[[#This Row],[Heure ajustée1]])</f>
        <v>43389</v>
      </c>
      <c r="E95" s="42" t="s">
        <v>28</v>
      </c>
    </row>
    <row r="96" spans="2:5" ht="18" customHeight="1" x14ac:dyDescent="0.25">
      <c r="B96" s="44">
        <v>43397.697916666664</v>
      </c>
      <c r="C96" s="44">
        <f>Tableau_Données_Lune[[#This Row],[Jour et heure (UTC)*]]-7/24</f>
        <v>43397.40625</v>
      </c>
      <c r="D96" s="46">
        <f>INT(Tableau_Données_Lune[[#This Row],[Heure ajustée1]])</f>
        <v>43397</v>
      </c>
      <c r="E96" s="42" t="s">
        <v>29</v>
      </c>
    </row>
    <row r="97" spans="2:5" ht="18" customHeight="1" x14ac:dyDescent="0.25">
      <c r="B97" s="44">
        <v>43404.694444444445</v>
      </c>
      <c r="C97" s="44">
        <f>Tableau_Données_Lune[[#This Row],[Jour et heure (UTC)*]]-7/24</f>
        <v>43404.402777777781</v>
      </c>
      <c r="D97" s="46">
        <f>INT(Tableau_Données_Lune[[#This Row],[Heure ajustée1]])</f>
        <v>43404</v>
      </c>
      <c r="E97" s="42" t="s">
        <v>30</v>
      </c>
    </row>
    <row r="98" spans="2:5" ht="18" customHeight="1" x14ac:dyDescent="0.25">
      <c r="B98" s="44">
        <v>43411.668055555558</v>
      </c>
      <c r="C98" s="44">
        <f>Tableau_Données_Lune[[#This Row],[Jour et heure (UTC)*]]-7/24</f>
        <v>43411.376388888893</v>
      </c>
      <c r="D98" s="46">
        <f>INT(Tableau_Données_Lune[[#This Row],[Heure ajustée1]])</f>
        <v>43411</v>
      </c>
      <c r="E98" s="42" t="s">
        <v>31</v>
      </c>
    </row>
    <row r="99" spans="2:5" ht="18" customHeight="1" x14ac:dyDescent="0.25">
      <c r="B99" s="44">
        <v>43419.620833333334</v>
      </c>
      <c r="C99" s="44">
        <f>Tableau_Données_Lune[[#This Row],[Jour et heure (UTC)*]]-7/24</f>
        <v>43419.32916666667</v>
      </c>
      <c r="D99" s="46">
        <f>INT(Tableau_Données_Lune[[#This Row],[Heure ajustée1]])</f>
        <v>43419</v>
      </c>
      <c r="E99" s="42" t="s">
        <v>28</v>
      </c>
    </row>
    <row r="100" spans="2:5" ht="18" customHeight="1" x14ac:dyDescent="0.25">
      <c r="B100" s="44">
        <v>43427.23541666667</v>
      </c>
      <c r="C100" s="44">
        <f>Tableau_Données_Lune[[#This Row],[Jour et heure (UTC)*]]-7/24</f>
        <v>43426.943750000006</v>
      </c>
      <c r="D100" s="46">
        <f>INT(Tableau_Données_Lune[[#This Row],[Heure ajustée1]])</f>
        <v>43426</v>
      </c>
      <c r="E100" s="42" t="s">
        <v>29</v>
      </c>
    </row>
    <row r="101" spans="2:5" ht="18" customHeight="1" x14ac:dyDescent="0.25">
      <c r="B101" s="44">
        <v>43434.013194444444</v>
      </c>
      <c r="C101" s="44">
        <f>Tableau_Données_Lune[[#This Row],[Jour et heure (UTC)*]]-7/24</f>
        <v>43433.72152777778</v>
      </c>
      <c r="D101" s="46">
        <f>INT(Tableau_Données_Lune[[#This Row],[Heure ajustée1]])</f>
        <v>43433</v>
      </c>
      <c r="E101" s="42" t="s">
        <v>30</v>
      </c>
    </row>
    <row r="102" spans="2:5" ht="18" customHeight="1" x14ac:dyDescent="0.25">
      <c r="B102" s="44">
        <v>43441.305555555555</v>
      </c>
      <c r="C102" s="44">
        <f>Tableau_Données_Lune[[#This Row],[Jour et heure (UTC)*]]-7/24</f>
        <v>43441.013888888891</v>
      </c>
      <c r="D102" s="46">
        <f>INT(Tableau_Données_Lune[[#This Row],[Heure ajustée1]])</f>
        <v>43441</v>
      </c>
      <c r="E102" s="42" t="s">
        <v>31</v>
      </c>
    </row>
    <row r="103" spans="2:5" ht="18" customHeight="1" x14ac:dyDescent="0.25">
      <c r="B103" s="44">
        <v>43449.492361111108</v>
      </c>
      <c r="C103" s="44">
        <f>Tableau_Données_Lune[[#This Row],[Jour et heure (UTC)*]]-7/24</f>
        <v>43449.200694444444</v>
      </c>
      <c r="D103" s="46">
        <f>INT(Tableau_Données_Lune[[#This Row],[Heure ajustée1]])</f>
        <v>43449</v>
      </c>
      <c r="E103" s="42" t="s">
        <v>28</v>
      </c>
    </row>
    <row r="104" spans="2:5" ht="18" customHeight="1" x14ac:dyDescent="0.25">
      <c r="B104" s="44">
        <v>43456.742361111108</v>
      </c>
      <c r="C104" s="44">
        <f>Tableau_Données_Lune[[#This Row],[Jour et heure (UTC)*]]-7/24</f>
        <v>43456.450694444444</v>
      </c>
      <c r="D104" s="46">
        <f>INT(Tableau_Données_Lune[[#This Row],[Heure ajustée1]])</f>
        <v>43456</v>
      </c>
      <c r="E104" s="42" t="s">
        <v>29</v>
      </c>
    </row>
    <row r="105" spans="2:5" ht="18" customHeight="1" x14ac:dyDescent="0.25">
      <c r="B105" s="44">
        <v>43463.398611111108</v>
      </c>
      <c r="C105" s="44">
        <f>Tableau_Données_Lune[[#This Row],[Jour et heure (UTC)*]]-7/24</f>
        <v>43463.106944444444</v>
      </c>
      <c r="D105" s="46">
        <f>INT(Tableau_Données_Lune[[#This Row],[Heure ajustée1]])</f>
        <v>43463</v>
      </c>
      <c r="E105" s="42" t="s">
        <v>30</v>
      </c>
    </row>
    <row r="106" spans="2:5" ht="18" customHeight="1" x14ac:dyDescent="0.25">
      <c r="B106" s="44">
        <v>43471.061111111114</v>
      </c>
      <c r="C106" s="44">
        <f>Tableau_Données_Lune[[#This Row],[Jour et heure (UTC)*]]-7/24</f>
        <v>43470.76944444445</v>
      </c>
      <c r="D106" s="46">
        <f>INT(Tableau_Données_Lune[[#This Row],[Heure ajustée1]])</f>
        <v>43470</v>
      </c>
      <c r="E106" s="42" t="s">
        <v>31</v>
      </c>
    </row>
    <row r="107" spans="2:5" ht="18" customHeight="1" x14ac:dyDescent="0.25">
      <c r="B107" s="44">
        <v>43479.28125</v>
      </c>
      <c r="C107" s="44">
        <f>Tableau_Données_Lune[[#This Row],[Jour et heure (UTC)*]]-7/24</f>
        <v>43478.989583333336</v>
      </c>
      <c r="D107" s="46">
        <f>INT(Tableau_Données_Lune[[#This Row],[Heure ajustée1]])</f>
        <v>43478</v>
      </c>
      <c r="E107" s="42" t="s">
        <v>28</v>
      </c>
    </row>
    <row r="108" spans="2:5" ht="18" customHeight="1" x14ac:dyDescent="0.25">
      <c r="B108" s="44">
        <v>43486.219444444447</v>
      </c>
      <c r="C108" s="44">
        <f>Tableau_Données_Lune[[#This Row],[Jour et heure (UTC)*]]-7/24</f>
        <v>43485.927777777782</v>
      </c>
      <c r="D108" s="46">
        <f>INT(Tableau_Données_Lune[[#This Row],[Heure ajustée1]])</f>
        <v>43485</v>
      </c>
      <c r="E108" s="42" t="s">
        <v>29</v>
      </c>
    </row>
    <row r="109" spans="2:5" ht="18" customHeight="1" x14ac:dyDescent="0.25">
      <c r="B109" s="44">
        <v>43492.881944444445</v>
      </c>
      <c r="C109" s="44">
        <f>Tableau_Données_Lune[[#This Row],[Jour et heure (UTC)*]]-7/24</f>
        <v>43492.590277777781</v>
      </c>
      <c r="D109" s="46">
        <f>INT(Tableau_Données_Lune[[#This Row],[Heure ajustée1]])</f>
        <v>43492</v>
      </c>
      <c r="E109" s="42" t="s">
        <v>30</v>
      </c>
    </row>
    <row r="110" spans="2:5" ht="18" customHeight="1" x14ac:dyDescent="0.25">
      <c r="B110" s="44">
        <v>43500.87777777778</v>
      </c>
      <c r="C110" s="44">
        <f>Tableau_Données_Lune[[#This Row],[Jour et heure (UTC)*]]-7/24</f>
        <v>43500.586111111115</v>
      </c>
      <c r="D110" s="46">
        <f>INT(Tableau_Données_Lune[[#This Row],[Heure ajustée1]])</f>
        <v>43500</v>
      </c>
      <c r="E110" s="42" t="s">
        <v>31</v>
      </c>
    </row>
    <row r="111" spans="2:5" ht="18" customHeight="1" x14ac:dyDescent="0.25">
      <c r="B111" s="44">
        <v>43508.93472222222</v>
      </c>
      <c r="C111" s="44">
        <f>Tableau_Données_Lune[[#This Row],[Jour et heure (UTC)*]]-7/24</f>
        <v>43508.643055555556</v>
      </c>
      <c r="D111" s="46">
        <f>INT(Tableau_Données_Lune[[#This Row],[Heure ajustée1]])</f>
        <v>43508</v>
      </c>
      <c r="E111" s="42" t="s">
        <v>28</v>
      </c>
    </row>
    <row r="112" spans="2:5" ht="18" customHeight="1" x14ac:dyDescent="0.25">
      <c r="B112" s="44">
        <v>43515.661805555559</v>
      </c>
      <c r="C112" s="44">
        <f>Tableau_Données_Lune[[#This Row],[Jour et heure (UTC)*]]-7/24</f>
        <v>43515.370138888895</v>
      </c>
      <c r="D112" s="46">
        <f>INT(Tableau_Données_Lune[[#This Row],[Heure ajustée1]])</f>
        <v>43515</v>
      </c>
      <c r="E112" s="42" t="s">
        <v>29</v>
      </c>
    </row>
    <row r="113" spans="2:5" ht="18" customHeight="1" x14ac:dyDescent="0.25">
      <c r="B113" s="44">
        <v>43522.477777777778</v>
      </c>
      <c r="C113" s="44">
        <f>Tableau_Données_Lune[[#This Row],[Jour et heure (UTC)*]]-7/24</f>
        <v>43522.186111111114</v>
      </c>
      <c r="D113" s="46">
        <f>INT(Tableau_Données_Lune[[#This Row],[Heure ajustée1]])</f>
        <v>43522</v>
      </c>
      <c r="E113" s="42" t="s">
        <v>30</v>
      </c>
    </row>
    <row r="114" spans="2:5" ht="18" customHeight="1" x14ac:dyDescent="0.25">
      <c r="B114" s="44">
        <v>43530.669444444444</v>
      </c>
      <c r="C114" s="44">
        <f>Tableau_Données_Lune[[#This Row],[Jour et heure (UTC)*]]-7/24</f>
        <v>43530.37777777778</v>
      </c>
      <c r="D114" s="46">
        <f>INT(Tableau_Données_Lune[[#This Row],[Heure ajustée1]])</f>
        <v>43530</v>
      </c>
      <c r="E114" s="42" t="s">
        <v>31</v>
      </c>
    </row>
    <row r="115" spans="2:5" ht="18" customHeight="1" x14ac:dyDescent="0.25">
      <c r="B115" s="44">
        <v>43538.435416666667</v>
      </c>
      <c r="C115" s="44">
        <f>Tableau_Données_Lune[[#This Row],[Jour et heure (UTC)*]]-7/24</f>
        <v>43538.143750000003</v>
      </c>
      <c r="D115" s="46">
        <f>INT(Tableau_Données_Lune[[#This Row],[Heure ajustée1]])</f>
        <v>43538</v>
      </c>
      <c r="E115" s="42" t="s">
        <v>28</v>
      </c>
    </row>
    <row r="116" spans="2:5" ht="18" customHeight="1" x14ac:dyDescent="0.25">
      <c r="B116" s="44">
        <v>43545.071527777778</v>
      </c>
      <c r="C116" s="44">
        <f>Tableau_Données_Lune[[#This Row],[Jour et heure (UTC)*]]-7/24</f>
        <v>43544.779861111114</v>
      </c>
      <c r="D116" s="46">
        <f>INT(Tableau_Données_Lune[[#This Row],[Heure ajustée1]])</f>
        <v>43544</v>
      </c>
      <c r="E116" s="42" t="s">
        <v>29</v>
      </c>
    </row>
    <row r="117" spans="2:5" ht="18" customHeight="1" x14ac:dyDescent="0.25">
      <c r="B117" s="44">
        <v>43552.173611111109</v>
      </c>
      <c r="C117" s="44">
        <f>Tableau_Données_Lune[[#This Row],[Jour et heure (UTC)*]]-7/24</f>
        <v>43551.881944444445</v>
      </c>
      <c r="D117" s="46">
        <f>INT(Tableau_Données_Lune[[#This Row],[Heure ajustée1]])</f>
        <v>43551</v>
      </c>
      <c r="E117" s="42" t="s">
        <v>30</v>
      </c>
    </row>
    <row r="118" spans="2:5" ht="18" customHeight="1" x14ac:dyDescent="0.25">
      <c r="B118" s="44">
        <v>43560.368055555555</v>
      </c>
      <c r="C118" s="44">
        <f>Tableau_Données_Lune[[#This Row],[Jour et heure (UTC)*]]-7/24</f>
        <v>43560.076388888891</v>
      </c>
      <c r="D118" s="46">
        <f>INT(Tableau_Données_Lune[[#This Row],[Heure ajustée1]])</f>
        <v>43560</v>
      </c>
      <c r="E118" s="42" t="s">
        <v>31</v>
      </c>
    </row>
    <row r="119" spans="2:5" ht="18" customHeight="1" x14ac:dyDescent="0.25">
      <c r="B119" s="44">
        <v>43567.79583333333</v>
      </c>
      <c r="C119" s="44">
        <f>Tableau_Données_Lune[[#This Row],[Jour et heure (UTC)*]]-7/24</f>
        <v>43567.504166666666</v>
      </c>
      <c r="D119" s="46">
        <f>INT(Tableau_Données_Lune[[#This Row],[Heure ajustée1]])</f>
        <v>43567</v>
      </c>
      <c r="E119" s="42" t="s">
        <v>28</v>
      </c>
    </row>
    <row r="120" spans="2:5" ht="18" customHeight="1" x14ac:dyDescent="0.25">
      <c r="B120" s="44">
        <v>43574.466666666667</v>
      </c>
      <c r="C120" s="44">
        <f>Tableau_Données_Lune[[#This Row],[Jour et heure (UTC)*]]-7/24</f>
        <v>43574.175000000003</v>
      </c>
      <c r="D120" s="46">
        <f>INT(Tableau_Données_Lune[[#This Row],[Heure ajustée1]])</f>
        <v>43574</v>
      </c>
      <c r="E120" s="42" t="s">
        <v>29</v>
      </c>
    </row>
    <row r="121" spans="2:5" ht="18" customHeight="1" x14ac:dyDescent="0.25">
      <c r="B121" s="44">
        <v>43581.929166666669</v>
      </c>
      <c r="C121" s="44">
        <f>Tableau_Données_Lune[[#This Row],[Jour et heure (UTC)*]]-7/24</f>
        <v>43581.637500000004</v>
      </c>
      <c r="D121" s="46">
        <f>INT(Tableau_Données_Lune[[#This Row],[Heure ajustée1]])</f>
        <v>43581</v>
      </c>
      <c r="E121" s="42" t="s">
        <v>30</v>
      </c>
    </row>
    <row r="122" spans="2:5" ht="18" customHeight="1" x14ac:dyDescent="0.25">
      <c r="B122" s="44">
        <v>43589.947916666664</v>
      </c>
      <c r="C122" s="44">
        <f>Tableau_Données_Lune[[#This Row],[Jour et heure (UTC)*]]-7/24</f>
        <v>43589.65625</v>
      </c>
      <c r="D122" s="46">
        <f>INT(Tableau_Données_Lune[[#This Row],[Heure ajustée1]])</f>
        <v>43589</v>
      </c>
      <c r="E122" s="42" t="s">
        <v>31</v>
      </c>
    </row>
    <row r="123" spans="2:5" ht="18" customHeight="1" x14ac:dyDescent="0.25">
      <c r="B123" s="44">
        <v>43597.05</v>
      </c>
      <c r="C123" s="44">
        <f>Tableau_Données_Lune[[#This Row],[Jour et heure (UTC)*]]-7/24</f>
        <v>43596.758333333339</v>
      </c>
      <c r="D123" s="46">
        <f>INT(Tableau_Données_Lune[[#This Row],[Heure ajustée1]])</f>
        <v>43596</v>
      </c>
      <c r="E123" s="42" t="s">
        <v>28</v>
      </c>
    </row>
    <row r="124" spans="2:5" ht="18" customHeight="1" x14ac:dyDescent="0.25">
      <c r="B124" s="44">
        <v>43603.882638888892</v>
      </c>
      <c r="C124" s="44">
        <f>Tableau_Données_Lune[[#This Row],[Jour et heure (UTC)*]]-7/24</f>
        <v>43603.590972222228</v>
      </c>
      <c r="D124" s="46">
        <f>INT(Tableau_Données_Lune[[#This Row],[Heure ajustée1]])</f>
        <v>43603</v>
      </c>
      <c r="E124" s="42" t="s">
        <v>29</v>
      </c>
    </row>
    <row r="125" spans="2:5" ht="18" customHeight="1" x14ac:dyDescent="0.25">
      <c r="B125" s="44">
        <v>43611.69027777778</v>
      </c>
      <c r="C125" s="44">
        <f>Tableau_Données_Lune[[#This Row],[Jour et heure (UTC)*]]-7/24</f>
        <v>43611.398611111115</v>
      </c>
      <c r="D125" s="46">
        <f>INT(Tableau_Données_Lune[[#This Row],[Heure ajustée1]])</f>
        <v>43611</v>
      </c>
      <c r="E125" s="42" t="s">
        <v>30</v>
      </c>
    </row>
    <row r="126" spans="2:5" ht="18" customHeight="1" x14ac:dyDescent="0.25">
      <c r="B126" s="44">
        <v>43619.418055555558</v>
      </c>
      <c r="C126" s="44">
        <f>Tableau_Données_Lune[[#This Row],[Jour et heure (UTC)*]]-7/24</f>
        <v>43619.126388888893</v>
      </c>
      <c r="D126" s="46">
        <f>INT(Tableau_Données_Lune[[#This Row],[Heure ajustée1]])</f>
        <v>43619</v>
      </c>
      <c r="E126" s="42" t="s">
        <v>31</v>
      </c>
    </row>
    <row r="127" spans="2:5" ht="18" customHeight="1" x14ac:dyDescent="0.25">
      <c r="B127" s="44">
        <v>43626.249305555553</v>
      </c>
      <c r="C127" s="44">
        <f>Tableau_Données_Lune[[#This Row],[Jour et heure (UTC)*]]-7/24</f>
        <v>43625.957638888889</v>
      </c>
      <c r="D127" s="46">
        <f>INT(Tableau_Données_Lune[[#This Row],[Heure ajustée1]])</f>
        <v>43625</v>
      </c>
      <c r="E127" s="42" t="s">
        <v>28</v>
      </c>
    </row>
    <row r="128" spans="2:5" ht="18" customHeight="1" x14ac:dyDescent="0.25">
      <c r="B128" s="44">
        <v>43633.354861111111</v>
      </c>
      <c r="C128" s="44">
        <f>Tableau_Données_Lune[[#This Row],[Jour et heure (UTC)*]]-7/24</f>
        <v>43633.063194444447</v>
      </c>
      <c r="D128" s="46">
        <f>INT(Tableau_Données_Lune[[#This Row],[Heure ajustée1]])</f>
        <v>43633</v>
      </c>
      <c r="E128" s="42" t="s">
        <v>29</v>
      </c>
    </row>
    <row r="129" spans="2:5" ht="18" customHeight="1" x14ac:dyDescent="0.25">
      <c r="B129" s="44">
        <v>43641.406944444447</v>
      </c>
      <c r="C129" s="44">
        <f>Tableau_Données_Lune[[#This Row],[Jour et heure (UTC)*]]-7/24</f>
        <v>43641.115277777782</v>
      </c>
      <c r="D129" s="46">
        <f>INT(Tableau_Données_Lune[[#This Row],[Heure ajustée1]])</f>
        <v>43641</v>
      </c>
      <c r="E129" s="42" t="s">
        <v>30</v>
      </c>
    </row>
    <row r="130" spans="2:5" ht="18" customHeight="1" x14ac:dyDescent="0.25">
      <c r="B130" s="44">
        <v>43648.802777777775</v>
      </c>
      <c r="C130" s="44">
        <f>Tableau_Données_Lune[[#This Row],[Jour et heure (UTC)*]]-7/24</f>
        <v>43648.511111111111</v>
      </c>
      <c r="D130" s="46">
        <f>INT(Tableau_Données_Lune[[#This Row],[Heure ajustée1]])</f>
        <v>43648</v>
      </c>
      <c r="E130" s="42" t="s">
        <v>31</v>
      </c>
    </row>
    <row r="131" spans="2:5" ht="18" customHeight="1" x14ac:dyDescent="0.25">
      <c r="B131" s="44">
        <v>43655.454861111109</v>
      </c>
      <c r="C131" s="44">
        <f>Tableau_Données_Lune[[#This Row],[Jour et heure (UTC)*]]-7/24</f>
        <v>43655.163194444445</v>
      </c>
      <c r="D131" s="46">
        <f>INT(Tableau_Données_Lune[[#This Row],[Heure ajustée1]])</f>
        <v>43655</v>
      </c>
      <c r="E131" s="42" t="s">
        <v>28</v>
      </c>
    </row>
    <row r="132" spans="2:5" ht="18" customHeight="1" x14ac:dyDescent="0.25">
      <c r="B132" s="44">
        <v>43662.901388888888</v>
      </c>
      <c r="C132" s="44">
        <f>Tableau_Données_Lune[[#This Row],[Jour et heure (UTC)*]]-7/24</f>
        <v>43662.609722222223</v>
      </c>
      <c r="D132" s="46">
        <f>INT(Tableau_Données_Lune[[#This Row],[Heure ajustée1]])</f>
        <v>43662</v>
      </c>
      <c r="E132" s="42" t="s">
        <v>29</v>
      </c>
    </row>
    <row r="133" spans="2:5" ht="18" customHeight="1" x14ac:dyDescent="0.25">
      <c r="B133" s="44">
        <v>43671.054166666669</v>
      </c>
      <c r="C133" s="44">
        <f>Tableau_Données_Lune[[#This Row],[Jour et heure (UTC)*]]-7/24</f>
        <v>43670.762500000004</v>
      </c>
      <c r="D133" s="46">
        <f>INT(Tableau_Données_Lune[[#This Row],[Heure ajustée1]])</f>
        <v>43670</v>
      </c>
      <c r="E133" s="42" t="s">
        <v>30</v>
      </c>
    </row>
    <row r="134" spans="2:5" ht="18" customHeight="1" x14ac:dyDescent="0.25">
      <c r="B134" s="44">
        <v>43678.133333333331</v>
      </c>
      <c r="C134" s="44">
        <f>Tableau_Données_Lune[[#This Row],[Jour et heure (UTC)*]]-7/24</f>
        <v>43677.841666666667</v>
      </c>
      <c r="D134" s="46">
        <f>INT(Tableau_Données_Lune[[#This Row],[Heure ajustée1]])</f>
        <v>43677</v>
      </c>
      <c r="E134" s="42" t="s">
        <v>31</v>
      </c>
    </row>
    <row r="135" spans="2:5" ht="18" customHeight="1" x14ac:dyDescent="0.25">
      <c r="B135" s="44">
        <v>43684.729861111111</v>
      </c>
      <c r="C135" s="44">
        <f>Tableau_Données_Lune[[#This Row],[Jour et heure (UTC)*]]-7/24</f>
        <v>43684.438194444447</v>
      </c>
      <c r="D135" s="46">
        <f>INT(Tableau_Données_Lune[[#This Row],[Heure ajustée1]])</f>
        <v>43684</v>
      </c>
      <c r="E135" s="42" t="s">
        <v>28</v>
      </c>
    </row>
    <row r="136" spans="2:5" ht="18" customHeight="1" x14ac:dyDescent="0.25">
      <c r="B136" s="44">
        <v>43692.520138888889</v>
      </c>
      <c r="C136" s="44">
        <f>Tableau_Données_Lune[[#This Row],[Jour et heure (UTC)*]]-7/24</f>
        <v>43692.228472222225</v>
      </c>
      <c r="D136" s="46">
        <f>INT(Tableau_Données_Lune[[#This Row],[Heure ajustée1]])</f>
        <v>43692</v>
      </c>
      <c r="E136" s="42" t="s">
        <v>29</v>
      </c>
    </row>
    <row r="137" spans="2:5" ht="18" customHeight="1" x14ac:dyDescent="0.25">
      <c r="B137" s="44">
        <v>43700.62222222222</v>
      </c>
      <c r="C137" s="44">
        <f>Tableau_Données_Lune[[#This Row],[Jour et heure (UTC)*]]-7/24</f>
        <v>43700.330555555556</v>
      </c>
      <c r="D137" s="46">
        <f>INT(Tableau_Données_Lune[[#This Row],[Heure ajustée1]])</f>
        <v>43700</v>
      </c>
      <c r="E137" s="42" t="s">
        <v>30</v>
      </c>
    </row>
    <row r="138" spans="2:5" ht="18" customHeight="1" x14ac:dyDescent="0.25">
      <c r="B138" s="44">
        <v>43707.442361111112</v>
      </c>
      <c r="C138" s="44">
        <f>Tableau_Données_Lune[[#This Row],[Jour et heure (UTC)*]]-7/24</f>
        <v>43707.150694444448</v>
      </c>
      <c r="D138" s="46">
        <f>INT(Tableau_Données_Lune[[#This Row],[Heure ajustée1]])</f>
        <v>43707</v>
      </c>
      <c r="E138" s="42" t="s">
        <v>31</v>
      </c>
    </row>
    <row r="139" spans="2:5" ht="18" customHeight="1" x14ac:dyDescent="0.25">
      <c r="B139" s="44">
        <v>43714.131944444445</v>
      </c>
      <c r="C139" s="44">
        <f>Tableau_Données_Lune[[#This Row],[Jour et heure (UTC)*]]-7/24</f>
        <v>43713.840277777781</v>
      </c>
      <c r="D139" s="46">
        <f>INT(Tableau_Données_Lune[[#This Row],[Heure ajustée1]])</f>
        <v>43713</v>
      </c>
      <c r="E139" s="42" t="s">
        <v>28</v>
      </c>
    </row>
    <row r="140" spans="2:5" ht="18" customHeight="1" x14ac:dyDescent="0.25">
      <c r="B140" s="44">
        <v>43722.189583333333</v>
      </c>
      <c r="C140" s="44">
        <f>Tableau_Données_Lune[[#This Row],[Jour et heure (UTC)*]]-7/24</f>
        <v>43721.897916666669</v>
      </c>
      <c r="D140" s="46">
        <f>INT(Tableau_Données_Lune[[#This Row],[Heure ajustée1]])</f>
        <v>43721</v>
      </c>
      <c r="E140" s="42" t="s">
        <v>29</v>
      </c>
    </row>
    <row r="141" spans="2:5" ht="18" customHeight="1" x14ac:dyDescent="0.25">
      <c r="B141" s="44">
        <v>43730.111805555556</v>
      </c>
      <c r="C141" s="44">
        <f>Tableau_Données_Lune[[#This Row],[Jour et heure (UTC)*]]-7/24</f>
        <v>43729.820138888892</v>
      </c>
      <c r="D141" s="46">
        <f>INT(Tableau_Données_Lune[[#This Row],[Heure ajustée1]])</f>
        <v>43729</v>
      </c>
      <c r="E141" s="42" t="s">
        <v>30</v>
      </c>
    </row>
    <row r="142" spans="2:5" ht="18" customHeight="1" x14ac:dyDescent="0.25">
      <c r="B142" s="44">
        <v>43736.768055555556</v>
      </c>
      <c r="C142" s="44">
        <f>Tableau_Données_Lune[[#This Row],[Jour et heure (UTC)*]]-7/24</f>
        <v>43736.476388888892</v>
      </c>
      <c r="D142" s="46">
        <f>INT(Tableau_Données_Lune[[#This Row],[Heure ajustée1]])</f>
        <v>43736</v>
      </c>
      <c r="E142" s="42" t="s">
        <v>31</v>
      </c>
    </row>
    <row r="143" spans="2:5" ht="18" customHeight="1" x14ac:dyDescent="0.25">
      <c r="B143" s="44">
        <v>43743.699305555558</v>
      </c>
      <c r="C143" s="44">
        <f>Tableau_Données_Lune[[#This Row],[Jour et heure (UTC)*]]-7/24</f>
        <v>43743.407638888893</v>
      </c>
      <c r="D143" s="46">
        <f>INT(Tableau_Données_Lune[[#This Row],[Heure ajustée1]])</f>
        <v>43743</v>
      </c>
      <c r="E143" s="42" t="s">
        <v>28</v>
      </c>
    </row>
    <row r="144" spans="2:5" ht="18" customHeight="1" x14ac:dyDescent="0.25">
      <c r="B144" s="44">
        <v>43751.880555555559</v>
      </c>
      <c r="C144" s="44">
        <f>Tableau_Données_Lune[[#This Row],[Jour et heure (UTC)*]]-7/24</f>
        <v>43751.588888888895</v>
      </c>
      <c r="D144" s="46">
        <f>INT(Tableau_Données_Lune[[#This Row],[Heure ajustée1]])</f>
        <v>43751</v>
      </c>
      <c r="E144" s="42" t="s">
        <v>29</v>
      </c>
    </row>
    <row r="145" spans="2:5" ht="18" customHeight="1" x14ac:dyDescent="0.25">
      <c r="B145" s="44">
        <v>43759.527083333334</v>
      </c>
      <c r="C145" s="44">
        <f>Tableau_Données_Lune[[#This Row],[Jour et heure (UTC)*]]-7/24</f>
        <v>43759.23541666667</v>
      </c>
      <c r="D145" s="46">
        <f>INT(Tableau_Données_Lune[[#This Row],[Heure ajustée1]])</f>
        <v>43759</v>
      </c>
      <c r="E145" s="42" t="s">
        <v>30</v>
      </c>
    </row>
    <row r="146" spans="2:5" ht="18" customHeight="1" x14ac:dyDescent="0.25">
      <c r="B146" s="44">
        <v>43766.151388888888</v>
      </c>
      <c r="C146" s="44">
        <f>Tableau_Données_Lune[[#This Row],[Jour et heure (UTC)*]]-7/24</f>
        <v>43765.859722222223</v>
      </c>
      <c r="D146" s="46">
        <f>INT(Tableau_Données_Lune[[#This Row],[Heure ajustée1]])</f>
        <v>43765</v>
      </c>
      <c r="E146" s="42" t="s">
        <v>31</v>
      </c>
    </row>
    <row r="147" spans="2:5" ht="18" customHeight="1" x14ac:dyDescent="0.25">
      <c r="B147" s="44">
        <v>43773.432638888888</v>
      </c>
      <c r="C147" s="44">
        <f>Tableau_Données_Lune[[#This Row],[Jour et heure (UTC)*]]-7/24</f>
        <v>43773.140972222223</v>
      </c>
      <c r="D147" s="46">
        <f>INT(Tableau_Données_Lune[[#This Row],[Heure ajustée1]])</f>
        <v>43773</v>
      </c>
      <c r="E147" s="42" t="s">
        <v>28</v>
      </c>
    </row>
    <row r="148" spans="2:5" ht="18" customHeight="1" x14ac:dyDescent="0.25">
      <c r="B148" s="44">
        <v>43781.56527777778</v>
      </c>
      <c r="C148" s="44">
        <f>Tableau_Données_Lune[[#This Row],[Jour et heure (UTC)*]]-7/24</f>
        <v>43781.273611111115</v>
      </c>
      <c r="D148" s="46">
        <f>INT(Tableau_Données_Lune[[#This Row],[Heure ajustée1]])</f>
        <v>43781</v>
      </c>
      <c r="E148" s="42" t="s">
        <v>29</v>
      </c>
    </row>
    <row r="149" spans="2:5" ht="18" customHeight="1" x14ac:dyDescent="0.25">
      <c r="B149" s="44">
        <v>43788.882638888892</v>
      </c>
      <c r="C149" s="44">
        <f>Tableau_Données_Lune[[#This Row],[Jour et heure (UTC)*]]-7/24</f>
        <v>43788.590972222228</v>
      </c>
      <c r="D149" s="46">
        <f>INT(Tableau_Données_Lune[[#This Row],[Heure ajustée1]])</f>
        <v>43788</v>
      </c>
      <c r="E149" s="42" t="s">
        <v>30</v>
      </c>
    </row>
    <row r="150" spans="2:5" ht="18" customHeight="1" x14ac:dyDescent="0.25">
      <c r="B150" s="44">
        <v>43795.629166666666</v>
      </c>
      <c r="C150" s="44">
        <f>Tableau_Données_Lune[[#This Row],[Jour et heure (UTC)*]]-7/24</f>
        <v>43795.337500000001</v>
      </c>
      <c r="D150" s="46">
        <f>INT(Tableau_Données_Lune[[#This Row],[Heure ajustée1]])</f>
        <v>43795</v>
      </c>
      <c r="E150" s="42" t="s">
        <v>31</v>
      </c>
    </row>
    <row r="151" spans="2:5" ht="18" customHeight="1" x14ac:dyDescent="0.25">
      <c r="B151" s="44">
        <v>43803.290277777778</v>
      </c>
      <c r="C151" s="44">
        <f>Tableau_Données_Lune[[#This Row],[Jour et heure (UTC)*]]-7/24</f>
        <v>43802.998611111114</v>
      </c>
      <c r="D151" s="46">
        <f>INT(Tableau_Données_Lune[[#This Row],[Heure ajustée1]])</f>
        <v>43802</v>
      </c>
      <c r="E151" s="42" t="s">
        <v>28</v>
      </c>
    </row>
    <row r="152" spans="2:5" ht="18" customHeight="1" x14ac:dyDescent="0.25">
      <c r="B152" s="44">
        <v>43811.216666666667</v>
      </c>
      <c r="C152" s="44">
        <f>Tableau_Données_Lune[[#This Row],[Jour et heure (UTC)*]]-7/24</f>
        <v>43810.925000000003</v>
      </c>
      <c r="D152" s="46">
        <f>INT(Tableau_Données_Lune[[#This Row],[Heure ajustée1]])</f>
        <v>43810</v>
      </c>
      <c r="E152" s="42" t="s">
        <v>29</v>
      </c>
    </row>
    <row r="153" spans="2:5" ht="18" customHeight="1" x14ac:dyDescent="0.25">
      <c r="B153" s="44">
        <v>43818.206250000003</v>
      </c>
      <c r="C153" s="44">
        <f>Tableau_Données_Lune[[#This Row],[Jour et heure (UTC)*]]-7/24</f>
        <v>43817.914583333339</v>
      </c>
      <c r="D153" s="46">
        <f>INT(Tableau_Données_Lune[[#This Row],[Heure ajustée1]])</f>
        <v>43817</v>
      </c>
      <c r="E153" s="42" t="s">
        <v>30</v>
      </c>
    </row>
    <row r="154" spans="2:5" ht="18" customHeight="1" x14ac:dyDescent="0.25">
      <c r="B154" s="44">
        <v>43825.217361111114</v>
      </c>
      <c r="C154" s="44">
        <f>Tableau_Données_Lune[[#This Row],[Jour et heure (UTC)*]]-7/24</f>
        <v>43824.92569444445</v>
      </c>
      <c r="D154" s="46">
        <f>INT(Tableau_Données_Lune[[#This Row],[Heure ajustée1]])</f>
        <v>43824</v>
      </c>
      <c r="E154" s="42" t="s">
        <v>31</v>
      </c>
    </row>
    <row r="155" spans="2:5" ht="18" customHeight="1" x14ac:dyDescent="0.25">
      <c r="B155" s="44">
        <v>43833.197916666664</v>
      </c>
      <c r="C155" s="44">
        <f>Tableau_Données_Lune[[#This Row],[Jour et heure (UTC)*]]-7/24</f>
        <v>43832.90625</v>
      </c>
      <c r="D155" s="46">
        <f>INT(Tableau_Données_Lune[[#This Row],[Heure ajustée1]])</f>
        <v>43832</v>
      </c>
      <c r="E155" s="42" t="s">
        <v>28</v>
      </c>
    </row>
    <row r="156" spans="2:5" ht="18" customHeight="1" x14ac:dyDescent="0.25">
      <c r="B156" s="44">
        <v>43840.806250000001</v>
      </c>
      <c r="C156" s="44">
        <f>Tableau_Données_Lune[[#This Row],[Jour et heure (UTC)*]]-7/24</f>
        <v>43840.514583333337</v>
      </c>
      <c r="D156" s="46">
        <f>INT(Tableau_Données_Lune[[#This Row],[Heure ajustée1]])</f>
        <v>43840</v>
      </c>
      <c r="E156" s="42" t="s">
        <v>29</v>
      </c>
    </row>
    <row r="157" spans="2:5" ht="18" customHeight="1" x14ac:dyDescent="0.25">
      <c r="B157" s="44">
        <v>43847.540277777778</v>
      </c>
      <c r="C157" s="44">
        <f>Tableau_Données_Lune[[#This Row],[Jour et heure (UTC)*]]-7/24</f>
        <v>43847.248611111114</v>
      </c>
      <c r="D157" s="46">
        <f>INT(Tableau_Données_Lune[[#This Row],[Heure ajustée1]])</f>
        <v>43847</v>
      </c>
      <c r="E157" s="42" t="s">
        <v>30</v>
      </c>
    </row>
    <row r="158" spans="2:5" ht="18" customHeight="1" x14ac:dyDescent="0.25">
      <c r="B158" s="44">
        <v>43854.904166666667</v>
      </c>
      <c r="C158" s="44">
        <f>Tableau_Données_Lune[[#This Row],[Jour et heure (UTC)*]]-7/24</f>
        <v>43854.612500000003</v>
      </c>
      <c r="D158" s="46">
        <f>INT(Tableau_Données_Lune[[#This Row],[Heure ajustée1]])</f>
        <v>43854</v>
      </c>
      <c r="E158" s="42" t="s">
        <v>31</v>
      </c>
    </row>
    <row r="159" spans="2:5" ht="18" customHeight="1" x14ac:dyDescent="0.25">
      <c r="B159" s="44">
        <v>43863.070833333331</v>
      </c>
      <c r="C159" s="44">
        <f>Tableau_Données_Lune[[#This Row],[Jour et heure (UTC)*]]-7/24</f>
        <v>43862.779166666667</v>
      </c>
      <c r="D159" s="46">
        <f>INT(Tableau_Données_Lune[[#This Row],[Heure ajustée1]])</f>
        <v>43862</v>
      </c>
      <c r="E159" s="42" t="s">
        <v>28</v>
      </c>
    </row>
    <row r="160" spans="2:5" ht="18" customHeight="1" x14ac:dyDescent="0.25">
      <c r="B160" s="44">
        <v>43870.314583333333</v>
      </c>
      <c r="C160" s="44">
        <f>Tableau_Données_Lune[[#This Row],[Jour et heure (UTC)*]]-7/24</f>
        <v>43870.022916666669</v>
      </c>
      <c r="D160" s="46">
        <f>INT(Tableau_Données_Lune[[#This Row],[Heure ajustée1]])</f>
        <v>43870</v>
      </c>
      <c r="E160" s="42" t="s">
        <v>29</v>
      </c>
    </row>
    <row r="161" spans="2:5" ht="18" customHeight="1" x14ac:dyDescent="0.25">
      <c r="B161" s="44">
        <v>43876.928472222222</v>
      </c>
      <c r="C161" s="44">
        <f>Tableau_Données_Lune[[#This Row],[Jour et heure (UTC)*]]-7/24</f>
        <v>43876.636805555558</v>
      </c>
      <c r="D161" s="46">
        <f>INT(Tableau_Données_Lune[[#This Row],[Heure ajustée1]])</f>
        <v>43876</v>
      </c>
      <c r="E161" s="42" t="s">
        <v>30</v>
      </c>
    </row>
    <row r="162" spans="2:5" ht="18" customHeight="1" x14ac:dyDescent="0.25">
      <c r="B162" s="44">
        <v>43884.647222222222</v>
      </c>
      <c r="C162" s="44">
        <f>Tableau_Données_Lune[[#This Row],[Jour et heure (UTC)*]]-7/24</f>
        <v>43884.355555555558</v>
      </c>
      <c r="D162" s="46">
        <f>INT(Tableau_Données_Lune[[#This Row],[Heure ajustée1]])</f>
        <v>43884</v>
      </c>
      <c r="E162" s="42" t="s">
        <v>31</v>
      </c>
    </row>
    <row r="163" spans="2:5" ht="18" customHeight="1" x14ac:dyDescent="0.25">
      <c r="B163" s="44">
        <v>43892.831250000003</v>
      </c>
      <c r="C163" s="44">
        <f>Tableau_Données_Lune[[#This Row],[Jour et heure (UTC)*]]-7/24</f>
        <v>43892.539583333339</v>
      </c>
      <c r="D163" s="46">
        <f>INT(Tableau_Données_Lune[[#This Row],[Heure ajustée1]])</f>
        <v>43892</v>
      </c>
      <c r="E163" s="42" t="s">
        <v>28</v>
      </c>
    </row>
    <row r="164" spans="2:5" ht="18" customHeight="1" x14ac:dyDescent="0.25">
      <c r="B164" s="44">
        <v>43899.741666666669</v>
      </c>
      <c r="C164" s="44">
        <f>Tableau_Données_Lune[[#This Row],[Jour et heure (UTC)*]]-7/24</f>
        <v>43899.450000000004</v>
      </c>
      <c r="D164" s="46">
        <f>INT(Tableau_Données_Lune[[#This Row],[Heure ajustée1]])</f>
        <v>43899</v>
      </c>
      <c r="E164" s="42" t="s">
        <v>29</v>
      </c>
    </row>
    <row r="165" spans="2:5" ht="18" customHeight="1" x14ac:dyDescent="0.25">
      <c r="B165" s="44">
        <v>43906.398611111108</v>
      </c>
      <c r="C165" s="44">
        <f>Tableau_Données_Lune[[#This Row],[Jour et heure (UTC)*]]-7/24</f>
        <v>43906.106944444444</v>
      </c>
      <c r="D165" s="46">
        <f>INT(Tableau_Données_Lune[[#This Row],[Heure ajustée1]])</f>
        <v>43906</v>
      </c>
      <c r="E165" s="42" t="s">
        <v>30</v>
      </c>
    </row>
    <row r="166" spans="2:5" ht="18" customHeight="1" x14ac:dyDescent="0.25">
      <c r="B166" s="44">
        <v>43914.394444444442</v>
      </c>
      <c r="C166" s="44">
        <f>Tableau_Données_Lune[[#This Row],[Jour et heure (UTC)*]]-7/24</f>
        <v>43914.102777777778</v>
      </c>
      <c r="D166" s="46">
        <f>INT(Tableau_Données_Lune[[#This Row],[Heure ajustée1]])</f>
        <v>43914</v>
      </c>
      <c r="E166" s="42" t="s">
        <v>31</v>
      </c>
    </row>
    <row r="167" spans="2:5" ht="18" customHeight="1" x14ac:dyDescent="0.25">
      <c r="B167" s="44">
        <v>43922.431250000001</v>
      </c>
      <c r="C167" s="44">
        <f>Tableau_Données_Lune[[#This Row],[Jour et heure (UTC)*]]-7/24</f>
        <v>43922.139583333337</v>
      </c>
      <c r="D167" s="46">
        <f>INT(Tableau_Données_Lune[[#This Row],[Heure ajustée1]])</f>
        <v>43922</v>
      </c>
      <c r="E167" s="42" t="s">
        <v>28</v>
      </c>
    </row>
    <row r="168" spans="2:5" ht="18" customHeight="1" x14ac:dyDescent="0.25">
      <c r="B168" s="44">
        <v>43929.107638888891</v>
      </c>
      <c r="C168" s="44">
        <f>Tableau_Données_Lune[[#This Row],[Jour et heure (UTC)*]]-7/24</f>
        <v>43928.815972222226</v>
      </c>
      <c r="D168" s="46">
        <f>INT(Tableau_Données_Lune[[#This Row],[Heure ajustée1]])</f>
        <v>43928</v>
      </c>
      <c r="E168" s="42" t="s">
        <v>29</v>
      </c>
    </row>
    <row r="169" spans="2:5" ht="18" customHeight="1" x14ac:dyDescent="0.25">
      <c r="B169" s="44">
        <v>43935.955555555556</v>
      </c>
      <c r="C169" s="44">
        <f>Tableau_Données_Lune[[#This Row],[Jour et heure (UTC)*]]-7/24</f>
        <v>43935.663888888892</v>
      </c>
      <c r="D169" s="46">
        <f>INT(Tableau_Données_Lune[[#This Row],[Heure ajustée1]])</f>
        <v>43935</v>
      </c>
      <c r="E169" s="42" t="s">
        <v>30</v>
      </c>
    </row>
    <row r="170" spans="2:5" ht="18" customHeight="1" x14ac:dyDescent="0.25">
      <c r="B170" s="44">
        <v>43944.101388888892</v>
      </c>
      <c r="C170" s="44">
        <f>Tableau_Données_Lune[[#This Row],[Jour et heure (UTC)*]]-7/24</f>
        <v>43943.809722222228</v>
      </c>
      <c r="D170" s="46">
        <f>INT(Tableau_Données_Lune[[#This Row],[Heure ajustée1]])</f>
        <v>43943</v>
      </c>
      <c r="E170" s="42" t="s">
        <v>31</v>
      </c>
    </row>
    <row r="171" spans="2:5" ht="18" customHeight="1" x14ac:dyDescent="0.25">
      <c r="B171" s="44">
        <v>43951.859722222223</v>
      </c>
      <c r="C171" s="44">
        <f>Tableau_Données_Lune[[#This Row],[Jour et heure (UTC)*]]-7/24</f>
        <v>43951.568055555559</v>
      </c>
      <c r="D171" s="46">
        <f>INT(Tableau_Données_Lune[[#This Row],[Heure ajustée1]])</f>
        <v>43951</v>
      </c>
      <c r="E171" s="42" t="s">
        <v>28</v>
      </c>
    </row>
    <row r="172" spans="2:5" ht="18" customHeight="1" x14ac:dyDescent="0.25">
      <c r="B172" s="44">
        <v>43958.447916666664</v>
      </c>
      <c r="C172" s="44">
        <f>Tableau_Données_Lune[[#This Row],[Jour et heure (UTC)*]]-7/24</f>
        <v>43958.15625</v>
      </c>
      <c r="D172" s="46">
        <f>INT(Tableau_Données_Lune[[#This Row],[Heure ajustée1]])</f>
        <v>43958</v>
      </c>
      <c r="E172" s="42" t="s">
        <v>29</v>
      </c>
    </row>
    <row r="173" spans="2:5" ht="18" customHeight="1" x14ac:dyDescent="0.25">
      <c r="B173" s="44">
        <v>43965.585416666669</v>
      </c>
      <c r="C173" s="44">
        <f>Tableau_Données_Lune[[#This Row],[Jour et heure (UTC)*]]-7/24</f>
        <v>43965.293750000004</v>
      </c>
      <c r="D173" s="46">
        <f>INT(Tableau_Données_Lune[[#This Row],[Heure ajustée1]])</f>
        <v>43965</v>
      </c>
      <c r="E173" s="42" t="s">
        <v>30</v>
      </c>
    </row>
    <row r="174" spans="2:5" ht="18" customHeight="1" x14ac:dyDescent="0.25">
      <c r="B174" s="44">
        <v>43973.73541666667</v>
      </c>
      <c r="C174" s="44">
        <f>Tableau_Données_Lune[[#This Row],[Jour et heure (UTC)*]]-7/24</f>
        <v>43973.443750000006</v>
      </c>
      <c r="D174" s="46">
        <f>INT(Tableau_Données_Lune[[#This Row],[Heure ajustée1]])</f>
        <v>43973</v>
      </c>
      <c r="E174" s="42" t="s">
        <v>31</v>
      </c>
    </row>
    <row r="175" spans="2:5" ht="18" customHeight="1" x14ac:dyDescent="0.25">
      <c r="B175" s="44">
        <v>43981.145833333336</v>
      </c>
      <c r="C175" s="44">
        <f>Tableau_Données_Lune[[#This Row],[Jour et heure (UTC)*]]-7/24</f>
        <v>43980.854166666672</v>
      </c>
      <c r="D175" s="46">
        <f>INT(Tableau_Données_Lune[[#This Row],[Heure ajustée1]])</f>
        <v>43980</v>
      </c>
      <c r="E175" s="42" t="s">
        <v>28</v>
      </c>
    </row>
    <row r="176" spans="2:5" ht="18" customHeight="1" x14ac:dyDescent="0.25">
      <c r="B176" s="44">
        <v>43987.8</v>
      </c>
      <c r="C176" s="44">
        <f>Tableau_Données_Lune[[#This Row],[Jour et heure (UTC)*]]-7/24</f>
        <v>43987.508333333339</v>
      </c>
      <c r="D176" s="46">
        <f>INT(Tableau_Données_Lune[[#This Row],[Heure ajustée1]])</f>
        <v>43987</v>
      </c>
      <c r="E176" s="42" t="s">
        <v>29</v>
      </c>
    </row>
    <row r="177" spans="2:5" ht="18" customHeight="1" x14ac:dyDescent="0.25">
      <c r="B177" s="44">
        <v>43995.26666666667</v>
      </c>
      <c r="C177" s="44">
        <f>Tableau_Données_Lune[[#This Row],[Jour et heure (UTC)*]]-7/24</f>
        <v>43994.975000000006</v>
      </c>
      <c r="D177" s="46">
        <f>INT(Tableau_Données_Lune[[#This Row],[Heure ajustée1]])</f>
        <v>43994</v>
      </c>
      <c r="E177" s="42" t="s">
        <v>30</v>
      </c>
    </row>
    <row r="178" spans="2:5" ht="18" customHeight="1" x14ac:dyDescent="0.25">
      <c r="B178" s="44">
        <v>44003.27847222222</v>
      </c>
      <c r="C178" s="44">
        <f>Tableau_Données_Lune[[#This Row],[Jour et heure (UTC)*]]-7/24</f>
        <v>44002.986805555556</v>
      </c>
      <c r="D178" s="46">
        <f>INT(Tableau_Données_Lune[[#This Row],[Heure ajustée1]])</f>
        <v>44002</v>
      </c>
      <c r="E178" s="42" t="s">
        <v>31</v>
      </c>
    </row>
    <row r="179" spans="2:5" ht="18" customHeight="1" x14ac:dyDescent="0.25">
      <c r="B179" s="44">
        <v>44010.344444444447</v>
      </c>
      <c r="C179" s="44">
        <f>Tableau_Données_Lune[[#This Row],[Jour et heure (UTC)*]]-7/24</f>
        <v>44010.052777777782</v>
      </c>
      <c r="D179" s="46">
        <f>INT(Tableau_Données_Lune[[#This Row],[Heure ajustée1]])</f>
        <v>44010</v>
      </c>
      <c r="E179" s="42" t="s">
        <v>28</v>
      </c>
    </row>
    <row r="180" spans="2:5" ht="18" customHeight="1" x14ac:dyDescent="0.25">
      <c r="B180" s="44">
        <v>44017.197222222225</v>
      </c>
      <c r="C180" s="44">
        <f>Tableau_Données_Lune[[#This Row],[Jour et heure (UTC)*]]-7/24</f>
        <v>44016.905555555561</v>
      </c>
      <c r="D180" s="46">
        <f>INT(Tableau_Données_Lune[[#This Row],[Heure ajustée1]])</f>
        <v>44016</v>
      </c>
      <c r="E180" s="42" t="s">
        <v>29</v>
      </c>
    </row>
    <row r="181" spans="2:5" ht="18" customHeight="1" x14ac:dyDescent="0.25">
      <c r="B181" s="44">
        <v>44024.978472222225</v>
      </c>
      <c r="C181" s="44">
        <f>Tableau_Données_Lune[[#This Row],[Jour et heure (UTC)*]]-7/24</f>
        <v>44024.686805555561</v>
      </c>
      <c r="D181" s="46">
        <f>INT(Tableau_Données_Lune[[#This Row],[Heure ajustée1]])</f>
        <v>44024</v>
      </c>
      <c r="E181" s="42" t="s">
        <v>30</v>
      </c>
    </row>
    <row r="182" spans="2:5" ht="18" customHeight="1" x14ac:dyDescent="0.25">
      <c r="B182" s="44">
        <v>44032.731249999997</v>
      </c>
      <c r="C182" s="44">
        <f>Tableau_Données_Lune[[#This Row],[Jour et heure (UTC)*]]-7/24</f>
        <v>44032.439583333333</v>
      </c>
      <c r="D182" s="46">
        <f>INT(Tableau_Données_Lune[[#This Row],[Heure ajustée1]])</f>
        <v>44032</v>
      </c>
      <c r="E182" s="42" t="s">
        <v>31</v>
      </c>
    </row>
    <row r="183" spans="2:5" ht="18" customHeight="1" x14ac:dyDescent="0.25">
      <c r="B183" s="44">
        <v>44039.522222222222</v>
      </c>
      <c r="C183" s="44">
        <f>Tableau_Données_Lune[[#This Row],[Jour et heure (UTC)*]]-7/24</f>
        <v>44039.230555555558</v>
      </c>
      <c r="D183" s="46">
        <f>INT(Tableau_Données_Lune[[#This Row],[Heure ajustée1]])</f>
        <v>44039</v>
      </c>
      <c r="E183" s="42" t="s">
        <v>28</v>
      </c>
    </row>
    <row r="184" spans="2:5" ht="18" customHeight="1" x14ac:dyDescent="0.25">
      <c r="B184" s="44">
        <v>44046.665972222225</v>
      </c>
      <c r="C184" s="44">
        <f>Tableau_Données_Lune[[#This Row],[Jour et heure (UTC)*]]-7/24</f>
        <v>44046.374305555561</v>
      </c>
      <c r="D184" s="46">
        <f>INT(Tableau_Données_Lune[[#This Row],[Heure ajustée1]])</f>
        <v>44046</v>
      </c>
      <c r="E184" s="42" t="s">
        <v>29</v>
      </c>
    </row>
    <row r="185" spans="2:5" ht="18" customHeight="1" x14ac:dyDescent="0.25">
      <c r="B185" s="44">
        <v>44054.697916666664</v>
      </c>
      <c r="C185" s="44">
        <f>Tableau_Données_Lune[[#This Row],[Jour et heure (UTC)*]]-7/24</f>
        <v>44054.40625</v>
      </c>
      <c r="D185" s="46">
        <f>INT(Tableau_Données_Lune[[#This Row],[Heure ajustée1]])</f>
        <v>44054</v>
      </c>
      <c r="E185" s="42" t="s">
        <v>30</v>
      </c>
    </row>
    <row r="186" spans="2:5" ht="18" customHeight="1" x14ac:dyDescent="0.25">
      <c r="B186" s="44">
        <v>44062.112500000003</v>
      </c>
      <c r="C186" s="44">
        <f>Tableau_Données_Lune[[#This Row],[Jour et heure (UTC)*]]-7/24</f>
        <v>44061.820833333339</v>
      </c>
      <c r="D186" s="46">
        <f>INT(Tableau_Données_Lune[[#This Row],[Heure ajustée1]])</f>
        <v>44061</v>
      </c>
      <c r="E186" s="42" t="s">
        <v>31</v>
      </c>
    </row>
    <row r="187" spans="2:5" ht="18" customHeight="1" x14ac:dyDescent="0.25">
      <c r="B187" s="44">
        <v>44068.748611111114</v>
      </c>
      <c r="C187" s="44">
        <f>Tableau_Données_Lune[[#This Row],[Jour et heure (UTC)*]]-7/24</f>
        <v>44068.45694444445</v>
      </c>
      <c r="D187" s="46">
        <f>INT(Tableau_Données_Lune[[#This Row],[Heure ajustée1]])</f>
        <v>44068</v>
      </c>
      <c r="E187" s="42" t="s">
        <v>28</v>
      </c>
    </row>
    <row r="188" spans="2:5" ht="18" customHeight="1" x14ac:dyDescent="0.25">
      <c r="B188" s="44">
        <v>44076.223611111112</v>
      </c>
      <c r="C188" s="44">
        <f>Tableau_Données_Lune[[#This Row],[Jour et heure (UTC)*]]-7/24</f>
        <v>44075.931944444448</v>
      </c>
      <c r="D188" s="46">
        <f>INT(Tableau_Données_Lune[[#This Row],[Heure ajustée1]])</f>
        <v>44075</v>
      </c>
      <c r="E188" s="42" t="s">
        <v>29</v>
      </c>
    </row>
    <row r="189" spans="2:5" ht="18" customHeight="1" x14ac:dyDescent="0.25">
      <c r="B189" s="44">
        <v>44084.393055555556</v>
      </c>
      <c r="C189" s="44">
        <f>Tableau_Données_Lune[[#This Row],[Jour et heure (UTC)*]]-7/24</f>
        <v>44084.101388888892</v>
      </c>
      <c r="D189" s="46">
        <f>INT(Tableau_Données_Lune[[#This Row],[Heure ajustée1]])</f>
        <v>44084</v>
      </c>
      <c r="E189" s="42" t="s">
        <v>30</v>
      </c>
    </row>
    <row r="190" spans="2:5" ht="18" customHeight="1" x14ac:dyDescent="0.25">
      <c r="B190" s="44">
        <v>44091.458333333336</v>
      </c>
      <c r="C190" s="44">
        <f>Tableau_Données_Lune[[#This Row],[Jour et heure (UTC)*]]-7/24</f>
        <v>44091.166666666672</v>
      </c>
      <c r="D190" s="46">
        <f>INT(Tableau_Données_Lune[[#This Row],[Heure ajustée1]])</f>
        <v>44091</v>
      </c>
      <c r="E190" s="42" t="s">
        <v>31</v>
      </c>
    </row>
    <row r="191" spans="2:5" ht="18" customHeight="1" x14ac:dyDescent="0.25">
      <c r="B191" s="44">
        <v>44098.079861111109</v>
      </c>
      <c r="C191" s="44">
        <f>Tableau_Données_Lune[[#This Row],[Jour et heure (UTC)*]]-7/24</f>
        <v>44097.788194444445</v>
      </c>
      <c r="D191" s="46">
        <f>INT(Tableau_Données_Lune[[#This Row],[Heure ajustée1]])</f>
        <v>44097</v>
      </c>
      <c r="E191" s="42" t="s">
        <v>28</v>
      </c>
    </row>
    <row r="192" spans="2:5" ht="18" customHeight="1" x14ac:dyDescent="0.25">
      <c r="B192" s="44">
        <v>44105.878472222219</v>
      </c>
      <c r="C192" s="44">
        <f>Tableau_Données_Lune[[#This Row],[Jour et heure (UTC)*]]-7/24</f>
        <v>44105.586805555555</v>
      </c>
      <c r="D192" s="46">
        <f>INT(Tableau_Données_Lune[[#This Row],[Heure ajustée1]])</f>
        <v>44105</v>
      </c>
      <c r="E192" s="42" t="s">
        <v>29</v>
      </c>
    </row>
    <row r="193" spans="2:5" ht="18" customHeight="1" x14ac:dyDescent="0.25">
      <c r="B193" s="44">
        <v>44114.027083333334</v>
      </c>
      <c r="C193" s="44">
        <f>Tableau_Données_Lune[[#This Row],[Jour et heure (UTC)*]]-7/24</f>
        <v>44113.73541666667</v>
      </c>
      <c r="D193" s="46">
        <f>INT(Tableau_Données_Lune[[#This Row],[Heure ajustée1]])</f>
        <v>44113</v>
      </c>
      <c r="E193" s="42" t="s">
        <v>30</v>
      </c>
    </row>
    <row r="194" spans="2:5" ht="18" customHeight="1" x14ac:dyDescent="0.25">
      <c r="B194" s="44">
        <v>44120.813194444447</v>
      </c>
      <c r="C194" s="44">
        <f>Tableau_Données_Lune[[#This Row],[Jour et heure (UTC)*]]-7/24</f>
        <v>44120.521527777782</v>
      </c>
      <c r="D194" s="46">
        <f>INT(Tableau_Données_Lune[[#This Row],[Heure ajustée1]])</f>
        <v>44120</v>
      </c>
      <c r="E194" s="42" t="s">
        <v>31</v>
      </c>
    </row>
    <row r="195" spans="2:5" ht="18" customHeight="1" x14ac:dyDescent="0.25">
      <c r="B195" s="44">
        <v>44127.557638888888</v>
      </c>
      <c r="C195" s="44">
        <f>Tableau_Données_Lune[[#This Row],[Jour et heure (UTC)*]]-7/24</f>
        <v>44127.265972222223</v>
      </c>
      <c r="D195" s="46">
        <f>INT(Tableau_Données_Lune[[#This Row],[Heure ajustée1]])</f>
        <v>44127</v>
      </c>
      <c r="E195" s="42" t="s">
        <v>28</v>
      </c>
    </row>
    <row r="196" spans="2:5" ht="18" customHeight="1" x14ac:dyDescent="0.25">
      <c r="B196" s="44">
        <v>44135.617361111108</v>
      </c>
      <c r="C196" s="44">
        <f>Tableau_Données_Lune[[#This Row],[Jour et heure (UTC)*]]-7/24</f>
        <v>44135.325694444444</v>
      </c>
      <c r="D196" s="46">
        <f>INT(Tableau_Données_Lune[[#This Row],[Heure ajustée1]])</f>
        <v>44135</v>
      </c>
      <c r="E196" s="42" t="s">
        <v>29</v>
      </c>
    </row>
    <row r="197" spans="2:5" ht="18" customHeight="1" x14ac:dyDescent="0.25">
      <c r="B197" s="44">
        <v>44143.573611111111</v>
      </c>
      <c r="C197" s="44">
        <f>Tableau_Données_Lune[[#This Row],[Jour et heure (UTC)*]]-7/24</f>
        <v>44143.281944444447</v>
      </c>
      <c r="D197" s="46">
        <f>INT(Tableau_Données_Lune[[#This Row],[Heure ajustée1]])</f>
        <v>44143</v>
      </c>
      <c r="E197" s="42" t="s">
        <v>30</v>
      </c>
    </row>
    <row r="198" spans="2:5" ht="18" customHeight="1" x14ac:dyDescent="0.25">
      <c r="B198" s="44">
        <v>44150.213194444441</v>
      </c>
      <c r="C198" s="44">
        <f>Tableau_Données_Lune[[#This Row],[Jour et heure (UTC)*]]-7/24</f>
        <v>44149.921527777777</v>
      </c>
      <c r="D198" s="46">
        <f>INT(Tableau_Données_Lune[[#This Row],[Heure ajustée1]])</f>
        <v>44149</v>
      </c>
      <c r="E198" s="42" t="s">
        <v>31</v>
      </c>
    </row>
    <row r="199" spans="2:5" ht="18" customHeight="1" x14ac:dyDescent="0.25">
      <c r="B199" s="44">
        <v>44157.197916666664</v>
      </c>
      <c r="C199" s="44">
        <f>Tableau_Données_Lune[[#This Row],[Jour et heure (UTC)*]]-7/24</f>
        <v>44156.90625</v>
      </c>
      <c r="D199" s="46">
        <f>INT(Tableau_Données_Lune[[#This Row],[Heure ajustée1]])</f>
        <v>44156</v>
      </c>
      <c r="E199" s="42" t="s">
        <v>28</v>
      </c>
    </row>
    <row r="200" spans="2:5" ht="18" customHeight="1" x14ac:dyDescent="0.25">
      <c r="B200" s="44">
        <v>44165.395833333336</v>
      </c>
      <c r="C200" s="44">
        <f>Tableau_Données_Lune[[#This Row],[Jour et heure (UTC)*]]-7/24</f>
        <v>44165.104166666672</v>
      </c>
      <c r="D200" s="46">
        <f>INT(Tableau_Données_Lune[[#This Row],[Heure ajustée1]])</f>
        <v>44165</v>
      </c>
      <c r="E200" s="42" t="s">
        <v>29</v>
      </c>
    </row>
    <row r="201" spans="2:5" ht="18" customHeight="1" x14ac:dyDescent="0.25">
      <c r="B201" s="44">
        <v>44173.025000000001</v>
      </c>
      <c r="C201" s="44">
        <f>Tableau_Données_Lune[[#This Row],[Jour et heure (UTC)*]]-7/24</f>
        <v>44172.733333333337</v>
      </c>
      <c r="D201" s="46">
        <f>INT(Tableau_Données_Lune[[#This Row],[Heure ajustée1]])</f>
        <v>44172</v>
      </c>
      <c r="E201" s="42" t="s">
        <v>30</v>
      </c>
    </row>
    <row r="202" spans="2:5" ht="18" customHeight="1" x14ac:dyDescent="0.25">
      <c r="B202" s="44">
        <v>44179.677777777775</v>
      </c>
      <c r="C202" s="44">
        <f>Tableau_Données_Lune[[#This Row],[Jour et heure (UTC)*]]-7/24</f>
        <v>44179.386111111111</v>
      </c>
      <c r="D202" s="46">
        <f>INT(Tableau_Données_Lune[[#This Row],[Heure ajustée1]])</f>
        <v>44179</v>
      </c>
      <c r="E202" s="42" t="s">
        <v>31</v>
      </c>
    </row>
    <row r="203" spans="2:5" ht="18" customHeight="1" x14ac:dyDescent="0.25">
      <c r="B203" s="44">
        <v>44186.986805555556</v>
      </c>
      <c r="C203" s="44">
        <f>Tableau_Données_Lune[[#This Row],[Jour et heure (UTC)*]]-7/24</f>
        <v>44186.695138888892</v>
      </c>
      <c r="D203" s="46">
        <f>INT(Tableau_Données_Lune[[#This Row],[Heure ajustée1]])</f>
        <v>44186</v>
      </c>
      <c r="E203" s="42" t="s">
        <v>28</v>
      </c>
    </row>
    <row r="204" spans="2:5" ht="18" customHeight="1" x14ac:dyDescent="0.25">
      <c r="B204" s="44">
        <v>44195.144444444442</v>
      </c>
      <c r="C204" s="44">
        <f>Tableau_Données_Lune[[#This Row],[Jour et heure (UTC)*]]-7/24</f>
        <v>44194.852777777778</v>
      </c>
      <c r="D204" s="46">
        <f>INT(Tableau_Données_Lune[[#This Row],[Heure ajustée1]])</f>
        <v>44194</v>
      </c>
      <c r="E204" s="42" t="s">
        <v>29</v>
      </c>
    </row>
    <row r="205" spans="2:5" ht="18" customHeight="1" x14ac:dyDescent="0.25">
      <c r="B205" s="44">
        <v>44202.400694444441</v>
      </c>
      <c r="C205" s="44">
        <f>Tableau_Données_Lune[[#This Row],[Jour et heure (UTC)*]]-7/24</f>
        <v>44202.109027777777</v>
      </c>
      <c r="D205" s="46">
        <f>INT(Tableau_Données_Lune[[#This Row],[Heure ajustée1]])</f>
        <v>44202</v>
      </c>
      <c r="E205" s="42" t="s">
        <v>30</v>
      </c>
    </row>
    <row r="206" spans="2:5" ht="18" customHeight="1" x14ac:dyDescent="0.25">
      <c r="B206" s="44">
        <v>44209.208333333336</v>
      </c>
      <c r="C206" s="44">
        <f>Tableau_Données_Lune[[#This Row],[Jour et heure (UTC)*]]-7/24</f>
        <v>44208.916666666672</v>
      </c>
      <c r="D206" s="46">
        <f>INT(Tableau_Données_Lune[[#This Row],[Heure ajustée1]])</f>
        <v>44208</v>
      </c>
      <c r="E206" s="42" t="s">
        <v>31</v>
      </c>
    </row>
    <row r="207" spans="2:5" ht="18" customHeight="1" x14ac:dyDescent="0.25">
      <c r="B207" s="44">
        <v>44216.875694444447</v>
      </c>
      <c r="C207" s="44">
        <f>Tableau_Données_Lune[[#This Row],[Jour et heure (UTC)*]]-7/24</f>
        <v>44216.584027777782</v>
      </c>
      <c r="D207" s="46">
        <f>INT(Tableau_Données_Lune[[#This Row],[Heure ajustée1]])</f>
        <v>44216</v>
      </c>
      <c r="E207" s="42" t="s">
        <v>28</v>
      </c>
    </row>
    <row r="208" spans="2:5" ht="18" customHeight="1" x14ac:dyDescent="0.25">
      <c r="B208" s="44">
        <v>44224.802777777775</v>
      </c>
      <c r="C208" s="44">
        <f>Tableau_Données_Lune[[#This Row],[Jour et heure (UTC)*]]-7/24</f>
        <v>44224.511111111111</v>
      </c>
      <c r="D208" s="46">
        <f>INT(Tableau_Données_Lune[[#This Row],[Heure ajustée1]])</f>
        <v>44224</v>
      </c>
      <c r="E208" s="42" t="s">
        <v>29</v>
      </c>
    </row>
    <row r="209" spans="2:5" ht="18" customHeight="1" x14ac:dyDescent="0.25">
      <c r="B209" s="44">
        <v>44231.734027777777</v>
      </c>
      <c r="C209" s="44">
        <f>Tableau_Données_Lune[[#This Row],[Jour et heure (UTC)*]]-7/24</f>
        <v>44231.442361111112</v>
      </c>
      <c r="D209" s="46">
        <f>INT(Tableau_Données_Lune[[#This Row],[Heure ajustée1]])</f>
        <v>44231</v>
      </c>
      <c r="E209" s="42" t="s">
        <v>30</v>
      </c>
    </row>
    <row r="210" spans="2:5" ht="18" customHeight="1" x14ac:dyDescent="0.25">
      <c r="B210" s="44">
        <v>44238.79583333333</v>
      </c>
      <c r="C210" s="44">
        <f>Tableau_Données_Lune[[#This Row],[Jour et heure (UTC)*]]-7/24</f>
        <v>44238.504166666666</v>
      </c>
      <c r="D210" s="46">
        <f>INT(Tableau_Données_Lune[[#This Row],[Heure ajustée1]])</f>
        <v>44238</v>
      </c>
      <c r="E210" s="42" t="s">
        <v>31</v>
      </c>
    </row>
    <row r="211" spans="2:5" ht="18" customHeight="1" x14ac:dyDescent="0.25">
      <c r="B211" s="44">
        <v>44246.782638888886</v>
      </c>
      <c r="C211" s="44">
        <f>Tableau_Données_Lune[[#This Row],[Jour et heure (UTC)*]]-7/24</f>
        <v>44246.490972222222</v>
      </c>
      <c r="D211" s="46">
        <f>INT(Tableau_Données_Lune[[#This Row],[Heure ajustée1]])</f>
        <v>44246</v>
      </c>
      <c r="E211" s="42" t="s">
        <v>28</v>
      </c>
    </row>
    <row r="212" spans="2:5" ht="18" customHeight="1" x14ac:dyDescent="0.25">
      <c r="B212" s="44">
        <v>44254.345138888886</v>
      </c>
      <c r="C212" s="44">
        <f>Tableau_Données_Lune[[#This Row],[Jour et heure (UTC)*]]-7/24</f>
        <v>44254.053472222222</v>
      </c>
      <c r="D212" s="46">
        <f>INT(Tableau_Données_Lune[[#This Row],[Heure ajustée1]])</f>
        <v>44254</v>
      </c>
      <c r="E212" s="42" t="s">
        <v>29</v>
      </c>
    </row>
    <row r="213" spans="2:5" ht="18" customHeight="1" x14ac:dyDescent="0.25">
      <c r="B213" s="44">
        <v>44261.0625</v>
      </c>
      <c r="C213" s="44">
        <f>Tableau_Données_Lune[[#This Row],[Jour et heure (UTC)*]]-7/24</f>
        <v>44260.770833333336</v>
      </c>
      <c r="D213" s="46">
        <f>INT(Tableau_Données_Lune[[#This Row],[Heure ajustée1]])</f>
        <v>44260</v>
      </c>
      <c r="E213" s="42" t="s">
        <v>30</v>
      </c>
    </row>
    <row r="214" spans="2:5" ht="18" customHeight="1" x14ac:dyDescent="0.25">
      <c r="B214" s="44">
        <v>44268.431250000001</v>
      </c>
      <c r="C214" s="44">
        <f>Tableau_Données_Lune[[#This Row],[Jour et heure (UTC)*]]-7/24</f>
        <v>44268.139583333337</v>
      </c>
      <c r="D214" s="46">
        <f>INT(Tableau_Données_Lune[[#This Row],[Heure ajustée1]])</f>
        <v>44268</v>
      </c>
      <c r="E214" s="42" t="s">
        <v>31</v>
      </c>
    </row>
    <row r="215" spans="2:5" ht="18" customHeight="1" x14ac:dyDescent="0.25">
      <c r="B215" s="44">
        <v>44276.611111111109</v>
      </c>
      <c r="C215" s="44">
        <f>Tableau_Données_Lune[[#This Row],[Jour et heure (UTC)*]]-7/24</f>
        <v>44276.319444444445</v>
      </c>
      <c r="D215" s="46">
        <f>INT(Tableau_Données_Lune[[#This Row],[Heure ajustée1]])</f>
        <v>44276</v>
      </c>
      <c r="E215" s="42" t="s">
        <v>28</v>
      </c>
    </row>
    <row r="216" spans="2:5" ht="18" customHeight="1" x14ac:dyDescent="0.25">
      <c r="B216" s="44">
        <v>44283.783333333333</v>
      </c>
      <c r="C216" s="44">
        <f>Tableau_Données_Lune[[#This Row],[Jour et heure (UTC)*]]-7/24</f>
        <v>44283.491666666669</v>
      </c>
      <c r="D216" s="46">
        <f>INT(Tableau_Données_Lune[[#This Row],[Heure ajustée1]])</f>
        <v>44283</v>
      </c>
      <c r="E216" s="42" t="s">
        <v>29</v>
      </c>
    </row>
    <row r="217" spans="2:5" ht="18" customHeight="1" x14ac:dyDescent="0.25">
      <c r="B217" s="44">
        <v>44290.418055555558</v>
      </c>
      <c r="C217" s="44">
        <f>Tableau_Données_Lune[[#This Row],[Jour et heure (UTC)*]]-7/24</f>
        <v>44290.126388888893</v>
      </c>
      <c r="D217" s="46">
        <f>INT(Tableau_Données_Lune[[#This Row],[Heure ajustée1]])</f>
        <v>44290</v>
      </c>
      <c r="E217" s="42" t="s">
        <v>30</v>
      </c>
    </row>
    <row r="218" spans="2:5" ht="18" customHeight="1" x14ac:dyDescent="0.25">
      <c r="B218" s="44">
        <v>44298.104861111111</v>
      </c>
      <c r="C218" s="44">
        <f>Tableau_Données_Lune[[#This Row],[Jour et heure (UTC)*]]-7/24</f>
        <v>44297.813194444447</v>
      </c>
      <c r="D218" s="46">
        <f>INT(Tableau_Données_Lune[[#This Row],[Heure ajustée1]])</f>
        <v>44297</v>
      </c>
      <c r="E218" s="42" t="s">
        <v>31</v>
      </c>
    </row>
    <row r="219" spans="2:5" ht="18" customHeight="1" x14ac:dyDescent="0.25">
      <c r="B219" s="44">
        <v>44306.290972222225</v>
      </c>
      <c r="C219" s="44">
        <f>Tableau_Données_Lune[[#This Row],[Jour et heure (UTC)*]]-7/24</f>
        <v>44305.999305555561</v>
      </c>
      <c r="D219" s="46">
        <f>INT(Tableau_Données_Lune[[#This Row],[Heure ajustée1]])</f>
        <v>44305</v>
      </c>
      <c r="E219" s="42" t="s">
        <v>28</v>
      </c>
    </row>
    <row r="220" spans="2:5" ht="18" customHeight="1" x14ac:dyDescent="0.25">
      <c r="B220" s="44">
        <v>44313.146527777775</v>
      </c>
      <c r="C220" s="44">
        <f>Tableau_Données_Lune[[#This Row],[Jour et heure (UTC)*]]-7/24</f>
        <v>44312.854861111111</v>
      </c>
      <c r="D220" s="46">
        <f>INT(Tableau_Données_Lune[[#This Row],[Heure ajustée1]])</f>
        <v>44312</v>
      </c>
      <c r="E220" s="42" t="s">
        <v>29</v>
      </c>
    </row>
    <row r="221" spans="2:5" ht="18" customHeight="1" x14ac:dyDescent="0.25">
      <c r="B221" s="44">
        <v>44319.826388888891</v>
      </c>
      <c r="C221" s="44">
        <f>Tableau_Données_Lune[[#This Row],[Jour et heure (UTC)*]]-7/24</f>
        <v>44319.534722222226</v>
      </c>
      <c r="D221" s="46">
        <f>INT(Tableau_Données_Lune[[#This Row],[Heure ajustée1]])</f>
        <v>44319</v>
      </c>
      <c r="E221" s="42" t="s">
        <v>30</v>
      </c>
    </row>
    <row r="222" spans="2:5" ht="18" customHeight="1" x14ac:dyDescent="0.25">
      <c r="B222" s="44">
        <v>44327.791666666664</v>
      </c>
      <c r="C222" s="44">
        <f>Tableau_Données_Lune[[#This Row],[Jour et heure (UTC)*]]-7/24</f>
        <v>44327.5</v>
      </c>
      <c r="D222" s="46">
        <f>INT(Tableau_Données_Lune[[#This Row],[Heure ajustée1]])</f>
        <v>44327</v>
      </c>
      <c r="E222" s="42" t="s">
        <v>31</v>
      </c>
    </row>
    <row r="223" spans="2:5" ht="18" customHeight="1" x14ac:dyDescent="0.25">
      <c r="B223" s="44">
        <v>44335.800694444442</v>
      </c>
      <c r="C223" s="44">
        <f>Tableau_Données_Lune[[#This Row],[Jour et heure (UTC)*]]-7/24</f>
        <v>44335.509027777778</v>
      </c>
      <c r="D223" s="46">
        <f>INT(Tableau_Données_Lune[[#This Row],[Heure ajustée1]])</f>
        <v>44335</v>
      </c>
      <c r="E223" s="42" t="s">
        <v>28</v>
      </c>
    </row>
    <row r="224" spans="2:5" ht="18" customHeight="1" x14ac:dyDescent="0.25">
      <c r="B224" s="44">
        <v>44342.468055555553</v>
      </c>
      <c r="C224" s="44">
        <f>Tableau_Données_Lune[[#This Row],[Jour et heure (UTC)*]]-7/24</f>
        <v>44342.176388888889</v>
      </c>
      <c r="D224" s="46">
        <f>INT(Tableau_Données_Lune[[#This Row],[Heure ajustée1]])</f>
        <v>44342</v>
      </c>
      <c r="E224" s="42" t="s">
        <v>29</v>
      </c>
    </row>
    <row r="225" spans="2:5" ht="18" customHeight="1" x14ac:dyDescent="0.25">
      <c r="B225" s="44">
        <v>44349.308333333334</v>
      </c>
      <c r="C225" s="44">
        <f>Tableau_Données_Lune[[#This Row],[Jour et heure (UTC)*]]-7/24</f>
        <v>44349.01666666667</v>
      </c>
      <c r="D225" s="46">
        <f>INT(Tableau_Données_Lune[[#This Row],[Heure ajustée1]])</f>
        <v>44349</v>
      </c>
      <c r="E225" s="42" t="s">
        <v>30</v>
      </c>
    </row>
    <row r="226" spans="2:5" ht="18" customHeight="1" x14ac:dyDescent="0.25">
      <c r="B226" s="44">
        <v>44357.453472222223</v>
      </c>
      <c r="C226" s="44">
        <f>Tableau_Données_Lune[[#This Row],[Jour et heure (UTC)*]]-7/24</f>
        <v>44357.161805555559</v>
      </c>
      <c r="D226" s="46">
        <f>INT(Tableau_Données_Lune[[#This Row],[Heure ajustée1]])</f>
        <v>44357</v>
      </c>
      <c r="E226" s="42" t="s">
        <v>31</v>
      </c>
    </row>
    <row r="227" spans="2:5" ht="18" customHeight="1" x14ac:dyDescent="0.25">
      <c r="B227" s="44">
        <v>44365.162499999999</v>
      </c>
      <c r="C227" s="44">
        <f>Tableau_Données_Lune[[#This Row],[Jour et heure (UTC)*]]-7/24</f>
        <v>44364.870833333334</v>
      </c>
      <c r="D227" s="46">
        <f>INT(Tableau_Données_Lune[[#This Row],[Heure ajustée1]])</f>
        <v>44364</v>
      </c>
      <c r="E227" s="42" t="s">
        <v>28</v>
      </c>
    </row>
    <row r="228" spans="2:5" ht="18" customHeight="1" x14ac:dyDescent="0.25">
      <c r="B228" s="44">
        <v>44371.777777777781</v>
      </c>
      <c r="C228" s="44">
        <f>Tableau_Données_Lune[[#This Row],[Jour et heure (UTC)*]]-7/24</f>
        <v>44371.486111111117</v>
      </c>
      <c r="D228" s="46">
        <f>INT(Tableau_Données_Lune[[#This Row],[Heure ajustée1]])</f>
        <v>44371</v>
      </c>
      <c r="E228" s="42" t="s">
        <v>29</v>
      </c>
    </row>
    <row r="229" spans="2:5" ht="18" customHeight="1" x14ac:dyDescent="0.25">
      <c r="B229" s="44">
        <v>44378.882638888892</v>
      </c>
      <c r="C229" s="44">
        <f>Tableau_Données_Lune[[#This Row],[Jour et heure (UTC)*]]-7/24</f>
        <v>44378.590972222228</v>
      </c>
      <c r="D229" s="46">
        <f>INT(Tableau_Données_Lune[[#This Row],[Heure ajustée1]])</f>
        <v>44378</v>
      </c>
      <c r="E229" s="42" t="s">
        <v>30</v>
      </c>
    </row>
    <row r="230" spans="2:5" ht="18" customHeight="1" x14ac:dyDescent="0.25">
      <c r="B230" s="44">
        <v>44387.053472222222</v>
      </c>
      <c r="C230" s="44">
        <f>Tableau_Données_Lune[[#This Row],[Jour et heure (UTC)*]]-7/24</f>
        <v>44386.761805555558</v>
      </c>
      <c r="D230" s="46">
        <f>INT(Tableau_Données_Lune[[#This Row],[Heure ajustée1]])</f>
        <v>44386</v>
      </c>
      <c r="E230" s="42" t="s">
        <v>31</v>
      </c>
    </row>
    <row r="231" spans="2:5" ht="18" customHeight="1" x14ac:dyDescent="0.25">
      <c r="B231" s="44">
        <v>44394.424305555556</v>
      </c>
      <c r="C231" s="44">
        <f>Tableau_Données_Lune[[#This Row],[Jour et heure (UTC)*]]-7/24</f>
        <v>44394.132638888892</v>
      </c>
      <c r="D231" s="46">
        <f>INT(Tableau_Données_Lune[[#This Row],[Heure ajustée1]])</f>
        <v>44394</v>
      </c>
      <c r="E231" s="42" t="s">
        <v>28</v>
      </c>
    </row>
    <row r="232" spans="2:5" ht="18" customHeight="1" x14ac:dyDescent="0.25">
      <c r="B232" s="44">
        <v>44401.109027777777</v>
      </c>
      <c r="C232" s="44">
        <f>Tableau_Données_Lune[[#This Row],[Jour et heure (UTC)*]]-7/24</f>
        <v>44400.817361111112</v>
      </c>
      <c r="D232" s="46">
        <f>INT(Tableau_Données_Lune[[#This Row],[Heure ajustée1]])</f>
        <v>44400</v>
      </c>
      <c r="E232" s="42" t="s">
        <v>29</v>
      </c>
    </row>
    <row r="233" spans="2:5" ht="18" customHeight="1" x14ac:dyDescent="0.25">
      <c r="B233" s="44">
        <v>44408.552777777775</v>
      </c>
      <c r="C233" s="44">
        <f>Tableau_Données_Lune[[#This Row],[Jour et heure (UTC)*]]-7/24</f>
        <v>44408.261111111111</v>
      </c>
      <c r="D233" s="46">
        <f>INT(Tableau_Données_Lune[[#This Row],[Heure ajustée1]])</f>
        <v>44408</v>
      </c>
      <c r="E233" s="42" t="s">
        <v>30</v>
      </c>
    </row>
    <row r="234" spans="2:5" ht="18" customHeight="1" x14ac:dyDescent="0.25">
      <c r="B234" s="44">
        <v>44416.576388888891</v>
      </c>
      <c r="C234" s="44">
        <f>Tableau_Données_Lune[[#This Row],[Jour et heure (UTC)*]]-7/24</f>
        <v>44416.284722222226</v>
      </c>
      <c r="D234" s="46">
        <f>INT(Tableau_Données_Lune[[#This Row],[Heure ajustée1]])</f>
        <v>44416</v>
      </c>
      <c r="E234" s="42" t="s">
        <v>31</v>
      </c>
    </row>
    <row r="235" spans="2:5" ht="18" customHeight="1" x14ac:dyDescent="0.25">
      <c r="B235" s="44">
        <v>44423.638194444444</v>
      </c>
      <c r="C235" s="44">
        <f>Tableau_Données_Lune[[#This Row],[Jour et heure (UTC)*]]-7/24</f>
        <v>44423.34652777778</v>
      </c>
      <c r="D235" s="46">
        <f>INT(Tableau_Données_Lune[[#This Row],[Heure ajustée1]])</f>
        <v>44423</v>
      </c>
      <c r="E235" s="42" t="s">
        <v>28</v>
      </c>
    </row>
    <row r="236" spans="2:5" ht="18" customHeight="1" x14ac:dyDescent="0.25">
      <c r="B236" s="44">
        <v>44430.501388888886</v>
      </c>
      <c r="C236" s="44">
        <f>Tableau_Données_Lune[[#This Row],[Jour et heure (UTC)*]]-7/24</f>
        <v>44430.209722222222</v>
      </c>
      <c r="D236" s="46">
        <f>INT(Tableau_Données_Lune[[#This Row],[Heure ajustée1]])</f>
        <v>44430</v>
      </c>
      <c r="E236" s="42" t="s">
        <v>29</v>
      </c>
    </row>
    <row r="237" spans="2:5" ht="18" customHeight="1" x14ac:dyDescent="0.25">
      <c r="B237" s="44">
        <v>44438.300694444442</v>
      </c>
      <c r="C237" s="44">
        <f>Tableau_Données_Lune[[#This Row],[Jour et heure (UTC)*]]-7/24</f>
        <v>44438.009027777778</v>
      </c>
      <c r="D237" s="46">
        <f>INT(Tableau_Données_Lune[[#This Row],[Heure ajustée1]])</f>
        <v>44438</v>
      </c>
      <c r="E237" s="42" t="s">
        <v>30</v>
      </c>
    </row>
    <row r="238" spans="2:5" ht="18" customHeight="1" x14ac:dyDescent="0.25">
      <c r="B238" s="44">
        <v>44446.036111111112</v>
      </c>
      <c r="C238" s="44">
        <f>Tableau_Données_Lune[[#This Row],[Jour et heure (UTC)*]]-7/24</f>
        <v>44445.744444444448</v>
      </c>
      <c r="D238" s="46">
        <f>INT(Tableau_Données_Lune[[#This Row],[Heure ajustée1]])</f>
        <v>44445</v>
      </c>
      <c r="E238" s="42" t="s">
        <v>31</v>
      </c>
    </row>
    <row r="239" spans="2:5" ht="18" customHeight="1" x14ac:dyDescent="0.25">
      <c r="B239" s="44">
        <v>44452.86041666667</v>
      </c>
      <c r="C239" s="44">
        <f>Tableau_Données_Lune[[#This Row],[Jour et heure (UTC)*]]-7/24</f>
        <v>44452.568750000006</v>
      </c>
      <c r="D239" s="46">
        <f>INT(Tableau_Données_Lune[[#This Row],[Heure ajustée1]])</f>
        <v>44452</v>
      </c>
      <c r="E239" s="42" t="s">
        <v>28</v>
      </c>
    </row>
    <row r="240" spans="2:5" ht="18" customHeight="1" x14ac:dyDescent="0.25">
      <c r="B240" s="44">
        <v>44459.996527777781</v>
      </c>
      <c r="C240" s="44">
        <f>Tableau_Données_Lune[[#This Row],[Jour et heure (UTC)*]]-7/24</f>
        <v>44459.704861111117</v>
      </c>
      <c r="D240" s="46">
        <f>INT(Tableau_Données_Lune[[#This Row],[Heure ajustée1]])</f>
        <v>44459</v>
      </c>
      <c r="E240" s="42" t="s">
        <v>29</v>
      </c>
    </row>
    <row r="241" spans="2:5" ht="18" customHeight="1" x14ac:dyDescent="0.25">
      <c r="B241" s="44">
        <v>44468.081250000003</v>
      </c>
      <c r="C241" s="44">
        <f>Tableau_Données_Lune[[#This Row],[Jour et heure (UTC)*]]-7/24</f>
        <v>44467.789583333339</v>
      </c>
      <c r="D241" s="46">
        <f>INT(Tableau_Données_Lune[[#This Row],[Heure ajustée1]])</f>
        <v>44467</v>
      </c>
      <c r="E241" s="42" t="s">
        <v>30</v>
      </c>
    </row>
    <row r="242" spans="2:5" ht="18" customHeight="1" x14ac:dyDescent="0.25">
      <c r="B242" s="44">
        <v>44475.461805555555</v>
      </c>
      <c r="C242" s="44">
        <f>Tableau_Données_Lune[[#This Row],[Jour et heure (UTC)*]]-7/24</f>
        <v>44475.170138888891</v>
      </c>
      <c r="D242" s="46">
        <f>INT(Tableau_Données_Lune[[#This Row],[Heure ajustée1]])</f>
        <v>44475</v>
      </c>
      <c r="E242" s="42" t="s">
        <v>31</v>
      </c>
    </row>
    <row r="243" spans="2:5" ht="18" customHeight="1" x14ac:dyDescent="0.25">
      <c r="B243" s="44">
        <v>44482.142361111109</v>
      </c>
      <c r="C243" s="44">
        <f>Tableau_Données_Lune[[#This Row],[Jour et heure (UTC)*]]-7/24</f>
        <v>44481.850694444445</v>
      </c>
      <c r="D243" s="46">
        <f>INT(Tableau_Données_Lune[[#This Row],[Heure ajustée1]])</f>
        <v>44481</v>
      </c>
      <c r="E243" s="42" t="s">
        <v>28</v>
      </c>
    </row>
    <row r="244" spans="2:5" ht="18" customHeight="1" x14ac:dyDescent="0.25">
      <c r="B244" s="44">
        <v>44489.622916666667</v>
      </c>
      <c r="C244" s="44">
        <f>Tableau_Données_Lune[[#This Row],[Jour et heure (UTC)*]]-7/24</f>
        <v>44489.331250000003</v>
      </c>
      <c r="D244" s="46">
        <f>INT(Tableau_Données_Lune[[#This Row],[Heure ajustée1]])</f>
        <v>44489</v>
      </c>
      <c r="E244" s="42" t="s">
        <v>29</v>
      </c>
    </row>
    <row r="245" spans="2:5" ht="18" customHeight="1" x14ac:dyDescent="0.25">
      <c r="B245" s="44">
        <v>44497.836805555555</v>
      </c>
      <c r="C245" s="44">
        <f>Tableau_Données_Lune[[#This Row],[Jour et heure (UTC)*]]-7/24</f>
        <v>44497.545138888891</v>
      </c>
      <c r="D245" s="46">
        <f>INT(Tableau_Données_Lune[[#This Row],[Heure ajustée1]])</f>
        <v>44497</v>
      </c>
      <c r="E245" s="42" t="s">
        <v>30</v>
      </c>
    </row>
    <row r="246" spans="2:5" ht="18" customHeight="1" x14ac:dyDescent="0.25">
      <c r="B246" s="44">
        <v>44504.884722222225</v>
      </c>
      <c r="C246" s="44">
        <f>Tableau_Données_Lune[[#This Row],[Jour et heure (UTC)*]]-7/24</f>
        <v>44504.593055555561</v>
      </c>
      <c r="D246" s="46">
        <f>INT(Tableau_Données_Lune[[#This Row],[Heure ajustée1]])</f>
        <v>44504</v>
      </c>
      <c r="E246" s="42" t="s">
        <v>31</v>
      </c>
    </row>
    <row r="247" spans="2:5" ht="18" customHeight="1" x14ac:dyDescent="0.25">
      <c r="B247" s="44">
        <v>44511.531944444447</v>
      </c>
      <c r="C247" s="44">
        <f>Tableau_Données_Lune[[#This Row],[Jour et heure (UTC)*]]-7/24</f>
        <v>44511.240277777782</v>
      </c>
      <c r="D247" s="46">
        <f>INT(Tableau_Données_Lune[[#This Row],[Heure ajustée1]])</f>
        <v>44511</v>
      </c>
      <c r="E247" s="42" t="s">
        <v>28</v>
      </c>
    </row>
    <row r="248" spans="2:5" ht="18" customHeight="1" x14ac:dyDescent="0.25">
      <c r="B248" s="44">
        <v>44519.372916666667</v>
      </c>
      <c r="C248" s="44">
        <f>Tableau_Données_Lune[[#This Row],[Jour et heure (UTC)*]]-7/24</f>
        <v>44519.081250000003</v>
      </c>
      <c r="D248" s="46">
        <f>INT(Tableau_Données_Lune[[#This Row],[Heure ajustée1]])</f>
        <v>44519</v>
      </c>
      <c r="E248" s="42" t="s">
        <v>29</v>
      </c>
    </row>
    <row r="249" spans="2:5" ht="18" customHeight="1" x14ac:dyDescent="0.25">
      <c r="B249" s="44">
        <v>44527.519444444442</v>
      </c>
      <c r="C249" s="44">
        <f>Tableau_Données_Lune[[#This Row],[Jour et heure (UTC)*]]-7/24</f>
        <v>44527.227777777778</v>
      </c>
      <c r="D249" s="46">
        <f>INT(Tableau_Données_Lune[[#This Row],[Heure ajustée1]])</f>
        <v>44527</v>
      </c>
      <c r="E249" s="42" t="s">
        <v>30</v>
      </c>
    </row>
    <row r="250" spans="2:5" ht="18" customHeight="1" x14ac:dyDescent="0.25">
      <c r="B250" s="44">
        <v>44534.321527777778</v>
      </c>
      <c r="C250" s="44">
        <f>Tableau_Données_Lune[[#This Row],[Jour et heure (UTC)*]]-7/24</f>
        <v>44534.029861111114</v>
      </c>
      <c r="D250" s="46">
        <f>INT(Tableau_Données_Lune[[#This Row],[Heure ajustée1]])</f>
        <v>44534</v>
      </c>
      <c r="E250" s="42" t="s">
        <v>31</v>
      </c>
    </row>
    <row r="251" spans="2:5" ht="18" customHeight="1" x14ac:dyDescent="0.25">
      <c r="B251" s="44">
        <v>44541.065972222219</v>
      </c>
      <c r="C251" s="44">
        <f>Tableau_Données_Lune[[#This Row],[Jour et heure (UTC)*]]-7/24</f>
        <v>44540.774305555555</v>
      </c>
      <c r="D251" s="46">
        <f>INT(Tableau_Données_Lune[[#This Row],[Heure ajustée1]])</f>
        <v>44540</v>
      </c>
      <c r="E251" s="42" t="s">
        <v>28</v>
      </c>
    </row>
    <row r="252" spans="2:5" ht="18" customHeight="1" x14ac:dyDescent="0.25">
      <c r="B252" s="44">
        <v>44549.190972222219</v>
      </c>
      <c r="C252" s="44">
        <f>Tableau_Données_Lune[[#This Row],[Jour et heure (UTC)*]]-7/24</f>
        <v>44548.899305555555</v>
      </c>
      <c r="D252" s="46">
        <f>INT(Tableau_Données_Lune[[#This Row],[Heure ajustée1]])</f>
        <v>44548</v>
      </c>
      <c r="E252" s="42" t="s">
        <v>29</v>
      </c>
    </row>
    <row r="253" spans="2:5" ht="18" customHeight="1" x14ac:dyDescent="0.25">
      <c r="B253" s="44">
        <v>44557.1</v>
      </c>
      <c r="C253" s="44">
        <f>Tableau_Données_Lune[[#This Row],[Jour et heure (UTC)*]]-7/24</f>
        <v>44556.808333333334</v>
      </c>
      <c r="D253" s="46">
        <f>INT(Tableau_Données_Lune[[#This Row],[Heure ajustée1]])</f>
        <v>44556</v>
      </c>
      <c r="E253" s="42" t="s">
        <v>30</v>
      </c>
    </row>
    <row r="254" spans="2:5" ht="18" customHeight="1" x14ac:dyDescent="0.25">
      <c r="B254" s="44">
        <v>44563.772916666669</v>
      </c>
      <c r="C254" s="44">
        <f>Tableau_Données_Lune[[#This Row],[Jour et heure (UTC)*]]-7/24</f>
        <v>44563.481250000004</v>
      </c>
      <c r="D254" s="46">
        <f>INT(Tableau_Données_Lune[[#This Row],[Heure ajustée1]])</f>
        <v>44563</v>
      </c>
      <c r="E254" s="42" t="s">
        <v>31</v>
      </c>
    </row>
    <row r="255" spans="2:5" ht="18" customHeight="1" x14ac:dyDescent="0.25">
      <c r="B255" s="44">
        <v>44570.757638888892</v>
      </c>
      <c r="C255" s="44">
        <f>Tableau_Données_Lune[[#This Row],[Jour et heure (UTC)*]]-7/24</f>
        <v>44570.465972222228</v>
      </c>
      <c r="D255" s="46">
        <f>INT(Tableau_Données_Lune[[#This Row],[Heure ajustée1]])</f>
        <v>44570</v>
      </c>
      <c r="E255" s="42" t="s">
        <v>28</v>
      </c>
    </row>
    <row r="256" spans="2:5" ht="18" customHeight="1" x14ac:dyDescent="0.25">
      <c r="B256" s="44">
        <v>44578.991666666669</v>
      </c>
      <c r="C256" s="44">
        <f>Tableau_Données_Lune[[#This Row],[Jour et heure (UTC)*]]-7/24</f>
        <v>44578.700000000004</v>
      </c>
      <c r="D256" s="46">
        <f>INT(Tableau_Données_Lune[[#This Row],[Heure ajustée1]])</f>
        <v>44578</v>
      </c>
      <c r="E256" s="42" t="s">
        <v>29</v>
      </c>
    </row>
    <row r="257" spans="2:5" ht="18" customHeight="1" x14ac:dyDescent="0.25">
      <c r="B257" s="44">
        <v>44586.570138888892</v>
      </c>
      <c r="C257" s="44">
        <f>Tableau_Données_Lune[[#This Row],[Jour et heure (UTC)*]]-7/24</f>
        <v>44586.278472222228</v>
      </c>
      <c r="D257" s="46">
        <f>INT(Tableau_Données_Lune[[#This Row],[Heure ajustée1]])</f>
        <v>44586</v>
      </c>
      <c r="E257" s="42" t="s">
        <v>30</v>
      </c>
    </row>
    <row r="258" spans="2:5" ht="18" customHeight="1" x14ac:dyDescent="0.25">
      <c r="B258" s="44">
        <v>44593.240277777775</v>
      </c>
      <c r="C258" s="44">
        <f>Tableau_Données_Lune[[#This Row],[Jour et heure (UTC)*]]-7/24</f>
        <v>44592.948611111111</v>
      </c>
      <c r="D258" s="46">
        <f>INT(Tableau_Données_Lune[[#This Row],[Heure ajustée1]])</f>
        <v>44592</v>
      </c>
      <c r="E258" s="42" t="s">
        <v>31</v>
      </c>
    </row>
    <row r="259" spans="2:5" ht="18" customHeight="1" x14ac:dyDescent="0.25">
      <c r="B259" s="44">
        <v>44600.576388888891</v>
      </c>
      <c r="C259" s="44">
        <f>Tableau_Données_Lune[[#This Row],[Jour et heure (UTC)*]]-7/24</f>
        <v>44600.284722222226</v>
      </c>
      <c r="D259" s="46">
        <f>INT(Tableau_Données_Lune[[#This Row],[Heure ajustée1]])</f>
        <v>44600</v>
      </c>
      <c r="E259" s="42" t="s">
        <v>28</v>
      </c>
    </row>
    <row r="260" spans="2:5" ht="18" customHeight="1" x14ac:dyDescent="0.25">
      <c r="B260" s="44">
        <v>44608.705555555556</v>
      </c>
      <c r="C260" s="44">
        <f>Tableau_Données_Lune[[#This Row],[Jour et heure (UTC)*]]-7/24</f>
        <v>44608.413888888892</v>
      </c>
      <c r="D260" s="46">
        <f>INT(Tableau_Données_Lune[[#This Row],[Heure ajustée1]])</f>
        <v>44608</v>
      </c>
      <c r="E260" s="42" t="s">
        <v>29</v>
      </c>
    </row>
    <row r="261" spans="2:5" ht="18" customHeight="1" x14ac:dyDescent="0.25">
      <c r="B261" s="44">
        <v>44615.938888888886</v>
      </c>
      <c r="C261" s="44">
        <f>Tableau_Données_Lune[[#This Row],[Jour et heure (UTC)*]]-7/24</f>
        <v>44615.647222222222</v>
      </c>
      <c r="D261" s="46">
        <f>INT(Tableau_Données_Lune[[#This Row],[Heure ajustée1]])</f>
        <v>44615</v>
      </c>
      <c r="E261" s="42" t="s">
        <v>30</v>
      </c>
    </row>
    <row r="262" spans="2:5" ht="18" customHeight="1" x14ac:dyDescent="0.25">
      <c r="B262" s="44">
        <v>44622.732638888891</v>
      </c>
      <c r="C262" s="44">
        <f>Tableau_Données_Lune[[#This Row],[Jour et heure (UTC)*]]-7/24</f>
        <v>44622.440972222226</v>
      </c>
      <c r="D262" s="46">
        <f>INT(Tableau_Données_Lune[[#This Row],[Heure ajustée1]])</f>
        <v>44622</v>
      </c>
      <c r="E262" s="42" t="s">
        <v>31</v>
      </c>
    </row>
    <row r="263" spans="2:5" ht="18" customHeight="1" x14ac:dyDescent="0.25">
      <c r="B263" s="44">
        <v>44630.447916666664</v>
      </c>
      <c r="C263" s="44">
        <f>Tableau_Données_Lune[[#This Row],[Jour et heure (UTC)*]]-7/24</f>
        <v>44630.15625</v>
      </c>
      <c r="D263" s="46">
        <f>INT(Tableau_Données_Lune[[#This Row],[Heure ajustée1]])</f>
        <v>44630</v>
      </c>
      <c r="E263" s="42" t="s">
        <v>28</v>
      </c>
    </row>
    <row r="264" spans="2:5" ht="18" customHeight="1" x14ac:dyDescent="0.25">
      <c r="B264" s="44">
        <v>44638.303472222222</v>
      </c>
      <c r="C264" s="44">
        <f>Tableau_Données_Lune[[#This Row],[Jour et heure (UTC)*]]-7/24</f>
        <v>44638.011805555558</v>
      </c>
      <c r="D264" s="46">
        <f>INT(Tableau_Données_Lune[[#This Row],[Heure ajustée1]])</f>
        <v>44638</v>
      </c>
      <c r="E264" s="42" t="s">
        <v>29</v>
      </c>
    </row>
    <row r="265" spans="2:5" ht="18" customHeight="1" x14ac:dyDescent="0.25">
      <c r="B265" s="44">
        <v>44645.234027777777</v>
      </c>
      <c r="C265" s="44">
        <f>Tableau_Données_Lune[[#This Row],[Jour et heure (UTC)*]]-7/24</f>
        <v>44644.942361111112</v>
      </c>
      <c r="D265" s="46">
        <f>INT(Tableau_Données_Lune[[#This Row],[Heure ajustée1]])</f>
        <v>44644</v>
      </c>
      <c r="E265" s="42" t="s">
        <v>30</v>
      </c>
    </row>
    <row r="266" spans="2:5" ht="18" customHeight="1" x14ac:dyDescent="0.25">
      <c r="B266" s="44">
        <v>44652.26666666667</v>
      </c>
      <c r="C266" s="44">
        <f>Tableau_Données_Lune[[#This Row],[Jour et heure (UTC)*]]-7/24</f>
        <v>44651.975000000006</v>
      </c>
      <c r="D266" s="46">
        <f>INT(Tableau_Données_Lune[[#This Row],[Heure ajustée1]])</f>
        <v>44651</v>
      </c>
      <c r="E266" s="42" t="s">
        <v>31</v>
      </c>
    </row>
    <row r="267" spans="2:5" ht="18" customHeight="1" x14ac:dyDescent="0.25">
      <c r="B267" s="44">
        <v>44660.283333333333</v>
      </c>
      <c r="C267" s="44">
        <f>Tableau_Données_Lune[[#This Row],[Jour et heure (UTC)*]]-7/24</f>
        <v>44659.991666666669</v>
      </c>
      <c r="D267" s="46">
        <f>INT(Tableau_Données_Lune[[#This Row],[Heure ajustée1]])</f>
        <v>44659</v>
      </c>
      <c r="E267" s="42" t="s">
        <v>28</v>
      </c>
    </row>
    <row r="268" spans="2:5" ht="18" customHeight="1" x14ac:dyDescent="0.25">
      <c r="B268" s="44">
        <v>44667.788194444445</v>
      </c>
      <c r="C268" s="44">
        <f>Tableau_Données_Lune[[#This Row],[Jour et heure (UTC)*]]-7/24</f>
        <v>44667.496527777781</v>
      </c>
      <c r="D268" s="46">
        <f>INT(Tableau_Données_Lune[[#This Row],[Heure ajustée1]])</f>
        <v>44667</v>
      </c>
      <c r="E268" s="42" t="s">
        <v>29</v>
      </c>
    </row>
    <row r="269" spans="2:5" ht="18" customHeight="1" x14ac:dyDescent="0.25">
      <c r="B269" s="44">
        <v>44674.49722222222</v>
      </c>
      <c r="C269" s="44">
        <f>Tableau_Données_Lune[[#This Row],[Jour et heure (UTC)*]]-7/24</f>
        <v>44674.205555555556</v>
      </c>
      <c r="D269" s="46">
        <f>INT(Tableau_Données_Lune[[#This Row],[Heure ajustée1]])</f>
        <v>44674</v>
      </c>
      <c r="E269" s="42" t="s">
        <v>30</v>
      </c>
    </row>
    <row r="270" spans="2:5" ht="18" customHeight="1" x14ac:dyDescent="0.25">
      <c r="B270" s="44">
        <v>44681.852777777778</v>
      </c>
      <c r="C270" s="44">
        <f>Tableau_Données_Lune[[#This Row],[Jour et heure (UTC)*]]-7/24</f>
        <v>44681.561111111114</v>
      </c>
      <c r="D270" s="46">
        <f>INT(Tableau_Données_Lune[[#This Row],[Heure ajustée1]])</f>
        <v>44681</v>
      </c>
      <c r="E270" s="42" t="s">
        <v>31</v>
      </c>
    </row>
    <row r="271" spans="2:5" ht="18" customHeight="1" x14ac:dyDescent="0.25">
      <c r="B271" s="44">
        <v>44690.01458333333</v>
      </c>
      <c r="C271" s="44">
        <f>Tableau_Données_Lune[[#This Row],[Jour et heure (UTC)*]]-7/24</f>
        <v>44689.722916666666</v>
      </c>
      <c r="D271" s="46">
        <f>INT(Tableau_Données_Lune[[#This Row],[Heure ajustée1]])</f>
        <v>44689</v>
      </c>
      <c r="E271" s="42" t="s">
        <v>28</v>
      </c>
    </row>
    <row r="272" spans="2:5" ht="18" customHeight="1" x14ac:dyDescent="0.25">
      <c r="B272" s="44">
        <v>44697.176388888889</v>
      </c>
      <c r="C272" s="44">
        <f>Tableau_Données_Lune[[#This Row],[Jour et heure (UTC)*]]-7/24</f>
        <v>44696.884722222225</v>
      </c>
      <c r="D272" s="46">
        <f>INT(Tableau_Données_Lune[[#This Row],[Heure ajustée1]])</f>
        <v>44696</v>
      </c>
      <c r="E272" s="42" t="s">
        <v>29</v>
      </c>
    </row>
    <row r="273" spans="2:5" ht="18" customHeight="1" x14ac:dyDescent="0.25">
      <c r="B273" s="44">
        <v>44703.779861111114</v>
      </c>
      <c r="C273" s="44">
        <f>Tableau_Données_Lune[[#This Row],[Jour et heure (UTC)*]]-7/24</f>
        <v>44703.48819444445</v>
      </c>
      <c r="D273" s="46">
        <f>INT(Tableau_Données_Lune[[#This Row],[Heure ajustée1]])</f>
        <v>44703</v>
      </c>
      <c r="E273" s="42" t="s">
        <v>30</v>
      </c>
    </row>
    <row r="274" spans="2:5" ht="18" customHeight="1" x14ac:dyDescent="0.25">
      <c r="B274" s="44">
        <v>44711.479166666664</v>
      </c>
      <c r="C274" s="44">
        <f>Tableau_Données_Lune[[#This Row],[Jour et heure (UTC)*]]-7/24</f>
        <v>44711.1875</v>
      </c>
      <c r="D274" s="46">
        <f>INT(Tableau_Données_Lune[[#This Row],[Heure ajustée1]])</f>
        <v>44711</v>
      </c>
      <c r="E274" s="42" t="s">
        <v>31</v>
      </c>
    </row>
    <row r="275" spans="2:5" ht="18" customHeight="1" x14ac:dyDescent="0.25">
      <c r="B275" s="44">
        <v>44719.616666666669</v>
      </c>
      <c r="C275" s="44">
        <f>Tableau_Données_Lune[[#This Row],[Jour et heure (UTC)*]]-7/24</f>
        <v>44719.325000000004</v>
      </c>
      <c r="D275" s="46">
        <f>INT(Tableau_Données_Lune[[#This Row],[Heure ajustée1]])</f>
        <v>44719</v>
      </c>
      <c r="E275" s="42" t="s">
        <v>28</v>
      </c>
    </row>
    <row r="276" spans="2:5" ht="18" customHeight="1" x14ac:dyDescent="0.25">
      <c r="B276" s="44">
        <v>44726.494444444441</v>
      </c>
      <c r="C276" s="44">
        <f>Tableau_Données_Lune[[#This Row],[Jour et heure (UTC)*]]-7/24</f>
        <v>44726.202777777777</v>
      </c>
      <c r="D276" s="46">
        <f>INT(Tableau_Données_Lune[[#This Row],[Heure ajustée1]])</f>
        <v>44726</v>
      </c>
      <c r="E276" s="42" t="s">
        <v>29</v>
      </c>
    </row>
    <row r="277" spans="2:5" ht="18" customHeight="1" x14ac:dyDescent="0.25">
      <c r="B277" s="44">
        <v>44733.132638888892</v>
      </c>
      <c r="C277" s="44">
        <f>Tableau_Données_Lune[[#This Row],[Jour et heure (UTC)*]]-7/24</f>
        <v>44732.840972222228</v>
      </c>
      <c r="D277" s="46">
        <f>INT(Tableau_Données_Lune[[#This Row],[Heure ajustée1]])</f>
        <v>44732</v>
      </c>
      <c r="E277" s="42" t="s">
        <v>30</v>
      </c>
    </row>
    <row r="278" spans="2:5" ht="18" customHeight="1" x14ac:dyDescent="0.25">
      <c r="B278" s="44">
        <v>44741.119444444441</v>
      </c>
      <c r="C278" s="44">
        <f>Tableau_Données_Lune[[#This Row],[Jour et heure (UTC)*]]-7/24</f>
        <v>44740.827777777777</v>
      </c>
      <c r="D278" s="46">
        <f>INT(Tableau_Données_Lune[[#This Row],[Heure ajustée1]])</f>
        <v>44740</v>
      </c>
      <c r="E278" s="42" t="s">
        <v>31</v>
      </c>
    </row>
    <row r="279" spans="2:5" ht="18" customHeight="1" x14ac:dyDescent="0.25">
      <c r="B279" s="44">
        <v>44749.093055555553</v>
      </c>
      <c r="C279" s="44">
        <f>Tableau_Données_Lune[[#This Row],[Jour et heure (UTC)*]]-7/24</f>
        <v>44748.801388888889</v>
      </c>
      <c r="D279" s="46">
        <f>INT(Tableau_Données_Lune[[#This Row],[Heure ajustée1]])</f>
        <v>44748</v>
      </c>
      <c r="E279" s="42" t="s">
        <v>28</v>
      </c>
    </row>
    <row r="280" spans="2:5" ht="18" customHeight="1" x14ac:dyDescent="0.25">
      <c r="B280" s="44">
        <v>44755.776388888888</v>
      </c>
      <c r="C280" s="44">
        <f>Tableau_Données_Lune[[#This Row],[Jour et heure (UTC)*]]-7/24</f>
        <v>44755.484722222223</v>
      </c>
      <c r="D280" s="46">
        <f>INT(Tableau_Données_Lune[[#This Row],[Heure ajustée1]])</f>
        <v>44755</v>
      </c>
      <c r="E280" s="42" t="s">
        <v>29</v>
      </c>
    </row>
    <row r="281" spans="2:5" ht="18" customHeight="1" x14ac:dyDescent="0.25">
      <c r="B281" s="44">
        <v>44762.59652777778</v>
      </c>
      <c r="C281" s="44">
        <f>Tableau_Données_Lune[[#This Row],[Jour et heure (UTC)*]]-7/24</f>
        <v>44762.304861111115</v>
      </c>
      <c r="D281" s="46">
        <f>INT(Tableau_Données_Lune[[#This Row],[Heure ajustée1]])</f>
        <v>44762</v>
      </c>
      <c r="E281" s="42" t="s">
        <v>30</v>
      </c>
    </row>
    <row r="282" spans="2:5" ht="18" customHeight="1" x14ac:dyDescent="0.25">
      <c r="B282" s="44">
        <v>44770.746527777781</v>
      </c>
      <c r="C282" s="44">
        <f>Tableau_Données_Lune[[#This Row],[Jour et heure (UTC)*]]-7/24</f>
        <v>44770.454861111117</v>
      </c>
      <c r="D282" s="46">
        <f>INT(Tableau_Données_Lune[[#This Row],[Heure ajustée1]])</f>
        <v>44770</v>
      </c>
      <c r="E282" s="42" t="s">
        <v>31</v>
      </c>
    </row>
    <row r="283" spans="2:5" ht="18" customHeight="1" x14ac:dyDescent="0.25">
      <c r="B283" s="44">
        <v>44778.462500000001</v>
      </c>
      <c r="C283" s="44">
        <f>Tableau_Données_Lune[[#This Row],[Jour et heure (UTC)*]]-7/24</f>
        <v>44778.170833333337</v>
      </c>
      <c r="D283" s="46">
        <f>INT(Tableau_Données_Lune[[#This Row],[Heure ajustée1]])</f>
        <v>44778</v>
      </c>
      <c r="E283" s="42" t="s">
        <v>28</v>
      </c>
    </row>
    <row r="284" spans="2:5" ht="18" customHeight="1" x14ac:dyDescent="0.25">
      <c r="B284" s="44">
        <v>44785.066666666666</v>
      </c>
      <c r="C284" s="44">
        <f>Tableau_Données_Lune[[#This Row],[Jour et heure (UTC)*]]-7/24</f>
        <v>44784.775000000001</v>
      </c>
      <c r="D284" s="46">
        <f>INT(Tableau_Données_Lune[[#This Row],[Heure ajustée1]])</f>
        <v>44784</v>
      </c>
      <c r="E284" s="42" t="s">
        <v>29</v>
      </c>
    </row>
    <row r="285" spans="2:5" ht="18" customHeight="1" x14ac:dyDescent="0.25">
      <c r="B285" s="44">
        <v>44792.191666666666</v>
      </c>
      <c r="C285" s="44">
        <f>Tableau_Données_Lune[[#This Row],[Jour et heure (UTC)*]]-7/24</f>
        <v>44791.9</v>
      </c>
      <c r="D285" s="46">
        <f>INT(Tableau_Données_Lune[[#This Row],[Heure ajustée1]])</f>
        <v>44791</v>
      </c>
      <c r="E285" s="42" t="s">
        <v>30</v>
      </c>
    </row>
    <row r="286" spans="2:5" ht="18" customHeight="1" x14ac:dyDescent="0.25">
      <c r="B286" s="44">
        <v>44800.345138888886</v>
      </c>
      <c r="C286" s="44">
        <f>Tableau_Données_Lune[[#This Row],[Jour et heure (UTC)*]]-7/24</f>
        <v>44800.053472222222</v>
      </c>
      <c r="D286" s="46">
        <f>INT(Tableau_Données_Lune[[#This Row],[Heure ajustée1]])</f>
        <v>44800</v>
      </c>
      <c r="E286" s="42" t="s">
        <v>31</v>
      </c>
    </row>
    <row r="287" spans="2:5" ht="18" customHeight="1" x14ac:dyDescent="0.25">
      <c r="B287" s="44">
        <v>44807.755555555559</v>
      </c>
      <c r="C287" s="44">
        <f>Tableau_Données_Lune[[#This Row],[Jour et heure (UTC)*]]-7/24</f>
        <v>44807.463888888895</v>
      </c>
      <c r="D287" s="46">
        <f>INT(Tableau_Données_Lune[[#This Row],[Heure ajustée1]])</f>
        <v>44807</v>
      </c>
      <c r="E287" s="42" t="s">
        <v>28</v>
      </c>
    </row>
    <row r="288" spans="2:5" ht="18" customHeight="1" x14ac:dyDescent="0.25">
      <c r="B288" s="44">
        <v>44814.415972222225</v>
      </c>
      <c r="C288" s="44">
        <f>Tableau_Données_Lune[[#This Row],[Jour et heure (UTC)*]]-7/24</f>
        <v>44814.124305555561</v>
      </c>
      <c r="D288" s="46">
        <f>INT(Tableau_Données_Lune[[#This Row],[Heure ajustée1]])</f>
        <v>44814</v>
      </c>
      <c r="E288" s="42" t="s">
        <v>29</v>
      </c>
    </row>
    <row r="289" spans="2:5" ht="18" customHeight="1" x14ac:dyDescent="0.25">
      <c r="B289" s="44">
        <v>44821.911111111112</v>
      </c>
      <c r="C289" s="44">
        <f>Tableau_Données_Lune[[#This Row],[Jour et heure (UTC)*]]-7/24</f>
        <v>44821.619444444448</v>
      </c>
      <c r="D289" s="46">
        <f>INT(Tableau_Données_Lune[[#This Row],[Heure ajustée1]])</f>
        <v>44821</v>
      </c>
      <c r="E289" s="42" t="s">
        <v>30</v>
      </c>
    </row>
    <row r="290" spans="2:5" ht="18" customHeight="1" x14ac:dyDescent="0.25">
      <c r="B290" s="44">
        <v>44829.912499999999</v>
      </c>
      <c r="C290" s="44">
        <f>Tableau_Données_Lune[[#This Row],[Jour et heure (UTC)*]]-7/24</f>
        <v>44829.620833333334</v>
      </c>
      <c r="D290" s="46">
        <f>INT(Tableau_Données_Lune[[#This Row],[Heure ajustée1]])</f>
        <v>44829</v>
      </c>
      <c r="E290" s="42" t="s">
        <v>31</v>
      </c>
    </row>
    <row r="291" spans="2:5" ht="18" customHeight="1" x14ac:dyDescent="0.25">
      <c r="B291" s="44">
        <v>44837.009722222225</v>
      </c>
      <c r="C291" s="44">
        <f>Tableau_Données_Lune[[#This Row],[Jour et heure (UTC)*]]-7/24</f>
        <v>44836.718055555561</v>
      </c>
      <c r="D291" s="46">
        <f>INT(Tableau_Données_Lune[[#This Row],[Heure ajustée1]])</f>
        <v>44836</v>
      </c>
      <c r="E291" s="42" t="s">
        <v>28</v>
      </c>
    </row>
    <row r="292" spans="2:5" ht="18" customHeight="1" x14ac:dyDescent="0.25">
      <c r="B292" s="44">
        <v>44843.871527777781</v>
      </c>
      <c r="C292" s="44">
        <f>Tableau_Données_Lune[[#This Row],[Jour et heure (UTC)*]]-7/24</f>
        <v>44843.579861111117</v>
      </c>
      <c r="D292" s="46">
        <f>INT(Tableau_Données_Lune[[#This Row],[Heure ajustée1]])</f>
        <v>44843</v>
      </c>
      <c r="E292" s="42" t="s">
        <v>29</v>
      </c>
    </row>
    <row r="293" spans="2:5" ht="18" customHeight="1" x14ac:dyDescent="0.25">
      <c r="B293" s="44">
        <v>44851.71875</v>
      </c>
      <c r="C293" s="44">
        <f>Tableau_Données_Lune[[#This Row],[Jour et heure (UTC)*]]-7/24</f>
        <v>44851.427083333336</v>
      </c>
      <c r="D293" s="46">
        <f>INT(Tableau_Données_Lune[[#This Row],[Heure ajustée1]])</f>
        <v>44851</v>
      </c>
      <c r="E293" s="42" t="s">
        <v>30</v>
      </c>
    </row>
    <row r="294" spans="2:5" ht="18" customHeight="1" x14ac:dyDescent="0.25">
      <c r="B294" s="44">
        <v>44859.450694444444</v>
      </c>
      <c r="C294" s="44">
        <f>Tableau_Données_Lune[[#This Row],[Jour et heure (UTC)*]]-7/24</f>
        <v>44859.15902777778</v>
      </c>
      <c r="D294" s="46">
        <f>INT(Tableau_Données_Lune[[#This Row],[Heure ajustée1]])</f>
        <v>44859</v>
      </c>
      <c r="E294" s="42" t="s">
        <v>31</v>
      </c>
    </row>
    <row r="295" spans="2:5" ht="18" customHeight="1" x14ac:dyDescent="0.25">
      <c r="B295" s="44">
        <v>44866.275694444441</v>
      </c>
      <c r="C295" s="44">
        <f>Tableau_Données_Lune[[#This Row],[Jour et heure (UTC)*]]-7/24</f>
        <v>44865.984027777777</v>
      </c>
      <c r="D295" s="46">
        <f>INT(Tableau_Données_Lune[[#This Row],[Heure ajustée1]])</f>
        <v>44865</v>
      </c>
      <c r="E295" s="42" t="s">
        <v>28</v>
      </c>
    </row>
    <row r="296" spans="2:5" ht="18" customHeight="1" x14ac:dyDescent="0.25">
      <c r="B296" s="44">
        <v>44873.459722222222</v>
      </c>
      <c r="C296" s="44">
        <f>Tableau_Données_Lune[[#This Row],[Jour et heure (UTC)*]]-7/24</f>
        <v>44873.168055555558</v>
      </c>
      <c r="D296" s="46">
        <f>INT(Tableau_Données_Lune[[#This Row],[Heure ajustée1]])</f>
        <v>44873</v>
      </c>
      <c r="E296" s="42" t="s">
        <v>29</v>
      </c>
    </row>
    <row r="297" spans="2:5" ht="18" customHeight="1" x14ac:dyDescent="0.25">
      <c r="B297" s="44">
        <v>44881.560416666667</v>
      </c>
      <c r="C297" s="44">
        <f>Tableau_Données_Lune[[#This Row],[Jour et heure (UTC)*]]-7/24</f>
        <v>44881.268750000003</v>
      </c>
      <c r="D297" s="46">
        <f>INT(Tableau_Données_Lune[[#This Row],[Heure ajustée1]])</f>
        <v>44881</v>
      </c>
      <c r="E297" s="42" t="s">
        <v>30</v>
      </c>
    </row>
    <row r="298" spans="2:5" ht="18" customHeight="1" x14ac:dyDescent="0.25">
      <c r="B298" s="44">
        <v>44888.956250000003</v>
      </c>
      <c r="C298" s="44">
        <f>Tableau_Données_Lune[[#This Row],[Jour et heure (UTC)*]]-7/24</f>
        <v>44888.664583333339</v>
      </c>
      <c r="D298" s="46">
        <f>INT(Tableau_Données_Lune[[#This Row],[Heure ajustée1]])</f>
        <v>44888</v>
      </c>
      <c r="E298" s="42" t="s">
        <v>31</v>
      </c>
    </row>
    <row r="299" spans="2:5" ht="18" customHeight="1" x14ac:dyDescent="0.25">
      <c r="B299" s="44">
        <v>44895.60833333333</v>
      </c>
      <c r="C299" s="44">
        <f>Tableau_Données_Lune[[#This Row],[Jour et heure (UTC)*]]-7/24</f>
        <v>44895.316666666666</v>
      </c>
      <c r="D299" s="46">
        <f>INT(Tableau_Données_Lune[[#This Row],[Heure ajustée1]])</f>
        <v>44895</v>
      </c>
      <c r="E299" s="42" t="s">
        <v>28</v>
      </c>
    </row>
    <row r="300" spans="2:5" ht="18" customHeight="1" x14ac:dyDescent="0.25">
      <c r="B300" s="44">
        <v>44903.172222222223</v>
      </c>
      <c r="C300" s="44">
        <f>Tableau_Données_Lune[[#This Row],[Jour et heure (UTC)*]]-7/24</f>
        <v>44902.880555555559</v>
      </c>
      <c r="D300" s="46">
        <f>INT(Tableau_Données_Lune[[#This Row],[Heure ajustée1]])</f>
        <v>44902</v>
      </c>
      <c r="E300" s="42" t="s">
        <v>29</v>
      </c>
    </row>
    <row r="301" spans="2:5" ht="18" customHeight="1" x14ac:dyDescent="0.25">
      <c r="B301" s="44">
        <v>44911.37222222222</v>
      </c>
      <c r="C301" s="44">
        <f>Tableau_Données_Lune[[#This Row],[Jour et heure (UTC)*]]-7/24</f>
        <v>44911.080555555556</v>
      </c>
      <c r="D301" s="46">
        <f>INT(Tableau_Données_Lune[[#This Row],[Heure ajustée1]])</f>
        <v>44911</v>
      </c>
      <c r="E301" s="42" t="s">
        <v>30</v>
      </c>
    </row>
    <row r="302" spans="2:5" ht="18" customHeight="1" x14ac:dyDescent="0.25">
      <c r="B302" s="44">
        <v>44918.428472222222</v>
      </c>
      <c r="C302" s="44">
        <f>Tableau_Données_Lune[[#This Row],[Jour et heure (UTC)*]]-7/24</f>
        <v>44918.136805555558</v>
      </c>
      <c r="D302" s="46">
        <f>INT(Tableau_Données_Lune[[#This Row],[Heure ajustée1]])</f>
        <v>44918</v>
      </c>
      <c r="E302" s="42" t="s">
        <v>31</v>
      </c>
    </row>
    <row r="303" spans="2:5" ht="18" customHeight="1" x14ac:dyDescent="0.25">
      <c r="B303" s="44">
        <v>44925.055555555555</v>
      </c>
      <c r="C303" s="44">
        <f>Tableau_Données_Lune[[#This Row],[Jour et heure (UTC)*]]-7/24</f>
        <v>44924.763888888891</v>
      </c>
      <c r="D303" s="46">
        <f>INT(Tableau_Données_Lune[[#This Row],[Heure ajustée1]])</f>
        <v>44924</v>
      </c>
      <c r="E303" s="42" t="s">
        <v>28</v>
      </c>
    </row>
    <row r="304" spans="2:5" ht="18" customHeight="1" x14ac:dyDescent="0.25">
      <c r="B304" s="44">
        <v>44932.963888888888</v>
      </c>
      <c r="C304" s="44">
        <f>Tableau_Données_Lune[[#This Row],[Jour et heure (UTC)*]]-7/24</f>
        <v>44932.672222222223</v>
      </c>
      <c r="D304" s="46">
        <f>INT(Tableau_Données_Lune[[#This Row],[Heure ajustée1]])</f>
        <v>44932</v>
      </c>
      <c r="E304" s="42" t="s">
        <v>29</v>
      </c>
    </row>
    <row r="305" spans="2:5" ht="18" customHeight="1" x14ac:dyDescent="0.25">
      <c r="B305" s="44">
        <v>44941.090277777781</v>
      </c>
      <c r="C305" s="44">
        <f>Tableau_Données_Lune[[#This Row],[Jour et heure (UTC)*]]-7/24</f>
        <v>44940.798611111117</v>
      </c>
      <c r="D305" s="46">
        <f>INT(Tableau_Données_Lune[[#This Row],[Heure ajustée1]])</f>
        <v>44940</v>
      </c>
      <c r="E305" s="42" t="s">
        <v>30</v>
      </c>
    </row>
    <row r="306" spans="2:5" ht="18" customHeight="1" x14ac:dyDescent="0.25">
      <c r="B306" s="44">
        <v>44947.870138888888</v>
      </c>
      <c r="C306" s="44">
        <f>Tableau_Données_Lune[[#This Row],[Jour et heure (UTC)*]]-7/24</f>
        <v>44947.578472222223</v>
      </c>
      <c r="D306" s="46">
        <f>INT(Tableau_Données_Lune[[#This Row],[Heure ajustée1]])</f>
        <v>44947</v>
      </c>
      <c r="E306" s="42" t="s">
        <v>31</v>
      </c>
    </row>
    <row r="307" spans="2:5" ht="18" customHeight="1" x14ac:dyDescent="0.25">
      <c r="B307" s="44">
        <v>44954.638194444444</v>
      </c>
      <c r="C307" s="44">
        <f>Tableau_Données_Lune[[#This Row],[Jour et heure (UTC)*]]-7/24</f>
        <v>44954.34652777778</v>
      </c>
      <c r="D307" s="46">
        <f>INT(Tableau_Données_Lune[[#This Row],[Heure ajustée1]])</f>
        <v>44954</v>
      </c>
      <c r="E307" s="42" t="s">
        <v>28</v>
      </c>
    </row>
    <row r="308" spans="2:5" ht="18" customHeight="1" x14ac:dyDescent="0.25">
      <c r="B308" s="44">
        <v>44962.769444444442</v>
      </c>
      <c r="C308" s="44">
        <f>Tableau_Données_Lune[[#This Row],[Jour et heure (UTC)*]]-7/24</f>
        <v>44962.477777777778</v>
      </c>
      <c r="D308" s="46">
        <f>INT(Tableau_Données_Lune[[#This Row],[Heure ajustée1]])</f>
        <v>44962</v>
      </c>
      <c r="E308" s="42" t="s">
        <v>29</v>
      </c>
    </row>
    <row r="309" spans="2:5" ht="18" customHeight="1" x14ac:dyDescent="0.25">
      <c r="B309" s="44">
        <v>44970.667361111111</v>
      </c>
      <c r="C309" s="44">
        <f>Tableau_Données_Lune[[#This Row],[Jour et heure (UTC)*]]-7/24</f>
        <v>44970.375694444447</v>
      </c>
      <c r="D309" s="46">
        <f>INT(Tableau_Données_Lune[[#This Row],[Heure ajustée1]])</f>
        <v>44970</v>
      </c>
      <c r="E309" s="42" t="s">
        <v>30</v>
      </c>
    </row>
    <row r="310" spans="2:5" ht="18" customHeight="1" x14ac:dyDescent="0.25">
      <c r="B310" s="44">
        <v>44977.29583333333</v>
      </c>
      <c r="C310" s="44">
        <f>Tableau_Données_Lune[[#This Row],[Jour et heure (UTC)*]]-7/24</f>
        <v>44977.004166666666</v>
      </c>
      <c r="D310" s="46">
        <f>INT(Tableau_Données_Lune[[#This Row],[Heure ajustée1]])</f>
        <v>44977</v>
      </c>
      <c r="E310" s="42" t="s">
        <v>31</v>
      </c>
    </row>
    <row r="311" spans="2:5" ht="18" customHeight="1" x14ac:dyDescent="0.25">
      <c r="B311" s="44">
        <v>44984.337500000001</v>
      </c>
      <c r="C311" s="44">
        <f>Tableau_Données_Lune[[#This Row],[Jour et heure (UTC)*]]-7/24</f>
        <v>44984.045833333337</v>
      </c>
      <c r="D311" s="46">
        <f>INT(Tableau_Données_Lune[[#This Row],[Heure ajustée1]])</f>
        <v>44984</v>
      </c>
      <c r="E311" s="42" t="s">
        <v>28</v>
      </c>
    </row>
    <row r="312" spans="2:5" ht="18" customHeight="1" x14ac:dyDescent="0.25">
      <c r="B312" s="44">
        <v>44992.527777777781</v>
      </c>
      <c r="C312" s="44">
        <f>Tableau_Données_Lune[[#This Row],[Jour et heure (UTC)*]]-7/24</f>
        <v>44992.236111111117</v>
      </c>
      <c r="D312" s="46">
        <f>INT(Tableau_Données_Lune[[#This Row],[Heure ajustée1]])</f>
        <v>44992</v>
      </c>
      <c r="E312" s="42" t="s">
        <v>29</v>
      </c>
    </row>
    <row r="313" spans="2:5" ht="18" customHeight="1" x14ac:dyDescent="0.25">
      <c r="B313" s="44">
        <v>45000.088888888888</v>
      </c>
      <c r="C313" s="44">
        <f>Tableau_Données_Lune[[#This Row],[Jour et heure (UTC)*]]-7/24</f>
        <v>44999.797222222223</v>
      </c>
      <c r="D313" s="46">
        <f>INT(Tableau_Données_Lune[[#This Row],[Heure ajustée1]])</f>
        <v>44999</v>
      </c>
      <c r="E313" s="42" t="s">
        <v>30</v>
      </c>
    </row>
    <row r="314" spans="2:5" ht="18" customHeight="1" x14ac:dyDescent="0.25">
      <c r="B314" s="44">
        <v>45006.724305555559</v>
      </c>
      <c r="C314" s="44">
        <f>Tableau_Données_Lune[[#This Row],[Jour et heure (UTC)*]]-7/24</f>
        <v>45006.432638888895</v>
      </c>
      <c r="D314" s="46">
        <f>INT(Tableau_Données_Lune[[#This Row],[Heure ajustée1]])</f>
        <v>45006</v>
      </c>
      <c r="E314" s="42" t="s">
        <v>31</v>
      </c>
    </row>
    <row r="315" spans="2:5" ht="18" customHeight="1" x14ac:dyDescent="0.25">
      <c r="B315" s="44">
        <v>45014.105555555558</v>
      </c>
      <c r="C315" s="44">
        <f>Tableau_Données_Lune[[#This Row],[Jour et heure (UTC)*]]-7/24</f>
        <v>45013.813888888893</v>
      </c>
      <c r="D315" s="46">
        <f>INT(Tableau_Données_Lune[[#This Row],[Heure ajustée1]])</f>
        <v>45013</v>
      </c>
      <c r="E315" s="42" t="s">
        <v>28</v>
      </c>
    </row>
    <row r="316" spans="2:5" ht="18" customHeight="1" x14ac:dyDescent="0.25">
      <c r="B316" s="44">
        <v>45022.19027777778</v>
      </c>
      <c r="C316" s="44">
        <f>Tableau_Données_Lune[[#This Row],[Jour et heure (UTC)*]]-7/24</f>
        <v>45021.898611111115</v>
      </c>
      <c r="D316" s="46">
        <f>INT(Tableau_Données_Lune[[#This Row],[Heure ajustée1]])</f>
        <v>45021</v>
      </c>
      <c r="E316" s="42" t="s">
        <v>29</v>
      </c>
    </row>
    <row r="317" spans="2:5" ht="18" customHeight="1" x14ac:dyDescent="0.25">
      <c r="B317" s="44">
        <v>45029.382638888892</v>
      </c>
      <c r="C317" s="44">
        <f>Tableau_Données_Lune[[#This Row],[Jour et heure (UTC)*]]-7/24</f>
        <v>45029.090972222228</v>
      </c>
      <c r="D317" s="46">
        <f>INT(Tableau_Données_Lune[[#This Row],[Heure ajustée1]])</f>
        <v>45029</v>
      </c>
      <c r="E317" s="42" t="s">
        <v>30</v>
      </c>
    </row>
    <row r="318" spans="2:5" ht="18" customHeight="1" x14ac:dyDescent="0.25">
      <c r="B318" s="44">
        <v>45036.175000000003</v>
      </c>
      <c r="C318" s="44">
        <f>Tableau_Données_Lune[[#This Row],[Jour et heure (UTC)*]]-7/24</f>
        <v>45035.883333333339</v>
      </c>
      <c r="D318" s="46">
        <f>INT(Tableau_Données_Lune[[#This Row],[Heure ajustée1]])</f>
        <v>45035</v>
      </c>
      <c r="E318" s="42" t="s">
        <v>31</v>
      </c>
    </row>
    <row r="319" spans="2:5" ht="18" customHeight="1" x14ac:dyDescent="0.25">
      <c r="B319" s="44">
        <v>45043.888888888891</v>
      </c>
      <c r="C319" s="44">
        <f>Tableau_Données_Lune[[#This Row],[Jour et heure (UTC)*]]-7/24</f>
        <v>45043.597222222226</v>
      </c>
      <c r="D319" s="46">
        <f>INT(Tableau_Données_Lune[[#This Row],[Heure ajustée1]])</f>
        <v>45043</v>
      </c>
      <c r="E319" s="42" t="s">
        <v>28</v>
      </c>
    </row>
    <row r="320" spans="2:5" ht="18" customHeight="1" x14ac:dyDescent="0.25">
      <c r="B320" s="44">
        <v>45051.731944444444</v>
      </c>
      <c r="C320" s="44">
        <f>Tableau_Données_Lune[[#This Row],[Jour et heure (UTC)*]]-7/24</f>
        <v>45051.44027777778</v>
      </c>
      <c r="D320" s="46">
        <f>INT(Tableau_Données_Lune[[#This Row],[Heure ajustée1]])</f>
        <v>45051</v>
      </c>
      <c r="E320" s="42" t="s">
        <v>29</v>
      </c>
    </row>
    <row r="321" spans="2:5" ht="18" customHeight="1" x14ac:dyDescent="0.25">
      <c r="B321" s="44">
        <v>45058.602777777778</v>
      </c>
      <c r="C321" s="44">
        <f>Tableau_Données_Lune[[#This Row],[Jour et heure (UTC)*]]-7/24</f>
        <v>45058.311111111114</v>
      </c>
      <c r="D321" s="46">
        <f>INT(Tableau_Données_Lune[[#This Row],[Heure ajustée1]])</f>
        <v>45058</v>
      </c>
      <c r="E321" s="42" t="s">
        <v>30</v>
      </c>
    </row>
    <row r="322" spans="2:5" ht="18" customHeight="1" x14ac:dyDescent="0.25">
      <c r="B322" s="44">
        <v>45065.661805555559</v>
      </c>
      <c r="C322" s="44">
        <f>Tableau_Données_Lune[[#This Row],[Jour et heure (UTC)*]]-7/24</f>
        <v>45065.370138888895</v>
      </c>
      <c r="D322" s="46">
        <f>INT(Tableau_Données_Lune[[#This Row],[Heure ajustée1]])</f>
        <v>45065</v>
      </c>
      <c r="E322" s="42" t="s">
        <v>31</v>
      </c>
    </row>
    <row r="323" spans="2:5" ht="18" customHeight="1" x14ac:dyDescent="0.25">
      <c r="B323" s="44">
        <v>45073.640277777777</v>
      </c>
      <c r="C323" s="44">
        <f>Tableau_Données_Lune[[#This Row],[Jour et heure (UTC)*]]-7/24</f>
        <v>45073.348611111112</v>
      </c>
      <c r="D323" s="46">
        <f>INT(Tableau_Données_Lune[[#This Row],[Heure ajustée1]])</f>
        <v>45073</v>
      </c>
      <c r="E323" s="42" t="s">
        <v>28</v>
      </c>
    </row>
    <row r="324" spans="2:5" ht="18" customHeight="1" x14ac:dyDescent="0.25">
      <c r="B324" s="44">
        <v>45081.154166666667</v>
      </c>
      <c r="C324" s="44">
        <f>Tableau_Données_Lune[[#This Row],[Jour et heure (UTC)*]]-7/24</f>
        <v>45080.862500000003</v>
      </c>
      <c r="D324" s="46">
        <f>INT(Tableau_Données_Lune[[#This Row],[Heure ajustée1]])</f>
        <v>45080</v>
      </c>
      <c r="E324" s="42" t="s">
        <v>29</v>
      </c>
    </row>
    <row r="325" spans="2:5" ht="18" customHeight="1" x14ac:dyDescent="0.25">
      <c r="B325" s="44">
        <v>45087.813194444447</v>
      </c>
      <c r="C325" s="44">
        <f>Tableau_Données_Lune[[#This Row],[Jour et heure (UTC)*]]-7/24</f>
        <v>45087.521527777782</v>
      </c>
      <c r="D325" s="46">
        <f>INT(Tableau_Données_Lune[[#This Row],[Heure ajustée1]])</f>
        <v>45087</v>
      </c>
      <c r="E325" s="42" t="s">
        <v>30</v>
      </c>
    </row>
    <row r="326" spans="2:5" ht="18" customHeight="1" x14ac:dyDescent="0.25">
      <c r="B326" s="44">
        <v>45095.192361111112</v>
      </c>
      <c r="C326" s="44">
        <f>Tableau_Données_Lune[[#This Row],[Jour et heure (UTC)*]]-7/24</f>
        <v>45094.900694444448</v>
      </c>
      <c r="D326" s="46">
        <f>INT(Tableau_Données_Lune[[#This Row],[Heure ajustée1]])</f>
        <v>45094</v>
      </c>
      <c r="E326" s="42" t="s">
        <v>31</v>
      </c>
    </row>
    <row r="327" spans="2:5" ht="18" customHeight="1" x14ac:dyDescent="0.25">
      <c r="B327" s="44">
        <v>45103.326388888891</v>
      </c>
      <c r="C327" s="44">
        <f>Tableau_Données_Lune[[#This Row],[Jour et heure (UTC)*]]-7/24</f>
        <v>45103.034722222226</v>
      </c>
      <c r="D327" s="46">
        <f>INT(Tableau_Données_Lune[[#This Row],[Heure ajustée1]])</f>
        <v>45103</v>
      </c>
      <c r="E327" s="42" t="s">
        <v>28</v>
      </c>
    </row>
    <row r="328" spans="2:5" ht="18" customHeight="1" x14ac:dyDescent="0.25">
      <c r="B328" s="44">
        <v>45110.48541666667</v>
      </c>
      <c r="C328" s="44">
        <f>Tableau_Données_Lune[[#This Row],[Jour et heure (UTC)*]]-7/24</f>
        <v>45110.193750000006</v>
      </c>
      <c r="D328" s="46">
        <f>INT(Tableau_Données_Lune[[#This Row],[Heure ajustée1]])</f>
        <v>45110</v>
      </c>
      <c r="E328" s="42" t="s">
        <v>29</v>
      </c>
    </row>
    <row r="329" spans="2:5" ht="18" customHeight="1" x14ac:dyDescent="0.25">
      <c r="B329" s="44">
        <v>45117.074999999997</v>
      </c>
      <c r="C329" s="44">
        <f>Tableau_Données_Lune[[#This Row],[Jour et heure (UTC)*]]-7/24</f>
        <v>45116.783333333333</v>
      </c>
      <c r="D329" s="46">
        <f>INT(Tableau_Données_Lune[[#This Row],[Heure ajustée1]])</f>
        <v>45116</v>
      </c>
      <c r="E329" s="42" t="s">
        <v>30</v>
      </c>
    </row>
    <row r="330" spans="2:5" ht="18" customHeight="1" x14ac:dyDescent="0.25">
      <c r="B330" s="44">
        <v>45124.772222222222</v>
      </c>
      <c r="C330" s="44">
        <f>Tableau_Données_Lune[[#This Row],[Jour et heure (UTC)*]]-7/24</f>
        <v>45124.480555555558</v>
      </c>
      <c r="D330" s="46">
        <f>INT(Tableau_Données_Lune[[#This Row],[Heure ajustée1]])</f>
        <v>45124</v>
      </c>
      <c r="E330" s="42" t="s">
        <v>31</v>
      </c>
    </row>
    <row r="331" spans="2:5" ht="18" customHeight="1" x14ac:dyDescent="0.25">
      <c r="B331" s="44">
        <v>45132.921527777777</v>
      </c>
      <c r="C331" s="44">
        <f>Tableau_Données_Lune[[#This Row],[Jour et heure (UTC)*]]-7/24</f>
        <v>45132.629861111112</v>
      </c>
      <c r="D331" s="46">
        <f>INT(Tableau_Données_Lune[[#This Row],[Heure ajustée1]])</f>
        <v>45132</v>
      </c>
      <c r="E331" s="42" t="s">
        <v>28</v>
      </c>
    </row>
    <row r="332" spans="2:5" ht="18" customHeight="1" x14ac:dyDescent="0.25">
      <c r="B332" s="44">
        <v>45139.772222222222</v>
      </c>
      <c r="C332" s="44">
        <f>Tableau_Données_Lune[[#This Row],[Jour et heure (UTC)*]]-7/24</f>
        <v>45139.480555555558</v>
      </c>
      <c r="D332" s="46">
        <f>INT(Tableau_Données_Lune[[#This Row],[Heure ajustée1]])</f>
        <v>45139</v>
      </c>
      <c r="E332" s="42" t="s">
        <v>29</v>
      </c>
    </row>
    <row r="333" spans="2:5" ht="18" customHeight="1" x14ac:dyDescent="0.25">
      <c r="B333" s="44">
        <v>45146.436111111114</v>
      </c>
      <c r="C333" s="44">
        <f>Tableau_Données_Lune[[#This Row],[Jour et heure (UTC)*]]-7/24</f>
        <v>45146.14444444445</v>
      </c>
      <c r="D333" s="46">
        <f>INT(Tableau_Données_Lune[[#This Row],[Heure ajustée1]])</f>
        <v>45146</v>
      </c>
      <c r="E333" s="42" t="s">
        <v>30</v>
      </c>
    </row>
    <row r="334" spans="2:5" ht="18" customHeight="1" x14ac:dyDescent="0.25">
      <c r="B334" s="44">
        <v>45154.401388888888</v>
      </c>
      <c r="C334" s="44">
        <f>Tableau_Données_Lune[[#This Row],[Jour et heure (UTC)*]]-7/24</f>
        <v>45154.109722222223</v>
      </c>
      <c r="D334" s="46">
        <f>INT(Tableau_Données_Lune[[#This Row],[Heure ajustée1]])</f>
        <v>45154</v>
      </c>
      <c r="E334" s="42" t="s">
        <v>31</v>
      </c>
    </row>
    <row r="335" spans="2:5" ht="18" customHeight="1" x14ac:dyDescent="0.25">
      <c r="B335" s="44">
        <v>45162.414583333331</v>
      </c>
      <c r="C335" s="44">
        <f>Tableau_Données_Lune[[#This Row],[Jour et heure (UTC)*]]-7/24</f>
        <v>45162.122916666667</v>
      </c>
      <c r="D335" s="46">
        <f>INT(Tableau_Données_Lune[[#This Row],[Heure ajustée1]])</f>
        <v>45162</v>
      </c>
      <c r="E335" s="42" t="s">
        <v>28</v>
      </c>
    </row>
    <row r="336" spans="2:5" ht="18" customHeight="1" x14ac:dyDescent="0.25">
      <c r="B336" s="44">
        <v>45169.065972222219</v>
      </c>
      <c r="C336" s="44">
        <f>Tableau_Données_Lune[[#This Row],[Jour et heure (UTC)*]]-7/24</f>
        <v>45168.774305555555</v>
      </c>
      <c r="D336" s="46">
        <f>INT(Tableau_Données_Lune[[#This Row],[Heure ajustée1]])</f>
        <v>45168</v>
      </c>
      <c r="E336" s="42" t="s">
        <v>29</v>
      </c>
    </row>
    <row r="337" spans="2:5" ht="18" customHeight="1" x14ac:dyDescent="0.25">
      <c r="B337" s="44">
        <v>45175.931250000001</v>
      </c>
      <c r="C337" s="44">
        <f>Tableau_Données_Lune[[#This Row],[Jour et heure (UTC)*]]-7/24</f>
        <v>45175.639583333337</v>
      </c>
      <c r="D337" s="46">
        <f>INT(Tableau_Données_Lune[[#This Row],[Heure ajustée1]])</f>
        <v>45175</v>
      </c>
      <c r="E337" s="42" t="s">
        <v>30</v>
      </c>
    </row>
    <row r="338" spans="2:5" ht="18" customHeight="1" x14ac:dyDescent="0.25">
      <c r="B338" s="44">
        <v>45184.069444444445</v>
      </c>
      <c r="C338" s="44">
        <f>Tableau_Données_Lune[[#This Row],[Jour et heure (UTC)*]]-7/24</f>
        <v>45183.777777777781</v>
      </c>
      <c r="D338" s="46">
        <f>INT(Tableau_Données_Lune[[#This Row],[Heure ajustée1]])</f>
        <v>45183</v>
      </c>
      <c r="E338" s="42" t="s">
        <v>31</v>
      </c>
    </row>
    <row r="339" spans="2:5" ht="18" customHeight="1" x14ac:dyDescent="0.25">
      <c r="B339" s="44">
        <v>45191.813888888886</v>
      </c>
      <c r="C339" s="44">
        <f>Tableau_Données_Lune[[#This Row],[Jour et heure (UTC)*]]-7/24</f>
        <v>45191.522222222222</v>
      </c>
      <c r="D339" s="46">
        <f>INT(Tableau_Données_Lune[[#This Row],[Heure ajustée1]])</f>
        <v>45191</v>
      </c>
      <c r="E339" s="42" t="s">
        <v>28</v>
      </c>
    </row>
    <row r="340" spans="2:5" ht="18" customHeight="1" x14ac:dyDescent="0.25">
      <c r="B340" s="44">
        <v>45198.414583333331</v>
      </c>
      <c r="C340" s="44">
        <f>Tableau_Données_Lune[[#This Row],[Jour et heure (UTC)*]]-7/24</f>
        <v>45198.122916666667</v>
      </c>
      <c r="D340" s="46">
        <f>INT(Tableau_Données_Lune[[#This Row],[Heure ajustée1]])</f>
        <v>45198</v>
      </c>
      <c r="E340" s="42" t="s">
        <v>29</v>
      </c>
    </row>
    <row r="341" spans="2:5" ht="18" customHeight="1" x14ac:dyDescent="0.25">
      <c r="B341" s="44">
        <v>45205.574999999997</v>
      </c>
      <c r="C341" s="44">
        <f>Tableau_Données_Lune[[#This Row],[Jour et heure (UTC)*]]-7/24</f>
        <v>45205.283333333333</v>
      </c>
      <c r="D341" s="46">
        <f>INT(Tableau_Données_Lune[[#This Row],[Heure ajustée1]])</f>
        <v>45205</v>
      </c>
      <c r="E341" s="42" t="s">
        <v>30</v>
      </c>
    </row>
    <row r="342" spans="2:5" ht="18" customHeight="1" x14ac:dyDescent="0.25">
      <c r="B342" s="44">
        <v>45213.746527777781</v>
      </c>
      <c r="C342" s="44">
        <f>Tableau_Données_Lune[[#This Row],[Jour et heure (UTC)*]]-7/24</f>
        <v>45213.454861111117</v>
      </c>
      <c r="D342" s="46">
        <f>INT(Tableau_Données_Lune[[#This Row],[Heure ajustée1]])</f>
        <v>45213</v>
      </c>
      <c r="E342" s="42" t="s">
        <v>31</v>
      </c>
    </row>
    <row r="343" spans="2:5" ht="18" customHeight="1" x14ac:dyDescent="0.25">
      <c r="B343" s="44">
        <v>45221.145138888889</v>
      </c>
      <c r="C343" s="44">
        <f>Tableau_Données_Lune[[#This Row],[Jour et heure (UTC)*]]-7/24</f>
        <v>45220.853472222225</v>
      </c>
      <c r="D343" s="46">
        <f>INT(Tableau_Données_Lune[[#This Row],[Heure ajustée1]])</f>
        <v>45220</v>
      </c>
      <c r="E343" s="42" t="s">
        <v>28</v>
      </c>
    </row>
    <row r="344" spans="2:5" ht="18" customHeight="1" x14ac:dyDescent="0.25">
      <c r="B344" s="44">
        <v>45227.85</v>
      </c>
      <c r="C344" s="44">
        <f>Tableau_Données_Lune[[#This Row],[Jour et heure (UTC)*]]-7/24</f>
        <v>45227.558333333334</v>
      </c>
      <c r="D344" s="46">
        <f>INT(Tableau_Données_Lune[[#This Row],[Heure ajustée1]])</f>
        <v>45227</v>
      </c>
      <c r="E344" s="42" t="s">
        <v>29</v>
      </c>
    </row>
    <row r="345" spans="2:5" ht="18" customHeight="1" x14ac:dyDescent="0.25">
      <c r="B345" s="44">
        <v>45235.359027777777</v>
      </c>
      <c r="C345" s="44">
        <f>Tableau_Données_Lune[[#This Row],[Jour et heure (UTC)*]]-7/24</f>
        <v>45235.067361111112</v>
      </c>
      <c r="D345" s="46">
        <f>INT(Tableau_Données_Lune[[#This Row],[Heure ajustée1]])</f>
        <v>45235</v>
      </c>
      <c r="E345" s="42" t="s">
        <v>30</v>
      </c>
    </row>
    <row r="346" spans="2:5" ht="18" customHeight="1" x14ac:dyDescent="0.25">
      <c r="B346" s="44">
        <v>45243.393750000003</v>
      </c>
      <c r="C346" s="44">
        <f>Tableau_Données_Lune[[#This Row],[Jour et heure (UTC)*]]-7/24</f>
        <v>45243.102083333339</v>
      </c>
      <c r="D346" s="46">
        <f>INT(Tableau_Données_Lune[[#This Row],[Heure ajustée1]])</f>
        <v>45243</v>
      </c>
      <c r="E346" s="42" t="s">
        <v>31</v>
      </c>
    </row>
    <row r="347" spans="2:5" ht="18" customHeight="1" x14ac:dyDescent="0.25">
      <c r="B347" s="44">
        <v>45250.451388888891</v>
      </c>
      <c r="C347" s="44">
        <f>Tableau_Données_Lune[[#This Row],[Jour et heure (UTC)*]]-7/24</f>
        <v>45250.159722222226</v>
      </c>
      <c r="D347" s="46">
        <f>INT(Tableau_Données_Lune[[#This Row],[Heure ajustée1]])</f>
        <v>45250</v>
      </c>
      <c r="E347" s="42" t="s">
        <v>28</v>
      </c>
    </row>
    <row r="348" spans="2:5" ht="18" customHeight="1" x14ac:dyDescent="0.25">
      <c r="B348" s="44">
        <v>45257.386111111111</v>
      </c>
      <c r="C348" s="44">
        <f>Tableau_Données_Lune[[#This Row],[Jour et heure (UTC)*]]-7/24</f>
        <v>45257.094444444447</v>
      </c>
      <c r="D348" s="46">
        <f>INT(Tableau_Données_Lune[[#This Row],[Heure ajustée1]])</f>
        <v>45257</v>
      </c>
      <c r="E348" s="42" t="s">
        <v>29</v>
      </c>
    </row>
    <row r="349" spans="2:5" ht="18" customHeight="1" x14ac:dyDescent="0.25">
      <c r="B349" s="44">
        <v>45265.242361111108</v>
      </c>
      <c r="C349" s="44">
        <f>Tableau_Données_Lune[[#This Row],[Jour et heure (UTC)*]]-7/24</f>
        <v>45264.950694444444</v>
      </c>
      <c r="D349" s="46">
        <f>INT(Tableau_Données_Lune[[#This Row],[Heure ajustée1]])</f>
        <v>45264</v>
      </c>
      <c r="E349" s="42" t="s">
        <v>30</v>
      </c>
    </row>
    <row r="350" spans="2:5" ht="18" customHeight="1" x14ac:dyDescent="0.25">
      <c r="B350" s="44">
        <v>45272.980555555558</v>
      </c>
      <c r="C350" s="44">
        <f>Tableau_Données_Lune[[#This Row],[Jour et heure (UTC)*]]-7/24</f>
        <v>45272.688888888893</v>
      </c>
      <c r="D350" s="46">
        <f>INT(Tableau_Données_Lune[[#This Row],[Heure ajustée1]])</f>
        <v>45272</v>
      </c>
      <c r="E350" s="42" t="s">
        <v>31</v>
      </c>
    </row>
    <row r="351" spans="2:5" ht="18" customHeight="1" x14ac:dyDescent="0.25">
      <c r="B351" s="44">
        <v>45279.777083333334</v>
      </c>
      <c r="C351" s="44">
        <f>Tableau_Données_Lune[[#This Row],[Jour et heure (UTC)*]]-7/24</f>
        <v>45279.48541666667</v>
      </c>
      <c r="D351" s="46">
        <f>INT(Tableau_Données_Lune[[#This Row],[Heure ajustée1]])</f>
        <v>45279</v>
      </c>
      <c r="E351" s="42" t="s">
        <v>28</v>
      </c>
    </row>
    <row r="352" spans="2:5" ht="18" customHeight="1" x14ac:dyDescent="0.25">
      <c r="B352" s="44">
        <v>45287.022916666669</v>
      </c>
      <c r="C352" s="44">
        <f>Tableau_Données_Lune[[#This Row],[Jour et heure (UTC)*]]-7/24</f>
        <v>45286.731250000004</v>
      </c>
      <c r="D352" s="46">
        <f>INT(Tableau_Données_Lune[[#This Row],[Heure ajustée1]])</f>
        <v>45286</v>
      </c>
      <c r="E352" s="42" t="s">
        <v>29</v>
      </c>
    </row>
    <row r="353" spans="2:5" ht="18" customHeight="1" x14ac:dyDescent="0.25">
      <c r="B353" s="44">
        <v>45295.145833333336</v>
      </c>
      <c r="C353" s="44">
        <f>Tableau_Données_Lune[[#This Row],[Jour et heure (UTC)*]]-7/24</f>
        <v>45294.854166666672</v>
      </c>
      <c r="D353" s="46">
        <f>INT(Tableau_Données_Lune[[#This Row],[Heure ajustée1]])</f>
        <v>45294</v>
      </c>
      <c r="E353" s="42" t="s">
        <v>30</v>
      </c>
    </row>
    <row r="354" spans="2:5" ht="18" customHeight="1" x14ac:dyDescent="0.25">
      <c r="B354" s="44">
        <v>45302.497916666667</v>
      </c>
      <c r="C354" s="44">
        <f>Tableau_Données_Lune[[#This Row],[Jour et heure (UTC)*]]-7/24</f>
        <v>45302.206250000003</v>
      </c>
      <c r="D354" s="46">
        <f>INT(Tableau_Données_Lune[[#This Row],[Heure ajustée1]])</f>
        <v>45302</v>
      </c>
      <c r="E354" s="42" t="s">
        <v>31</v>
      </c>
    </row>
    <row r="355" spans="2:5" ht="18" customHeight="1" x14ac:dyDescent="0.25">
      <c r="B355" s="44">
        <v>45309.161111111112</v>
      </c>
      <c r="C355" s="44">
        <f>Tableau_Données_Lune[[#This Row],[Jour et heure (UTC)*]]-7/24</f>
        <v>45308.869444444448</v>
      </c>
      <c r="D355" s="46">
        <f>INT(Tableau_Données_Lune[[#This Row],[Heure ajustée1]])</f>
        <v>45308</v>
      </c>
      <c r="E355" s="42" t="s">
        <v>28</v>
      </c>
    </row>
    <row r="356" spans="2:5" ht="18" customHeight="1" x14ac:dyDescent="0.25">
      <c r="B356" s="44">
        <v>45316.745833333334</v>
      </c>
      <c r="C356" s="44">
        <f>Tableau_Données_Lune[[#This Row],[Jour et heure (UTC)*]]-7/24</f>
        <v>45316.45416666667</v>
      </c>
      <c r="D356" s="46">
        <f>INT(Tableau_Données_Lune[[#This Row],[Heure ajustée1]])</f>
        <v>45316</v>
      </c>
      <c r="E356" s="42" t="s">
        <v>29</v>
      </c>
    </row>
    <row r="357" spans="2:5" ht="18" customHeight="1" x14ac:dyDescent="0.25">
      <c r="B357" s="44">
        <v>45324.970833333333</v>
      </c>
      <c r="C357" s="44">
        <f>Tableau_Données_Lune[[#This Row],[Jour et heure (UTC)*]]-7/24</f>
        <v>45324.679166666669</v>
      </c>
      <c r="D357" s="46">
        <f>INT(Tableau_Données_Lune[[#This Row],[Heure ajustée1]])</f>
        <v>45324</v>
      </c>
      <c r="E357" s="42" t="s">
        <v>30</v>
      </c>
    </row>
    <row r="358" spans="2:5" ht="18" customHeight="1" x14ac:dyDescent="0.25">
      <c r="B358" s="44">
        <v>45331.957638888889</v>
      </c>
      <c r="C358" s="44">
        <f>Tableau_Données_Lune[[#This Row],[Jour et heure (UTC)*]]-7/24</f>
        <v>45331.665972222225</v>
      </c>
      <c r="D358" s="46">
        <f>INT(Tableau_Données_Lune[[#This Row],[Heure ajustée1]])</f>
        <v>45331</v>
      </c>
      <c r="E358" s="42" t="s">
        <v>31</v>
      </c>
    </row>
    <row r="359" spans="2:5" ht="18" customHeight="1" x14ac:dyDescent="0.25">
      <c r="B359" s="44">
        <v>45338.625694444447</v>
      </c>
      <c r="C359" s="44">
        <f>Tableau_Données_Lune[[#This Row],[Jour et heure (UTC)*]]-7/24</f>
        <v>45338.334027777782</v>
      </c>
      <c r="D359" s="46">
        <f>INT(Tableau_Données_Lune[[#This Row],[Heure ajustée1]])</f>
        <v>45338</v>
      </c>
      <c r="E359" s="42" t="s">
        <v>28</v>
      </c>
    </row>
    <row r="360" spans="2:5" ht="18" customHeight="1" x14ac:dyDescent="0.25">
      <c r="B360" s="44">
        <v>45346.520833333336</v>
      </c>
      <c r="C360" s="44">
        <f>Tableau_Données_Lune[[#This Row],[Jour et heure (UTC)*]]-7/24</f>
        <v>45346.229166666672</v>
      </c>
      <c r="D360" s="46">
        <f>INT(Tableau_Données_Lune[[#This Row],[Heure ajustée1]])</f>
        <v>45346</v>
      </c>
      <c r="E360" s="42" t="s">
        <v>29</v>
      </c>
    </row>
    <row r="361" spans="2:5" ht="18" customHeight="1" x14ac:dyDescent="0.25">
      <c r="B361" s="44">
        <v>45354.640972222223</v>
      </c>
      <c r="C361" s="44">
        <f>Tableau_Données_Lune[[#This Row],[Jour et heure (UTC)*]]-7/24</f>
        <v>45354.349305555559</v>
      </c>
      <c r="D361" s="46">
        <f>INT(Tableau_Données_Lune[[#This Row],[Heure ajustée1]])</f>
        <v>45354</v>
      </c>
      <c r="E361" s="42" t="s">
        <v>30</v>
      </c>
    </row>
    <row r="362" spans="2:5" ht="18" customHeight="1" x14ac:dyDescent="0.25">
      <c r="B362" s="44">
        <v>45361.375</v>
      </c>
      <c r="C362" s="44">
        <f>Tableau_Données_Lune[[#This Row],[Jour et heure (UTC)*]]-7/24</f>
        <v>45361.083333333336</v>
      </c>
      <c r="D362" s="46">
        <f>INT(Tableau_Données_Lune[[#This Row],[Heure ajustée1]])</f>
        <v>45361</v>
      </c>
      <c r="E362" s="42" t="s">
        <v>31</v>
      </c>
    </row>
    <row r="363" spans="2:5" ht="18" customHeight="1" x14ac:dyDescent="0.25">
      <c r="B363" s="44">
        <v>45368.174305555556</v>
      </c>
      <c r="C363" s="44">
        <f>Tableau_Données_Lune[[#This Row],[Jour et heure (UTC)*]]-7/24</f>
        <v>45367.882638888892</v>
      </c>
      <c r="D363" s="46">
        <f>INT(Tableau_Données_Lune[[#This Row],[Heure ajustée1]])</f>
        <v>45367</v>
      </c>
      <c r="E363" s="42" t="s">
        <v>28</v>
      </c>
    </row>
    <row r="364" spans="2:5" ht="18" customHeight="1" x14ac:dyDescent="0.25">
      <c r="B364" s="44">
        <v>45376.291666666664</v>
      </c>
      <c r="C364" s="44">
        <f>Tableau_Données_Lune[[#This Row],[Jour et heure (UTC)*]]-7/24</f>
        <v>45376</v>
      </c>
      <c r="D364" s="46">
        <f>INT(Tableau_Données_Lune[[#This Row],[Heure ajustée1]])</f>
        <v>45376</v>
      </c>
      <c r="E364" s="42" t="s">
        <v>29</v>
      </c>
    </row>
    <row r="365" spans="2:5" ht="18" customHeight="1" x14ac:dyDescent="0.25">
      <c r="B365" s="44">
        <v>45384.135416666664</v>
      </c>
      <c r="C365" s="44">
        <f>Tableau_Données_Lune[[#This Row],[Jour et heure (UTC)*]]-7/24</f>
        <v>45383.84375</v>
      </c>
      <c r="D365" s="46">
        <f>INT(Tableau_Données_Lune[[#This Row],[Heure ajustée1]])</f>
        <v>45383</v>
      </c>
      <c r="E365" s="42" t="s">
        <v>30</v>
      </c>
    </row>
    <row r="366" spans="2:5" ht="18" customHeight="1" x14ac:dyDescent="0.25">
      <c r="B366" s="44">
        <v>45390.76458333333</v>
      </c>
      <c r="C366" s="44">
        <f>Tableau_Données_Lune[[#This Row],[Jour et heure (UTC)*]]-7/24</f>
        <v>45390.472916666666</v>
      </c>
      <c r="D366" s="46">
        <f>INT(Tableau_Données_Lune[[#This Row],[Heure ajustée1]])</f>
        <v>45390</v>
      </c>
      <c r="E366" s="42" t="s">
        <v>31</v>
      </c>
    </row>
    <row r="367" spans="2:5" ht="18" customHeight="1" x14ac:dyDescent="0.25">
      <c r="B367" s="44">
        <v>45397.800694444442</v>
      </c>
      <c r="C367" s="44">
        <f>Tableau_Données_Lune[[#This Row],[Jour et heure (UTC)*]]-7/24</f>
        <v>45397.509027777778</v>
      </c>
      <c r="D367" s="46">
        <f>INT(Tableau_Données_Lune[[#This Row],[Heure ajustée1]])</f>
        <v>45397</v>
      </c>
      <c r="E367" s="42" t="s">
        <v>28</v>
      </c>
    </row>
    <row r="368" spans="2:5" ht="18" customHeight="1" x14ac:dyDescent="0.25">
      <c r="B368" s="44">
        <v>45405.992361111108</v>
      </c>
      <c r="C368" s="44">
        <f>Tableau_Données_Lune[[#This Row],[Jour et heure (UTC)*]]-7/24</f>
        <v>45405.700694444444</v>
      </c>
      <c r="D368" s="46">
        <f>INT(Tableau_Données_Lune[[#This Row],[Heure ajustée1]])</f>
        <v>45405</v>
      </c>
      <c r="E368" s="42" t="s">
        <v>29</v>
      </c>
    </row>
    <row r="369" spans="2:5" ht="18" customHeight="1" x14ac:dyDescent="0.25">
      <c r="B369" s="44">
        <v>45413.477083333331</v>
      </c>
      <c r="C369" s="44">
        <f>Tableau_Données_Lune[[#This Row],[Jour et heure (UTC)*]]-7/24</f>
        <v>45413.185416666667</v>
      </c>
      <c r="D369" s="46">
        <f>INT(Tableau_Données_Lune[[#This Row],[Heure ajustée1]])</f>
        <v>45413</v>
      </c>
      <c r="E369" s="42" t="s">
        <v>30</v>
      </c>
    </row>
    <row r="370" spans="2:5" ht="18" customHeight="1" x14ac:dyDescent="0.25">
      <c r="B370" s="44">
        <v>45420.140277777777</v>
      </c>
      <c r="C370" s="44">
        <f>Tableau_Données_Lune[[#This Row],[Jour et heure (UTC)*]]-7/24</f>
        <v>45419.848611111112</v>
      </c>
      <c r="D370" s="46">
        <f>INT(Tableau_Données_Lune[[#This Row],[Heure ajustée1]])</f>
        <v>45419</v>
      </c>
      <c r="E370" s="42" t="s">
        <v>31</v>
      </c>
    </row>
    <row r="371" spans="2:5" ht="18" customHeight="1" x14ac:dyDescent="0.25">
      <c r="B371" s="44">
        <v>45427.491666666669</v>
      </c>
      <c r="C371" s="44">
        <f>Tableau_Données_Lune[[#This Row],[Jour et heure (UTC)*]]-7/24</f>
        <v>45427.200000000004</v>
      </c>
      <c r="D371" s="46">
        <f>INT(Tableau_Données_Lune[[#This Row],[Heure ajustée1]])</f>
        <v>45427</v>
      </c>
      <c r="E371" s="42" t="s">
        <v>28</v>
      </c>
    </row>
    <row r="372" spans="2:5" ht="18" customHeight="1" x14ac:dyDescent="0.25">
      <c r="B372" s="44">
        <v>45435.578472222223</v>
      </c>
      <c r="C372" s="44">
        <f>Tableau_Données_Lune[[#This Row],[Jour et heure (UTC)*]]-7/24</f>
        <v>45435.286805555559</v>
      </c>
      <c r="D372" s="46">
        <f>INT(Tableau_Données_Lune[[#This Row],[Heure ajustée1]])</f>
        <v>45435</v>
      </c>
      <c r="E372" s="42" t="s">
        <v>29</v>
      </c>
    </row>
    <row r="373" spans="2:5" ht="18" customHeight="1" x14ac:dyDescent="0.25">
      <c r="B373" s="44">
        <v>45442.717361111114</v>
      </c>
      <c r="C373" s="44">
        <f>Tableau_Données_Lune[[#This Row],[Jour et heure (UTC)*]]-7/24</f>
        <v>45442.42569444445</v>
      </c>
      <c r="D373" s="46">
        <f>INT(Tableau_Données_Lune[[#This Row],[Heure ajustée1]])</f>
        <v>45442</v>
      </c>
      <c r="E373" s="42" t="s">
        <v>30</v>
      </c>
    </row>
    <row r="374" spans="2:5" ht="18" customHeight="1" x14ac:dyDescent="0.25">
      <c r="B374" s="44">
        <v>45449.526388888888</v>
      </c>
      <c r="C374" s="44">
        <f>Tableau_Données_Lune[[#This Row],[Jour et heure (UTC)*]]-7/24</f>
        <v>45449.234722222223</v>
      </c>
      <c r="D374" s="46">
        <f>INT(Tableau_Données_Lune[[#This Row],[Heure ajustée1]])</f>
        <v>45449</v>
      </c>
      <c r="E374" s="42" t="s">
        <v>31</v>
      </c>
    </row>
    <row r="375" spans="2:5" ht="18" customHeight="1" x14ac:dyDescent="0.25">
      <c r="B375" s="44">
        <v>45457.220833333333</v>
      </c>
      <c r="C375" s="44">
        <f>Tableau_Données_Lune[[#This Row],[Jour et heure (UTC)*]]-7/24</f>
        <v>45456.929166666669</v>
      </c>
      <c r="D375" s="46">
        <f>INT(Tableau_Données_Lune[[#This Row],[Heure ajustée1]])</f>
        <v>45456</v>
      </c>
      <c r="E375" s="42" t="s">
        <v>28</v>
      </c>
    </row>
    <row r="376" spans="2:5" ht="18" customHeight="1" x14ac:dyDescent="0.25">
      <c r="B376" s="44">
        <v>45465.047222222223</v>
      </c>
      <c r="C376" s="44">
        <f>Tableau_Données_Lune[[#This Row],[Jour et heure (UTC)*]]-7/24</f>
        <v>45464.755555555559</v>
      </c>
      <c r="D376" s="46">
        <f>INT(Tableau_Données_Lune[[#This Row],[Heure ajustée1]])</f>
        <v>45464</v>
      </c>
      <c r="E376" s="42" t="s">
        <v>29</v>
      </c>
    </row>
    <row r="377" spans="2:5" ht="18" customHeight="1" x14ac:dyDescent="0.25">
      <c r="B377" s="44">
        <v>45471.911805555559</v>
      </c>
      <c r="C377" s="44">
        <f>Tableau_Données_Lune[[#This Row],[Jour et heure (UTC)*]]-7/24</f>
        <v>45471.620138888895</v>
      </c>
      <c r="D377" s="46">
        <f>INT(Tableau_Données_Lune[[#This Row],[Heure ajustée1]])</f>
        <v>45471</v>
      </c>
      <c r="E377" s="42" t="s">
        <v>30</v>
      </c>
    </row>
    <row r="378" spans="2:5" ht="18" customHeight="1" x14ac:dyDescent="0.25">
      <c r="B378" s="44">
        <v>45478.956250000003</v>
      </c>
      <c r="C378" s="44">
        <f>Tableau_Données_Lune[[#This Row],[Jour et heure (UTC)*]]-7/24</f>
        <v>45478.664583333339</v>
      </c>
      <c r="D378" s="46">
        <f>INT(Tableau_Données_Lune[[#This Row],[Heure ajustée1]])</f>
        <v>45478</v>
      </c>
      <c r="E378" s="42" t="s">
        <v>31</v>
      </c>
    </row>
    <row r="379" spans="2:5" ht="18" customHeight="1" x14ac:dyDescent="0.25">
      <c r="B379" s="44">
        <v>45486.950694444444</v>
      </c>
      <c r="C379" s="44">
        <f>Tableau_Données_Lune[[#This Row],[Jour et heure (UTC)*]]-7/24</f>
        <v>45486.65902777778</v>
      </c>
      <c r="D379" s="46">
        <f>INT(Tableau_Données_Lune[[#This Row],[Heure ajustée1]])</f>
        <v>45486</v>
      </c>
      <c r="E379" s="42" t="s">
        <v>28</v>
      </c>
    </row>
    <row r="380" spans="2:5" ht="18" customHeight="1" x14ac:dyDescent="0.25">
      <c r="B380" s="44">
        <v>45494.428472222222</v>
      </c>
      <c r="C380" s="44">
        <f>Tableau_Données_Lune[[#This Row],[Jour et heure (UTC)*]]-7/24</f>
        <v>45494.136805555558</v>
      </c>
      <c r="D380" s="46">
        <f>INT(Tableau_Données_Lune[[#This Row],[Heure ajustée1]])</f>
        <v>45494</v>
      </c>
      <c r="E380" s="42" t="s">
        <v>29</v>
      </c>
    </row>
    <row r="381" spans="2:5" ht="18" customHeight="1" x14ac:dyDescent="0.25">
      <c r="B381" s="44">
        <v>45501.118750000001</v>
      </c>
      <c r="C381" s="44">
        <f>Tableau_Données_Lune[[#This Row],[Jour et heure (UTC)*]]-7/24</f>
        <v>45500.827083333337</v>
      </c>
      <c r="D381" s="46">
        <f>INT(Tableau_Données_Lune[[#This Row],[Heure ajustée1]])</f>
        <v>45500</v>
      </c>
      <c r="E381" s="42" t="s">
        <v>30</v>
      </c>
    </row>
    <row r="382" spans="2:5" ht="18" customHeight="1" x14ac:dyDescent="0.25">
      <c r="B382" s="44">
        <v>45508.467361111114</v>
      </c>
      <c r="C382" s="44">
        <f>Tableau_Données_Lune[[#This Row],[Jour et heure (UTC)*]]-7/24</f>
        <v>45508.17569444445</v>
      </c>
      <c r="D382" s="46">
        <f>INT(Tableau_Données_Lune[[#This Row],[Heure ajustée1]])</f>
        <v>45508</v>
      </c>
      <c r="E382" s="42" t="s">
        <v>31</v>
      </c>
    </row>
    <row r="383" spans="2:5" ht="18" customHeight="1" x14ac:dyDescent="0.25">
      <c r="B383" s="44">
        <v>45516.638194444444</v>
      </c>
      <c r="C383" s="44">
        <f>Tableau_Données_Lune[[#This Row],[Jour et heure (UTC)*]]-7/24</f>
        <v>45516.34652777778</v>
      </c>
      <c r="D383" s="46">
        <f>INT(Tableau_Données_Lune[[#This Row],[Heure ajustée1]])</f>
        <v>45516</v>
      </c>
      <c r="E383" s="42" t="s">
        <v>28</v>
      </c>
    </row>
    <row r="384" spans="2:5" ht="18" customHeight="1" x14ac:dyDescent="0.25">
      <c r="B384" s="44">
        <v>45523.768055555556</v>
      </c>
      <c r="C384" s="44">
        <f>Tableau_Données_Lune[[#This Row],[Jour et heure (UTC)*]]-7/24</f>
        <v>45523.476388888892</v>
      </c>
      <c r="D384" s="46">
        <f>INT(Tableau_Données_Lune[[#This Row],[Heure ajustée1]])</f>
        <v>45523</v>
      </c>
      <c r="E384" s="42" t="s">
        <v>29</v>
      </c>
    </row>
    <row r="385" spans="2:5" ht="18" customHeight="1" x14ac:dyDescent="0.25">
      <c r="B385" s="44">
        <v>45530.393055555556</v>
      </c>
      <c r="C385" s="44">
        <f>Tableau_Données_Lune[[#This Row],[Jour et heure (UTC)*]]-7/24</f>
        <v>45530.101388888892</v>
      </c>
      <c r="D385" s="46">
        <f>INT(Tableau_Données_Lune[[#This Row],[Heure ajustée1]])</f>
        <v>45530</v>
      </c>
      <c r="E385" s="42" t="s">
        <v>30</v>
      </c>
    </row>
    <row r="386" spans="2:5" ht="18" customHeight="1" x14ac:dyDescent="0.25">
      <c r="B386" s="44">
        <v>45538.079861111109</v>
      </c>
      <c r="C386" s="44">
        <f>Tableau_Données_Lune[[#This Row],[Jour et heure (UTC)*]]-7/24</f>
        <v>45537.788194444445</v>
      </c>
      <c r="D386" s="46">
        <f>INT(Tableau_Données_Lune[[#This Row],[Heure ajustée1]])</f>
        <v>45537</v>
      </c>
      <c r="E386" s="42" t="s">
        <v>31</v>
      </c>
    </row>
    <row r="387" spans="2:5" ht="18" customHeight="1" x14ac:dyDescent="0.25">
      <c r="B387" s="44">
        <v>45546.253472222219</v>
      </c>
      <c r="C387" s="44">
        <f>Tableau_Données_Lune[[#This Row],[Jour et heure (UTC)*]]-7/24</f>
        <v>45545.961805555555</v>
      </c>
      <c r="D387" s="46">
        <f>INT(Tableau_Données_Lune[[#This Row],[Heure ajustée1]])</f>
        <v>45545</v>
      </c>
      <c r="E387" s="42" t="s">
        <v>28</v>
      </c>
    </row>
    <row r="388" spans="2:5" ht="18" customHeight="1" x14ac:dyDescent="0.25">
      <c r="B388" s="44">
        <v>45553.106944444444</v>
      </c>
      <c r="C388" s="44">
        <f>Tableau_Données_Lune[[#This Row],[Jour et heure (UTC)*]]-7/24</f>
        <v>45552.81527777778</v>
      </c>
      <c r="D388" s="46">
        <f>INT(Tableau_Données_Lune[[#This Row],[Heure ajustée1]])</f>
        <v>45552</v>
      </c>
      <c r="E388" s="42" t="s">
        <v>29</v>
      </c>
    </row>
    <row r="389" spans="2:5" ht="18" customHeight="1" x14ac:dyDescent="0.25">
      <c r="B389" s="44">
        <v>45559.784722222219</v>
      </c>
      <c r="C389" s="44">
        <f>Tableau_Données_Lune[[#This Row],[Jour et heure (UTC)*]]-7/24</f>
        <v>45559.493055555555</v>
      </c>
      <c r="D389" s="46">
        <f>INT(Tableau_Données_Lune[[#This Row],[Heure ajustée1]])</f>
        <v>45559</v>
      </c>
      <c r="E389" s="42" t="s">
        <v>30</v>
      </c>
    </row>
    <row r="390" spans="2:5" ht="18" customHeight="1" x14ac:dyDescent="0.25">
      <c r="B390" s="44">
        <v>45567.78402777778</v>
      </c>
      <c r="C390" s="44">
        <f>Tableau_Données_Lune[[#This Row],[Jour et heure (UTC)*]]-7/24</f>
        <v>45567.492361111115</v>
      </c>
      <c r="D390" s="46">
        <f>INT(Tableau_Données_Lune[[#This Row],[Heure ajustée1]])</f>
        <v>45567</v>
      </c>
      <c r="E390" s="42" t="s">
        <v>31</v>
      </c>
    </row>
    <row r="391" spans="2:5" ht="18" customHeight="1" x14ac:dyDescent="0.25">
      <c r="B391" s="44">
        <v>45575.788194444445</v>
      </c>
      <c r="C391" s="44">
        <f>Tableau_Données_Lune[[#This Row],[Jour et heure (UTC)*]]-7/24</f>
        <v>45575.496527777781</v>
      </c>
      <c r="D391" s="46">
        <f>INT(Tableau_Données_Lune[[#This Row],[Heure ajustée1]])</f>
        <v>45575</v>
      </c>
      <c r="E391" s="42" t="s">
        <v>28</v>
      </c>
    </row>
    <row r="392" spans="2:5" ht="18" customHeight="1" x14ac:dyDescent="0.25">
      <c r="B392" s="44">
        <v>45582.476388888892</v>
      </c>
      <c r="C392" s="44">
        <f>Tableau_Données_Lune[[#This Row],[Jour et heure (UTC)*]]-7/24</f>
        <v>45582.184722222228</v>
      </c>
      <c r="D392" s="46">
        <f>INT(Tableau_Données_Lune[[#This Row],[Heure ajustée1]])</f>
        <v>45582</v>
      </c>
      <c r="E392" s="42" t="s">
        <v>29</v>
      </c>
    </row>
    <row r="393" spans="2:5" ht="18" customHeight="1" x14ac:dyDescent="0.25">
      <c r="B393" s="44">
        <v>45589.335416666669</v>
      </c>
      <c r="C393" s="44">
        <f>Tableau_Données_Lune[[#This Row],[Jour et heure (UTC)*]]-7/24</f>
        <v>45589.043750000004</v>
      </c>
      <c r="D393" s="46">
        <f>INT(Tableau_Données_Lune[[#This Row],[Heure ajustée1]])</f>
        <v>45589</v>
      </c>
      <c r="E393" s="42" t="s">
        <v>30</v>
      </c>
    </row>
    <row r="394" spans="2:5" ht="18" customHeight="1" x14ac:dyDescent="0.25">
      <c r="B394" s="44">
        <v>45597.532638888886</v>
      </c>
      <c r="C394" s="44">
        <f>Tableau_Données_Lune[[#This Row],[Jour et heure (UTC)*]]-7/24</f>
        <v>45597.240972222222</v>
      </c>
      <c r="D394" s="46">
        <f>INT(Tableau_Données_Lune[[#This Row],[Heure ajustée1]])</f>
        <v>45597</v>
      </c>
      <c r="E394" s="42" t="s">
        <v>31</v>
      </c>
    </row>
    <row r="395" spans="2:5" ht="18" customHeight="1" x14ac:dyDescent="0.25">
      <c r="B395" s="44">
        <v>45605.246527777781</v>
      </c>
      <c r="C395" s="44">
        <f>Tableau_Données_Lune[[#This Row],[Jour et heure (UTC)*]]-7/24</f>
        <v>45604.954861111117</v>
      </c>
      <c r="D395" s="46">
        <f>INT(Tableau_Données_Lune[[#This Row],[Heure ajustée1]])</f>
        <v>45604</v>
      </c>
      <c r="E395" s="42" t="s">
        <v>28</v>
      </c>
    </row>
    <row r="396" spans="2:5" ht="18" customHeight="1" x14ac:dyDescent="0.25">
      <c r="B396" s="44">
        <v>45611.894444444442</v>
      </c>
      <c r="C396" s="44">
        <f>Tableau_Données_Lune[[#This Row],[Jour et heure (UTC)*]]-7/24</f>
        <v>45611.602777777778</v>
      </c>
      <c r="D396" s="46">
        <f>INT(Tableau_Données_Lune[[#This Row],[Heure ajustée1]])</f>
        <v>45611</v>
      </c>
      <c r="E396" s="42" t="s">
        <v>29</v>
      </c>
    </row>
    <row r="397" spans="2:5" ht="18" customHeight="1" x14ac:dyDescent="0.25">
      <c r="B397" s="44">
        <v>45619.061111111114</v>
      </c>
      <c r="C397" s="44">
        <f>Tableau_Données_Lune[[#This Row],[Jour et heure (UTC)*]]-7/24</f>
        <v>45618.76944444445</v>
      </c>
      <c r="D397" s="46">
        <f>INT(Tableau_Données_Lune[[#This Row],[Heure ajustée1]])</f>
        <v>45618</v>
      </c>
      <c r="E397" s="42" t="s">
        <v>30</v>
      </c>
    </row>
    <row r="398" spans="2:5" ht="18" customHeight="1" x14ac:dyDescent="0.25">
      <c r="B398" s="44">
        <v>45627.26458333333</v>
      </c>
      <c r="C398" s="44">
        <f>Tableau_Données_Lune[[#This Row],[Jour et heure (UTC)*]]-7/24</f>
        <v>45626.972916666666</v>
      </c>
      <c r="D398" s="46">
        <f>INT(Tableau_Données_Lune[[#This Row],[Heure ajustée1]])</f>
        <v>45626</v>
      </c>
      <c r="E398" s="42" t="s">
        <v>31</v>
      </c>
    </row>
    <row r="399" spans="2:5" ht="18" customHeight="1" x14ac:dyDescent="0.25">
      <c r="B399" s="44">
        <v>45634.643055555556</v>
      </c>
      <c r="C399" s="44">
        <f>Tableau_Données_Lune[[#This Row],[Jour et heure (UTC)*]]-7/24</f>
        <v>45634.351388888892</v>
      </c>
      <c r="D399" s="46">
        <f>INT(Tableau_Données_Lune[[#This Row],[Heure ajustée1]])</f>
        <v>45634</v>
      </c>
      <c r="E399" s="42" t="s">
        <v>28</v>
      </c>
    </row>
    <row r="400" spans="2:5" ht="18" customHeight="1" x14ac:dyDescent="0.25">
      <c r="B400" s="44">
        <v>45641.376388888886</v>
      </c>
      <c r="C400" s="44">
        <f>Tableau_Données_Lune[[#This Row],[Jour et heure (UTC)*]]-7/24</f>
        <v>45641.084722222222</v>
      </c>
      <c r="D400" s="46">
        <f>INT(Tableau_Données_Lune[[#This Row],[Heure ajustée1]])</f>
        <v>45641</v>
      </c>
      <c r="E400" s="42" t="s">
        <v>29</v>
      </c>
    </row>
    <row r="401" spans="2:5" ht="18" customHeight="1" x14ac:dyDescent="0.25">
      <c r="B401" s="44">
        <v>45648.929166666669</v>
      </c>
      <c r="C401" s="44">
        <f>Tableau_Données_Lune[[#This Row],[Jour et heure (UTC)*]]-7/24</f>
        <v>45648.637500000004</v>
      </c>
      <c r="D401" s="46">
        <f>INT(Tableau_Données_Lune[[#This Row],[Heure ajustée1]])</f>
        <v>45648</v>
      </c>
      <c r="E401" s="42" t="s">
        <v>30</v>
      </c>
    </row>
    <row r="402" spans="2:5" ht="18" customHeight="1" x14ac:dyDescent="0.25">
      <c r="B402" s="44">
        <v>45656.935416666667</v>
      </c>
      <c r="C402" s="44">
        <f>Tableau_Données_Lune[[#This Row],[Jour et heure (UTC)*]]-7/24</f>
        <v>45656.643750000003</v>
      </c>
      <c r="D402" s="46">
        <f>INT(Tableau_Données_Lune[[#This Row],[Heure ajustée1]])</f>
        <v>45656</v>
      </c>
      <c r="E402" s="42" t="s">
        <v>31</v>
      </c>
    </row>
    <row r="403" spans="2:5" ht="18" customHeight="1" x14ac:dyDescent="0.25">
      <c r="B403" s="44">
        <v>45663.99722222222</v>
      </c>
      <c r="C403" s="44">
        <f>Tableau_Données_Lune[[#This Row],[Jour et heure (UTC)*]]-7/24</f>
        <v>45663.705555555556</v>
      </c>
      <c r="D403" s="46">
        <f>INT(Tableau_Données_Lune[[#This Row],[Heure ajustée1]])</f>
        <v>45663</v>
      </c>
      <c r="E403" s="42" t="s">
        <v>28</v>
      </c>
    </row>
    <row r="404" spans="2:5" ht="18" customHeight="1" x14ac:dyDescent="0.25">
      <c r="B404" s="44">
        <v>45670.935416666667</v>
      </c>
      <c r="C404" s="44">
        <f>Tableau_Données_Lune[[#This Row],[Jour et heure (UTC)*]]-7/24</f>
        <v>45670.643750000003</v>
      </c>
      <c r="D404" s="46">
        <f>INT(Tableau_Données_Lune[[#This Row],[Heure ajustée1]])</f>
        <v>45670</v>
      </c>
      <c r="E404" s="42" t="s">
        <v>29</v>
      </c>
    </row>
    <row r="405" spans="2:5" ht="18" customHeight="1" x14ac:dyDescent="0.25">
      <c r="B405" s="44">
        <v>45678.854861111111</v>
      </c>
      <c r="C405" s="44">
        <f>Tableau_Données_Lune[[#This Row],[Jour et heure (UTC)*]]-7/24</f>
        <v>45678.563194444447</v>
      </c>
      <c r="D405" s="46">
        <f>INT(Tableau_Données_Lune[[#This Row],[Heure ajustée1]])</f>
        <v>45678</v>
      </c>
      <c r="E405" s="42" t="s">
        <v>30</v>
      </c>
    </row>
    <row r="406" spans="2:5" ht="18" customHeight="1" x14ac:dyDescent="0.25">
      <c r="B406" s="44">
        <v>45686.525000000001</v>
      </c>
      <c r="C406" s="44">
        <f>Tableau_Données_Lune[[#This Row],[Jour et heure (UTC)*]]-7/24</f>
        <v>45686.233333333337</v>
      </c>
      <c r="D406" s="46">
        <f>INT(Tableau_Données_Lune[[#This Row],[Heure ajustée1]])</f>
        <v>45686</v>
      </c>
      <c r="E406" s="42" t="s">
        <v>31</v>
      </c>
    </row>
    <row r="407" spans="2:5" ht="18" customHeight="1" x14ac:dyDescent="0.25">
      <c r="B407" s="44">
        <v>45693.334722222222</v>
      </c>
      <c r="C407" s="44">
        <f>Tableau_Données_Lune[[#This Row],[Jour et heure (UTC)*]]-7/24</f>
        <v>45693.043055555558</v>
      </c>
      <c r="D407" s="46">
        <f>INT(Tableau_Données_Lune[[#This Row],[Heure ajustée1]])</f>
        <v>45693</v>
      </c>
      <c r="E407" s="42" t="s">
        <v>28</v>
      </c>
    </row>
    <row r="408" spans="2:5" ht="18" customHeight="1" x14ac:dyDescent="0.25">
      <c r="B408" s="44">
        <v>45700.578472222223</v>
      </c>
      <c r="C408" s="44">
        <f>Tableau_Données_Lune[[#This Row],[Jour et heure (UTC)*]]-7/24</f>
        <v>45700.286805555559</v>
      </c>
      <c r="D408" s="46">
        <f>INT(Tableau_Données_Lune[[#This Row],[Heure ajustée1]])</f>
        <v>45700</v>
      </c>
      <c r="E408" s="42" t="s">
        <v>29</v>
      </c>
    </row>
    <row r="409" spans="2:5" ht="18" customHeight="1" x14ac:dyDescent="0.25">
      <c r="B409" s="44">
        <v>45708.730555555558</v>
      </c>
      <c r="C409" s="44">
        <f>Tableau_Données_Lune[[#This Row],[Jour et heure (UTC)*]]-7/24</f>
        <v>45708.438888888893</v>
      </c>
      <c r="D409" s="46">
        <f>INT(Tableau_Données_Lune[[#This Row],[Heure ajustée1]])</f>
        <v>45708</v>
      </c>
      <c r="E409" s="42" t="s">
        <v>30</v>
      </c>
    </row>
    <row r="410" spans="2:5" ht="18" customHeight="1" x14ac:dyDescent="0.25">
      <c r="B410" s="44">
        <v>45716.03125</v>
      </c>
      <c r="C410" s="44">
        <f>Tableau_Données_Lune[[#This Row],[Jour et heure (UTC)*]]-7/24</f>
        <v>45715.739583333336</v>
      </c>
      <c r="D410" s="46">
        <f>INT(Tableau_Données_Lune[[#This Row],[Heure ajustée1]])</f>
        <v>45715</v>
      </c>
      <c r="E410" s="42" t="s">
        <v>31</v>
      </c>
    </row>
    <row r="411" spans="2:5" ht="18" customHeight="1" x14ac:dyDescent="0.25">
      <c r="B411" s="44">
        <v>45722.688194444447</v>
      </c>
      <c r="C411" s="44">
        <f>Tableau_Données_Lune[[#This Row],[Jour et heure (UTC)*]]-7/24</f>
        <v>45722.396527777782</v>
      </c>
      <c r="D411" s="46">
        <f>INT(Tableau_Données_Lune[[#This Row],[Heure ajustée1]])</f>
        <v>45722</v>
      </c>
      <c r="E411" s="42" t="s">
        <v>28</v>
      </c>
    </row>
    <row r="412" spans="2:5" ht="18" customHeight="1" x14ac:dyDescent="0.25">
      <c r="B412" s="44">
        <v>45730.288194444445</v>
      </c>
      <c r="C412" s="44">
        <f>Tableau_Données_Lune[[#This Row],[Jour et heure (UTC)*]]-7/24</f>
        <v>45729.996527777781</v>
      </c>
      <c r="D412" s="46">
        <f>INT(Tableau_Données_Lune[[#This Row],[Heure ajustée1]])</f>
        <v>45729</v>
      </c>
      <c r="E412" s="42" t="s">
        <v>29</v>
      </c>
    </row>
    <row r="413" spans="2:5" ht="18" customHeight="1" x14ac:dyDescent="0.25">
      <c r="B413" s="44">
        <v>45738.478472222225</v>
      </c>
      <c r="C413" s="44">
        <f>Tableau_Données_Lune[[#This Row],[Jour et heure (UTC)*]]-7/24</f>
        <v>45738.186805555561</v>
      </c>
      <c r="D413" s="46">
        <f>INT(Tableau_Données_Lune[[#This Row],[Heure ajustée1]])</f>
        <v>45738</v>
      </c>
      <c r="E413" s="42" t="s">
        <v>30</v>
      </c>
    </row>
    <row r="414" spans="2:5" ht="18" customHeight="1" x14ac:dyDescent="0.25">
      <c r="B414" s="44">
        <v>45745.456944444442</v>
      </c>
      <c r="C414" s="44">
        <f>Tableau_Données_Lune[[#This Row],[Jour et heure (UTC)*]]-7/24</f>
        <v>45745.165277777778</v>
      </c>
      <c r="D414" s="46">
        <f>INT(Tableau_Données_Lune[[#This Row],[Heure ajustée1]])</f>
        <v>45745</v>
      </c>
      <c r="E414" s="42" t="s">
        <v>31</v>
      </c>
    </row>
    <row r="415" spans="2:5" ht="18" customHeight="1" x14ac:dyDescent="0.25">
      <c r="B415" s="44">
        <v>45752.09375</v>
      </c>
      <c r="C415" s="44">
        <f>Tableau_Données_Lune[[#This Row],[Jour et heure (UTC)*]]-7/24</f>
        <v>45751.802083333336</v>
      </c>
      <c r="D415" s="46">
        <f>INT(Tableau_Données_Lune[[#This Row],[Heure ajustée1]])</f>
        <v>45751</v>
      </c>
      <c r="E415" s="42" t="s">
        <v>28</v>
      </c>
    </row>
    <row r="416" spans="2:5" ht="18" customHeight="1" x14ac:dyDescent="0.25">
      <c r="B416" s="44">
        <v>45760.015277777777</v>
      </c>
      <c r="C416" s="44">
        <f>Tableau_Données_Lune[[#This Row],[Jour et heure (UTC)*]]-7/24</f>
        <v>45759.723611111112</v>
      </c>
      <c r="D416" s="46">
        <f>INT(Tableau_Données_Lune[[#This Row],[Heure ajustée1]])</f>
        <v>45759</v>
      </c>
      <c r="E416" s="42" t="s">
        <v>29</v>
      </c>
    </row>
    <row r="417" spans="2:5" ht="18" customHeight="1" x14ac:dyDescent="0.25">
      <c r="B417" s="44">
        <v>45768.065972222219</v>
      </c>
      <c r="C417" s="44">
        <f>Tableau_Données_Lune[[#This Row],[Jour et heure (UTC)*]]-7/24</f>
        <v>45767.774305555555</v>
      </c>
      <c r="D417" s="46">
        <f>INT(Tableau_Données_Lune[[#This Row],[Heure ajustée1]])</f>
        <v>45767</v>
      </c>
      <c r="E417" s="42" t="s">
        <v>30</v>
      </c>
    </row>
    <row r="418" spans="2:5" ht="18" customHeight="1" x14ac:dyDescent="0.25">
      <c r="B418" s="44">
        <v>45774.813194444447</v>
      </c>
      <c r="C418" s="44">
        <f>Tableau_Données_Lune[[#This Row],[Jour et heure (UTC)*]]-7/24</f>
        <v>45774.521527777782</v>
      </c>
      <c r="D418" s="46">
        <f>INT(Tableau_Données_Lune[[#This Row],[Heure ajustée1]])</f>
        <v>45774</v>
      </c>
      <c r="E418" s="42" t="s">
        <v>31</v>
      </c>
    </row>
    <row r="419" spans="2:5" ht="18" customHeight="1" x14ac:dyDescent="0.25">
      <c r="B419" s="44">
        <v>45781.577777777777</v>
      </c>
      <c r="C419" s="44">
        <f>Tableau_Données_Lune[[#This Row],[Jour et heure (UTC)*]]-7/24</f>
        <v>45781.286111111112</v>
      </c>
      <c r="D419" s="46">
        <f>INT(Tableau_Données_Lune[[#This Row],[Heure ajustée1]])</f>
        <v>45781</v>
      </c>
      <c r="E419" s="42" t="s">
        <v>28</v>
      </c>
    </row>
    <row r="420" spans="2:5" ht="18" customHeight="1" x14ac:dyDescent="0.25">
      <c r="B420" s="44">
        <v>45789.705555555556</v>
      </c>
      <c r="C420" s="44">
        <f>Tableau_Données_Lune[[#This Row],[Jour et heure (UTC)*]]-7/24</f>
        <v>45789.413888888892</v>
      </c>
      <c r="D420" s="46">
        <f>INT(Tableau_Données_Lune[[#This Row],[Heure ajustée1]])</f>
        <v>45789</v>
      </c>
      <c r="E420" s="42" t="s">
        <v>29</v>
      </c>
    </row>
    <row r="421" spans="2:5" ht="18" customHeight="1" x14ac:dyDescent="0.25">
      <c r="B421" s="44">
        <v>45797.499305555553</v>
      </c>
      <c r="C421" s="44">
        <f>Tableau_Données_Lune[[#This Row],[Jour et heure (UTC)*]]-7/24</f>
        <v>45797.207638888889</v>
      </c>
      <c r="D421" s="46">
        <f>INT(Tableau_Données_Lune[[#This Row],[Heure ajustée1]])</f>
        <v>45797</v>
      </c>
      <c r="E421" s="42" t="s">
        <v>30</v>
      </c>
    </row>
    <row r="422" spans="2:5" ht="18" customHeight="1" x14ac:dyDescent="0.25">
      <c r="B422" s="44">
        <v>45804.126388888886</v>
      </c>
      <c r="C422" s="44">
        <f>Tableau_Données_Lune[[#This Row],[Jour et heure (UTC)*]]-7/24</f>
        <v>45803.834722222222</v>
      </c>
      <c r="D422" s="46">
        <f>INT(Tableau_Données_Lune[[#This Row],[Heure ajustée1]])</f>
        <v>45803</v>
      </c>
      <c r="E422" s="42" t="s">
        <v>31</v>
      </c>
    </row>
    <row r="423" spans="2:5" ht="18" customHeight="1" x14ac:dyDescent="0.25">
      <c r="B423" s="44">
        <v>45811.15347222222</v>
      </c>
      <c r="C423" s="44">
        <f>Tableau_Données_Lune[[#This Row],[Jour et heure (UTC)*]]-7/24</f>
        <v>45810.861805555556</v>
      </c>
      <c r="D423" s="46">
        <f>INT(Tableau_Données_Lune[[#This Row],[Heure ajustée1]])</f>
        <v>45810</v>
      </c>
      <c r="E423" s="42" t="s">
        <v>28</v>
      </c>
    </row>
    <row r="424" spans="2:5" ht="18" customHeight="1" x14ac:dyDescent="0.25">
      <c r="B424" s="44">
        <v>45819.322222222225</v>
      </c>
      <c r="C424" s="44">
        <f>Tableau_Données_Lune[[#This Row],[Jour et heure (UTC)*]]-7/24</f>
        <v>45819.030555555561</v>
      </c>
      <c r="D424" s="46">
        <f>INT(Tableau_Données_Lune[[#This Row],[Heure ajustée1]])</f>
        <v>45819</v>
      </c>
      <c r="E424" s="42" t="s">
        <v>29</v>
      </c>
    </row>
    <row r="425" spans="2:5" ht="18" customHeight="1" x14ac:dyDescent="0.25">
      <c r="B425" s="44">
        <v>45826.804861111108</v>
      </c>
      <c r="C425" s="44">
        <f>Tableau_Données_Lune[[#This Row],[Jour et heure (UTC)*]]-7/24</f>
        <v>45826.513194444444</v>
      </c>
      <c r="D425" s="46">
        <f>INT(Tableau_Données_Lune[[#This Row],[Heure ajustée1]])</f>
        <v>45826</v>
      </c>
      <c r="E425" s="42" t="s">
        <v>30</v>
      </c>
    </row>
    <row r="426" spans="2:5" ht="18" customHeight="1" x14ac:dyDescent="0.25">
      <c r="B426" s="44">
        <v>45833.438194444447</v>
      </c>
      <c r="C426" s="44">
        <f>Tableau_Données_Lune[[#This Row],[Jour et heure (UTC)*]]-7/24</f>
        <v>45833.146527777782</v>
      </c>
      <c r="D426" s="46">
        <f>INT(Tableau_Données_Lune[[#This Row],[Heure ajustée1]])</f>
        <v>45833</v>
      </c>
      <c r="E426" s="42" t="s">
        <v>31</v>
      </c>
    </row>
    <row r="427" spans="2:5" ht="18" customHeight="1" x14ac:dyDescent="0.25">
      <c r="B427" s="44">
        <v>45840.8125</v>
      </c>
      <c r="C427" s="44">
        <f>Tableau_Données_Lune[[#This Row],[Jour et heure (UTC)*]]-7/24</f>
        <v>45840.520833333336</v>
      </c>
      <c r="D427" s="46">
        <f>INT(Tableau_Données_Lune[[#This Row],[Heure ajustée1]])</f>
        <v>45840</v>
      </c>
      <c r="E427" s="42" t="s">
        <v>28</v>
      </c>
    </row>
    <row r="428" spans="2:5" ht="18" customHeight="1" x14ac:dyDescent="0.25">
      <c r="B428" s="44">
        <v>45848.859027777777</v>
      </c>
      <c r="C428" s="44">
        <f>Tableau_Données_Lune[[#This Row],[Jour et heure (UTC)*]]-7/24</f>
        <v>45848.567361111112</v>
      </c>
      <c r="D428" s="46">
        <f>INT(Tableau_Données_Lune[[#This Row],[Heure ajustée1]])</f>
        <v>45848</v>
      </c>
      <c r="E428" s="42" t="s">
        <v>29</v>
      </c>
    </row>
    <row r="429" spans="2:5" ht="18" customHeight="1" x14ac:dyDescent="0.25">
      <c r="B429" s="44">
        <v>45856.026388888888</v>
      </c>
      <c r="C429" s="44">
        <f>Tableau_Données_Lune[[#This Row],[Jour et heure (UTC)*]]-7/24</f>
        <v>45855.734722222223</v>
      </c>
      <c r="D429" s="46">
        <f>INT(Tableau_Données_Lune[[#This Row],[Heure ajustée1]])</f>
        <v>45855</v>
      </c>
      <c r="E429" s="42" t="s">
        <v>30</v>
      </c>
    </row>
    <row r="430" spans="2:5" ht="18" customHeight="1" x14ac:dyDescent="0.25">
      <c r="B430" s="44">
        <v>45862.799305555556</v>
      </c>
      <c r="C430" s="44">
        <f>Tableau_Données_Lune[[#This Row],[Jour et heure (UTC)*]]-7/24</f>
        <v>45862.507638888892</v>
      </c>
      <c r="D430" s="46">
        <f>INT(Tableau_Données_Lune[[#This Row],[Heure ajustée1]])</f>
        <v>45862</v>
      </c>
      <c r="E430" s="42" t="s">
        <v>31</v>
      </c>
    </row>
    <row r="431" spans="2:5" ht="18" customHeight="1" x14ac:dyDescent="0.25">
      <c r="B431" s="44">
        <v>45870.52847222222</v>
      </c>
      <c r="C431" s="44">
        <f>Tableau_Données_Lune[[#This Row],[Jour et heure (UTC)*]]-7/24</f>
        <v>45870.236805555556</v>
      </c>
      <c r="D431" s="46">
        <f>INT(Tableau_Données_Lune[[#This Row],[Heure ajustée1]])</f>
        <v>45870</v>
      </c>
      <c r="E431" s="42" t="s">
        <v>28</v>
      </c>
    </row>
    <row r="432" spans="2:5" ht="18" customHeight="1" x14ac:dyDescent="0.25">
      <c r="B432" s="44">
        <v>45878.329861111109</v>
      </c>
      <c r="C432" s="44">
        <f>Tableau_Données_Lune[[#This Row],[Jour et heure (UTC)*]]-7/24</f>
        <v>45878.038194444445</v>
      </c>
      <c r="D432" s="46">
        <f>INT(Tableau_Données_Lune[[#This Row],[Heure ajustée1]])</f>
        <v>45878</v>
      </c>
      <c r="E432" s="42" t="s">
        <v>29</v>
      </c>
    </row>
    <row r="433" spans="2:5" ht="18" customHeight="1" x14ac:dyDescent="0.25">
      <c r="B433" s="44">
        <v>45885.216666666667</v>
      </c>
      <c r="C433" s="44">
        <f>Tableau_Données_Lune[[#This Row],[Jour et heure (UTC)*]]-7/24</f>
        <v>45884.925000000003</v>
      </c>
      <c r="D433" s="46">
        <f>INT(Tableau_Données_Lune[[#This Row],[Heure ajustée1]])</f>
        <v>45884</v>
      </c>
      <c r="E433" s="42" t="s">
        <v>30</v>
      </c>
    </row>
    <row r="434" spans="2:5" ht="18" customHeight="1" x14ac:dyDescent="0.25">
      <c r="B434" s="44">
        <v>45892.254166666666</v>
      </c>
      <c r="C434" s="44">
        <f>Tableau_Données_Lune[[#This Row],[Jour et heure (UTC)*]]-7/24</f>
        <v>45891.962500000001</v>
      </c>
      <c r="D434" s="46">
        <f>INT(Tableau_Données_Lune[[#This Row],[Heure ajustée1]])</f>
        <v>45891</v>
      </c>
      <c r="E434" s="42" t="s">
        <v>31</v>
      </c>
    </row>
    <row r="435" spans="2:5" ht="18" customHeight="1" x14ac:dyDescent="0.25">
      <c r="B435" s="44">
        <v>45900.267361111109</v>
      </c>
      <c r="C435" s="44">
        <f>Tableau_Données_Lune[[#This Row],[Jour et heure (UTC)*]]-7/24</f>
        <v>45899.975694444445</v>
      </c>
      <c r="D435" s="46">
        <f>INT(Tableau_Données_Lune[[#This Row],[Heure ajustée1]])</f>
        <v>45899</v>
      </c>
      <c r="E435" s="42" t="s">
        <v>28</v>
      </c>
    </row>
    <row r="436" spans="2:5" ht="18" customHeight="1" x14ac:dyDescent="0.25">
      <c r="B436" s="44">
        <v>45907.756249999999</v>
      </c>
      <c r="C436" s="44">
        <f>Tableau_Données_Lune[[#This Row],[Jour et heure (UTC)*]]-7/24</f>
        <v>45907.464583333334</v>
      </c>
      <c r="D436" s="46">
        <f>INT(Tableau_Données_Lune[[#This Row],[Heure ajustée1]])</f>
        <v>45907</v>
      </c>
      <c r="E436" s="42" t="s">
        <v>29</v>
      </c>
    </row>
    <row r="437" spans="2:5" ht="18" customHeight="1" x14ac:dyDescent="0.25">
      <c r="B437" s="44">
        <v>45914.439583333333</v>
      </c>
      <c r="C437" s="44">
        <f>Tableau_Données_Lune[[#This Row],[Jour et heure (UTC)*]]-7/24</f>
        <v>45914.147916666669</v>
      </c>
      <c r="D437" s="46">
        <f>INT(Tableau_Données_Lune[[#This Row],[Heure ajustée1]])</f>
        <v>45914</v>
      </c>
      <c r="E437" s="42" t="s">
        <v>30</v>
      </c>
    </row>
    <row r="438" spans="2:5" ht="18" customHeight="1" x14ac:dyDescent="0.25">
      <c r="B438" s="44">
        <v>45921.82916666667</v>
      </c>
      <c r="C438" s="44">
        <f>Tableau_Données_Lune[[#This Row],[Jour et heure (UTC)*]]-7/24</f>
        <v>45921.537500000006</v>
      </c>
      <c r="D438" s="46">
        <f>INT(Tableau_Données_Lune[[#This Row],[Heure ajustée1]])</f>
        <v>45921</v>
      </c>
      <c r="E438" s="42" t="s">
        <v>31</v>
      </c>
    </row>
    <row r="439" spans="2:5" ht="18" customHeight="1" x14ac:dyDescent="0.25">
      <c r="B439" s="44">
        <v>45929.995833333334</v>
      </c>
      <c r="C439" s="44">
        <f>Tableau_Données_Lune[[#This Row],[Jour et heure (UTC)*]]-7/24</f>
        <v>45929.70416666667</v>
      </c>
      <c r="D439" s="46">
        <f>INT(Tableau_Données_Lune[[#This Row],[Heure ajustée1]])</f>
        <v>45929</v>
      </c>
      <c r="E439" s="42" t="s">
        <v>28</v>
      </c>
    </row>
    <row r="440" spans="2:5" ht="18" customHeight="1" x14ac:dyDescent="0.25">
      <c r="B440" s="44">
        <v>45937.157638888886</v>
      </c>
      <c r="C440" s="44">
        <f>Tableau_Données_Lune[[#This Row],[Jour et heure (UTC)*]]-7/24</f>
        <v>45936.865972222222</v>
      </c>
      <c r="D440" s="46">
        <f>INT(Tableau_Données_Lune[[#This Row],[Heure ajustée1]])</f>
        <v>45936</v>
      </c>
      <c r="E440" s="42" t="s">
        <v>29</v>
      </c>
    </row>
    <row r="441" spans="2:5" ht="18" customHeight="1" x14ac:dyDescent="0.25">
      <c r="B441" s="44">
        <v>45943.759027777778</v>
      </c>
      <c r="C441" s="44">
        <f>Tableau_Données_Lune[[#This Row],[Jour et heure (UTC)*]]-7/24</f>
        <v>45943.467361111114</v>
      </c>
      <c r="D441" s="46">
        <f>INT(Tableau_Données_Lune[[#This Row],[Heure ajustée1]])</f>
        <v>45943</v>
      </c>
      <c r="E441" s="42" t="s">
        <v>30</v>
      </c>
    </row>
    <row r="442" spans="2:5" ht="18" customHeight="1" x14ac:dyDescent="0.25">
      <c r="B442" s="44">
        <v>45951.517361111109</v>
      </c>
      <c r="C442" s="44">
        <f>Tableau_Données_Lune[[#This Row],[Jour et heure (UTC)*]]-7/24</f>
        <v>45951.225694444445</v>
      </c>
      <c r="D442" s="46">
        <f>INT(Tableau_Données_Lune[[#This Row],[Heure ajustée1]])</f>
        <v>45951</v>
      </c>
      <c r="E442" s="42" t="s">
        <v>31</v>
      </c>
    </row>
    <row r="443" spans="2:5" ht="18" customHeight="1" x14ac:dyDescent="0.25">
      <c r="B443" s="44">
        <v>45959.681250000001</v>
      </c>
      <c r="C443" s="44">
        <f>Tableau_Données_Lune[[#This Row],[Jour et heure (UTC)*]]-7/24</f>
        <v>45959.389583333337</v>
      </c>
      <c r="D443" s="46">
        <f>INT(Tableau_Données_Lune[[#This Row],[Heure ajustée1]])</f>
        <v>45959</v>
      </c>
      <c r="E443" s="42" t="s">
        <v>28</v>
      </c>
    </row>
    <row r="444" spans="2:5" ht="18" customHeight="1" x14ac:dyDescent="0.25">
      <c r="B444" s="44">
        <v>45966.554861111108</v>
      </c>
      <c r="C444" s="44">
        <f>Tableau_Données_Lune[[#This Row],[Jour et heure (UTC)*]]-7/24</f>
        <v>45966.263194444444</v>
      </c>
      <c r="D444" s="46">
        <f>INT(Tableau_Données_Lune[[#This Row],[Heure ajustée1]])</f>
        <v>45966</v>
      </c>
      <c r="E444" s="42" t="s">
        <v>29</v>
      </c>
    </row>
    <row r="445" spans="2:5" ht="18" customHeight="1" x14ac:dyDescent="0.25">
      <c r="B445" s="44">
        <v>45973.227777777778</v>
      </c>
      <c r="C445" s="44">
        <f>Tableau_Données_Lune[[#This Row],[Jour et heure (UTC)*]]-7/24</f>
        <v>45972.936111111114</v>
      </c>
      <c r="D445" s="46">
        <f>INT(Tableau_Données_Lune[[#This Row],[Heure ajustée1]])</f>
        <v>45972</v>
      </c>
      <c r="E445" s="42" t="s">
        <v>30</v>
      </c>
    </row>
    <row r="446" spans="2:5" ht="18" customHeight="1" x14ac:dyDescent="0.25">
      <c r="B446" s="44">
        <v>45981.282638888886</v>
      </c>
      <c r="C446" s="44">
        <f>Tableau_Données_Lune[[#This Row],[Jour et heure (UTC)*]]-7/24</f>
        <v>45980.990972222222</v>
      </c>
      <c r="D446" s="46">
        <f>INT(Tableau_Données_Lune[[#This Row],[Heure ajustée1]])</f>
        <v>45980</v>
      </c>
      <c r="E446" s="42" t="s">
        <v>31</v>
      </c>
    </row>
    <row r="447" spans="2:5" ht="18" customHeight="1" x14ac:dyDescent="0.25">
      <c r="B447" s="44">
        <v>45989.290972222225</v>
      </c>
      <c r="C447" s="44">
        <f>Tableau_Données_Lune[[#This Row],[Jour et heure (UTC)*]]-7/24</f>
        <v>45988.999305555561</v>
      </c>
      <c r="D447" s="46">
        <f>INT(Tableau_Données_Lune[[#This Row],[Heure ajustée1]])</f>
        <v>45988</v>
      </c>
      <c r="E447" s="42" t="s">
        <v>28</v>
      </c>
    </row>
    <row r="448" spans="2:5" ht="18" customHeight="1" x14ac:dyDescent="0.25">
      <c r="B448" s="44">
        <v>45995.968055555553</v>
      </c>
      <c r="C448" s="44">
        <f>Tableau_Données_Lune[[#This Row],[Jour et heure (UTC)*]]-7/24</f>
        <v>45995.676388888889</v>
      </c>
      <c r="D448" s="46">
        <f>INT(Tableau_Données_Lune[[#This Row],[Heure ajustée1]])</f>
        <v>45995</v>
      </c>
      <c r="E448" s="42" t="s">
        <v>29</v>
      </c>
    </row>
    <row r="449" spans="2:5" ht="18" customHeight="1" x14ac:dyDescent="0.25">
      <c r="B449" s="44">
        <v>46002.869444444441</v>
      </c>
      <c r="C449" s="44">
        <f>Tableau_Données_Lune[[#This Row],[Jour et heure (UTC)*]]-7/24</f>
        <v>46002.577777777777</v>
      </c>
      <c r="D449" s="46">
        <f>INT(Tableau_Données_Lune[[#This Row],[Heure ajustée1]])</f>
        <v>46002</v>
      </c>
      <c r="E449" s="42" t="s">
        <v>30</v>
      </c>
    </row>
    <row r="450" spans="2:5" ht="18" customHeight="1" x14ac:dyDescent="0.25">
      <c r="B450" s="44">
        <v>46011.071527777778</v>
      </c>
      <c r="C450" s="44">
        <f>Tableau_Données_Lune[[#This Row],[Jour et heure (UTC)*]]-7/24</f>
        <v>46010.779861111114</v>
      </c>
      <c r="D450" s="46">
        <f>INT(Tableau_Données_Lune[[#This Row],[Heure ajustée1]])</f>
        <v>46010</v>
      </c>
      <c r="E450" s="42" t="s">
        <v>31</v>
      </c>
    </row>
    <row r="451" spans="2:5" ht="18" customHeight="1" x14ac:dyDescent="0.25">
      <c r="B451" s="44">
        <v>46018.798611111109</v>
      </c>
      <c r="C451" s="44">
        <f>Tableau_Données_Lune[[#This Row],[Jour et heure (UTC)*]]-7/24</f>
        <v>46018.506944444445</v>
      </c>
      <c r="D451" s="46">
        <f>INT(Tableau_Données_Lune[[#This Row],[Heure ajustée1]])</f>
        <v>46018</v>
      </c>
      <c r="E451" s="42" t="s">
        <v>28</v>
      </c>
    </row>
    <row r="452" spans="2:5" ht="18" customHeight="1" x14ac:dyDescent="0.25">
      <c r="B452" s="44">
        <v>46025.418749999997</v>
      </c>
      <c r="C452" s="44">
        <f>Tableau_Données_Lune[[#This Row],[Jour et heure (UTC)*]]-7/24</f>
        <v>46025.127083333333</v>
      </c>
      <c r="D452" s="46">
        <f>INT(Tableau_Données_Lune[[#This Row],[Heure ajustée1]])</f>
        <v>46025</v>
      </c>
      <c r="E452" s="42" t="s">
        <v>29</v>
      </c>
    </row>
    <row r="453" spans="2:5" ht="18" customHeight="1" x14ac:dyDescent="0.25">
      <c r="B453" s="44">
        <v>46032.658333333333</v>
      </c>
      <c r="C453" s="44">
        <f>Tableau_Données_Lune[[#This Row],[Jour et heure (UTC)*]]-7/24</f>
        <v>46032.366666666669</v>
      </c>
      <c r="D453" s="46">
        <f>INT(Tableau_Données_Lune[[#This Row],[Heure ajustée1]])</f>
        <v>46032</v>
      </c>
      <c r="E453" s="42" t="s">
        <v>30</v>
      </c>
    </row>
    <row r="454" spans="2:5" ht="18" customHeight="1" x14ac:dyDescent="0.25">
      <c r="B454" s="44">
        <v>46040.827777777777</v>
      </c>
      <c r="C454" s="44">
        <f>Tableau_Données_Lune[[#This Row],[Jour et heure (UTC)*]]-7/24</f>
        <v>46040.536111111112</v>
      </c>
      <c r="D454" s="46">
        <f>INT(Tableau_Données_Lune[[#This Row],[Heure ajustée1]])</f>
        <v>46040</v>
      </c>
      <c r="E454" s="42" t="s">
        <v>31</v>
      </c>
    </row>
    <row r="455" spans="2:5" ht="18" customHeight="1" x14ac:dyDescent="0.25">
      <c r="B455" s="44">
        <v>46048.199305555558</v>
      </c>
      <c r="C455" s="44">
        <f>Tableau_Données_Lune[[#This Row],[Jour et heure (UTC)*]]-7/24</f>
        <v>46047.907638888893</v>
      </c>
      <c r="D455" s="46">
        <f>INT(Tableau_Données_Lune[[#This Row],[Heure ajustée1]])</f>
        <v>46047</v>
      </c>
      <c r="E455" s="42" t="s">
        <v>28</v>
      </c>
    </row>
    <row r="456" spans="2:5" ht="18" customHeight="1" x14ac:dyDescent="0.25">
      <c r="B456" s="44">
        <v>46054.92291666667</v>
      </c>
      <c r="C456" s="44">
        <f>Tableau_Données_Lune[[#This Row],[Jour et heure (UTC)*]]-7/24</f>
        <v>46054.631250000006</v>
      </c>
      <c r="D456" s="46">
        <f>INT(Tableau_Données_Lune[[#This Row],[Heure ajustée1]])</f>
        <v>46054</v>
      </c>
      <c r="E456" s="42" t="s">
        <v>29</v>
      </c>
    </row>
    <row r="457" spans="2:5" ht="18" customHeight="1" x14ac:dyDescent="0.25">
      <c r="B457" s="44">
        <v>46062.529861111114</v>
      </c>
      <c r="C457" s="44">
        <f>Tableau_Données_Lune[[#This Row],[Jour et heure (UTC)*]]-7/24</f>
        <v>46062.23819444445</v>
      </c>
      <c r="D457" s="46">
        <f>INT(Tableau_Données_Lune[[#This Row],[Heure ajustée1]])</f>
        <v>46062</v>
      </c>
      <c r="E457" s="42" t="s">
        <v>30</v>
      </c>
    </row>
    <row r="458" spans="2:5" ht="18" customHeight="1" x14ac:dyDescent="0.25">
      <c r="B458" s="44">
        <v>46070.500694444447</v>
      </c>
      <c r="C458" s="44">
        <f>Tableau_Données_Lune[[#This Row],[Jour et heure (UTC)*]]-7/24</f>
        <v>46070.209027777782</v>
      </c>
      <c r="D458" s="46">
        <f>INT(Tableau_Données_Lune[[#This Row],[Heure ajustée1]])</f>
        <v>46070</v>
      </c>
      <c r="E458" s="42" t="s">
        <v>31</v>
      </c>
    </row>
    <row r="459" spans="2:5" ht="18" customHeight="1" x14ac:dyDescent="0.25">
      <c r="B459" s="44">
        <v>46077.518750000003</v>
      </c>
      <c r="C459" s="44">
        <f>Tableau_Données_Lune[[#This Row],[Jour et heure (UTC)*]]-7/24</f>
        <v>46077.227083333339</v>
      </c>
      <c r="D459" s="46">
        <f>INT(Tableau_Données_Lune[[#This Row],[Heure ajustée1]])</f>
        <v>46077</v>
      </c>
      <c r="E459" s="42" t="s">
        <v>28</v>
      </c>
    </row>
    <row r="460" spans="2:5" ht="18" customHeight="1" x14ac:dyDescent="0.25">
      <c r="B460" s="44">
        <v>46084.484722222223</v>
      </c>
      <c r="C460" s="44">
        <f>Tableau_Données_Lune[[#This Row],[Jour et heure (UTC)*]]-7/24</f>
        <v>46084.193055555559</v>
      </c>
      <c r="D460" s="46">
        <f>INT(Tableau_Données_Lune[[#This Row],[Heure ajustée1]])</f>
        <v>46084</v>
      </c>
      <c r="E460" s="42" t="s">
        <v>29</v>
      </c>
    </row>
    <row r="461" spans="2:5" ht="18" customHeight="1" x14ac:dyDescent="0.25">
      <c r="B461" s="44">
        <v>46092.401388888888</v>
      </c>
      <c r="C461" s="44">
        <f>Tableau_Données_Lune[[#This Row],[Jour et heure (UTC)*]]-7/24</f>
        <v>46092.109722222223</v>
      </c>
      <c r="D461" s="46">
        <f>INT(Tableau_Données_Lune[[#This Row],[Heure ajustée1]])</f>
        <v>46092</v>
      </c>
      <c r="E461" s="42" t="s">
        <v>30</v>
      </c>
    </row>
    <row r="462" spans="2:5" ht="18" customHeight="1" x14ac:dyDescent="0.25">
      <c r="B462" s="44">
        <v>46100.057638888888</v>
      </c>
      <c r="C462" s="44">
        <f>Tableau_Données_Lune[[#This Row],[Jour et heure (UTC)*]]-7/24</f>
        <v>46099.765972222223</v>
      </c>
      <c r="D462" s="46">
        <f>INT(Tableau_Données_Lune[[#This Row],[Heure ajustée1]])</f>
        <v>46099</v>
      </c>
      <c r="E462" s="42" t="s">
        <v>31</v>
      </c>
    </row>
    <row r="463" spans="2:5" ht="18" customHeight="1" x14ac:dyDescent="0.25">
      <c r="B463" s="44">
        <v>46106.804166666669</v>
      </c>
      <c r="C463" s="44">
        <f>Tableau_Données_Lune[[#This Row],[Jour et heure (UTC)*]]-7/24</f>
        <v>46106.512500000004</v>
      </c>
      <c r="D463" s="46">
        <f>INT(Tableau_Données_Lune[[#This Row],[Heure ajustée1]])</f>
        <v>46106</v>
      </c>
      <c r="E463" s="42" t="s">
        <v>28</v>
      </c>
    </row>
    <row r="464" spans="2:5" ht="18" customHeight="1" x14ac:dyDescent="0.25">
      <c r="B464" s="44">
        <v>46114.091666666667</v>
      </c>
      <c r="C464" s="44">
        <f>Tableau_Données_Lune[[#This Row],[Jour et heure (UTC)*]]-7/24</f>
        <v>46113.8</v>
      </c>
      <c r="D464" s="46">
        <f>INT(Tableau_Données_Lune[[#This Row],[Heure ajustée1]])</f>
        <v>46113</v>
      </c>
      <c r="E464" s="42" t="s">
        <v>29</v>
      </c>
    </row>
    <row r="465" spans="2:5" ht="18" customHeight="1" x14ac:dyDescent="0.25">
      <c r="B465" s="44">
        <v>46122.20208333333</v>
      </c>
      <c r="C465" s="44">
        <f>Tableau_Données_Lune[[#This Row],[Jour et heure (UTC)*]]-7/24</f>
        <v>46121.910416666666</v>
      </c>
      <c r="D465" s="46">
        <f>INT(Tableau_Données_Lune[[#This Row],[Heure ajustée1]])</f>
        <v>46121</v>
      </c>
      <c r="E465" s="42" t="s">
        <v>30</v>
      </c>
    </row>
    <row r="466" spans="2:5" ht="18" customHeight="1" x14ac:dyDescent="0.25">
      <c r="B466" s="44">
        <v>46129.494444444441</v>
      </c>
      <c r="C466" s="44">
        <f>Tableau_Données_Lune[[#This Row],[Jour et heure (UTC)*]]-7/24</f>
        <v>46129.202777777777</v>
      </c>
      <c r="D466" s="46">
        <f>INT(Tableau_Données_Lune[[#This Row],[Heure ajustée1]])</f>
        <v>46129</v>
      </c>
      <c r="E466" s="42" t="s">
        <v>31</v>
      </c>
    </row>
    <row r="467" spans="2:5" ht="18" customHeight="1" x14ac:dyDescent="0.25">
      <c r="B467" s="44">
        <v>46136.105555555558</v>
      </c>
      <c r="C467" s="44">
        <f>Tableau_Données_Lune[[#This Row],[Jour et heure (UTC)*]]-7/24</f>
        <v>46135.813888888893</v>
      </c>
      <c r="D467" s="46">
        <f>INT(Tableau_Données_Lune[[#This Row],[Heure ajustée1]])</f>
        <v>46135</v>
      </c>
      <c r="E467" s="42" t="s">
        <v>28</v>
      </c>
    </row>
    <row r="468" spans="2:5" ht="18" customHeight="1" x14ac:dyDescent="0.25">
      <c r="B468" s="44">
        <v>46143.724305555559</v>
      </c>
      <c r="C468" s="44">
        <f>Tableau_Données_Lune[[#This Row],[Jour et heure (UTC)*]]-7/24</f>
        <v>46143.432638888895</v>
      </c>
      <c r="D468" s="46">
        <f>INT(Tableau_Données_Lune[[#This Row],[Heure ajustée1]])</f>
        <v>46143</v>
      </c>
      <c r="E468" s="42" t="s">
        <v>29</v>
      </c>
    </row>
    <row r="469" spans="2:5" ht="18" customHeight="1" x14ac:dyDescent="0.25">
      <c r="B469" s="44">
        <v>46151.881944444445</v>
      </c>
      <c r="C469" s="44">
        <f>Tableau_Données_Lune[[#This Row],[Jour et heure (UTC)*]]-7/24</f>
        <v>46151.590277777781</v>
      </c>
      <c r="D469" s="46">
        <f>INT(Tableau_Données_Lune[[#This Row],[Heure ajustée1]])</f>
        <v>46151</v>
      </c>
      <c r="E469" s="42" t="s">
        <v>30</v>
      </c>
    </row>
    <row r="470" spans="2:5" ht="18" customHeight="1" x14ac:dyDescent="0.25">
      <c r="B470" s="44">
        <v>46158.834027777775</v>
      </c>
      <c r="C470" s="44">
        <f>Tableau_Données_Lune[[#This Row],[Jour et heure (UTC)*]]-7/24</f>
        <v>46158.542361111111</v>
      </c>
      <c r="D470" s="46">
        <f>INT(Tableau_Données_Lune[[#This Row],[Heure ajustée1]])</f>
        <v>46158</v>
      </c>
      <c r="E470" s="42" t="s">
        <v>31</v>
      </c>
    </row>
    <row r="471" spans="2:5" ht="18" customHeight="1" x14ac:dyDescent="0.25">
      <c r="B471" s="44">
        <v>46165.46597222222</v>
      </c>
      <c r="C471" s="44">
        <f>Tableau_Données_Lune[[#This Row],[Jour et heure (UTC)*]]-7/24</f>
        <v>46165.174305555556</v>
      </c>
      <c r="D471" s="46">
        <f>INT(Tableau_Données_Lune[[#This Row],[Heure ajustée1]])</f>
        <v>46165</v>
      </c>
      <c r="E471" s="42" t="s">
        <v>28</v>
      </c>
    </row>
    <row r="472" spans="2:5" ht="18" customHeight="1" x14ac:dyDescent="0.25">
      <c r="B472" s="44">
        <v>46173.364583333336</v>
      </c>
      <c r="C472" s="44">
        <f>Tableau_Données_Lune[[#This Row],[Jour et heure (UTC)*]]-7/24</f>
        <v>46173.072916666672</v>
      </c>
      <c r="D472" s="46">
        <f>INT(Tableau_Données_Lune[[#This Row],[Heure ajustée1]])</f>
        <v>46173</v>
      </c>
      <c r="E472" s="42" t="s">
        <v>29</v>
      </c>
    </row>
    <row r="473" spans="2:5" ht="18" customHeight="1" x14ac:dyDescent="0.25">
      <c r="B473" s="44">
        <v>46181.416666666664</v>
      </c>
      <c r="C473" s="44">
        <f>Tableau_Données_Lune[[#This Row],[Jour et heure (UTC)*]]-7/24</f>
        <v>46181.125</v>
      </c>
      <c r="D473" s="46">
        <f>INT(Tableau_Données_Lune[[#This Row],[Heure ajustée1]])</f>
        <v>46181</v>
      </c>
      <c r="E473" s="42" t="s">
        <v>30</v>
      </c>
    </row>
    <row r="474" spans="2:5" ht="18" customHeight="1" x14ac:dyDescent="0.25">
      <c r="B474" s="44">
        <v>46188.120833333334</v>
      </c>
      <c r="C474" s="44">
        <f>Tableau_Données_Lune[[#This Row],[Jour et heure (UTC)*]]-7/24</f>
        <v>46187.82916666667</v>
      </c>
      <c r="D474" s="46">
        <f>INT(Tableau_Données_Lune[[#This Row],[Heure ajustée1]])</f>
        <v>46187</v>
      </c>
      <c r="E474" s="42" t="s">
        <v>31</v>
      </c>
    </row>
    <row r="475" spans="2:5" ht="18" customHeight="1" x14ac:dyDescent="0.25">
      <c r="B475" s="44">
        <v>46194.913194444445</v>
      </c>
      <c r="C475" s="44">
        <f>Tableau_Données_Lune[[#This Row],[Jour et heure (UTC)*]]-7/24</f>
        <v>46194.621527777781</v>
      </c>
      <c r="D475" s="46">
        <f>INT(Tableau_Données_Lune[[#This Row],[Heure ajustée1]])</f>
        <v>46194</v>
      </c>
      <c r="E475" s="42" t="s">
        <v>28</v>
      </c>
    </row>
    <row r="476" spans="2:5" ht="18" customHeight="1" x14ac:dyDescent="0.25">
      <c r="B476" s="44">
        <v>46202.99722222222</v>
      </c>
      <c r="C476" s="44">
        <f>Tableau_Données_Lune[[#This Row],[Jour et heure (UTC)*]]-7/24</f>
        <v>46202.705555555556</v>
      </c>
      <c r="D476" s="46">
        <f>INT(Tableau_Données_Lune[[#This Row],[Heure ajustée1]])</f>
        <v>46202</v>
      </c>
      <c r="E476" s="42" t="s">
        <v>29</v>
      </c>
    </row>
    <row r="477" spans="2:5" ht="18" customHeight="1" x14ac:dyDescent="0.25">
      <c r="B477" s="44">
        <v>46210.811805555553</v>
      </c>
      <c r="C477" s="44">
        <f>Tableau_Données_Lune[[#This Row],[Jour et heure (UTC)*]]-7/24</f>
        <v>46210.520138888889</v>
      </c>
      <c r="D477" s="46">
        <f>INT(Tableau_Données_Lune[[#This Row],[Heure ajustée1]])</f>
        <v>46210</v>
      </c>
      <c r="E477" s="42" t="s">
        <v>30</v>
      </c>
    </row>
    <row r="478" spans="2:5" ht="18" customHeight="1" x14ac:dyDescent="0.25">
      <c r="B478" s="44">
        <v>46217.404861111114</v>
      </c>
      <c r="C478" s="44">
        <f>Tableau_Données_Lune[[#This Row],[Jour et heure (UTC)*]]-7/24</f>
        <v>46217.11319444445</v>
      </c>
      <c r="D478" s="46">
        <f>INT(Tableau_Données_Lune[[#This Row],[Heure ajustée1]])</f>
        <v>46217</v>
      </c>
      <c r="E478" s="42" t="s">
        <v>31</v>
      </c>
    </row>
    <row r="479" spans="2:5" ht="18" customHeight="1" x14ac:dyDescent="0.25">
      <c r="B479" s="44">
        <v>46224.461805555555</v>
      </c>
      <c r="C479" s="44">
        <f>Tableau_Données_Lune[[#This Row],[Jour et heure (UTC)*]]-7/24</f>
        <v>46224.170138888891</v>
      </c>
      <c r="D479" s="46">
        <f>INT(Tableau_Données_Lune[[#This Row],[Heure ajustée1]])</f>
        <v>46224</v>
      </c>
      <c r="E479" s="42" t="s">
        <v>28</v>
      </c>
    </row>
    <row r="480" spans="2:5" ht="18" customHeight="1" x14ac:dyDescent="0.25">
      <c r="B480" s="44">
        <v>46232.60833333333</v>
      </c>
      <c r="C480" s="44">
        <f>Tableau_Données_Lune[[#This Row],[Jour et heure (UTC)*]]-7/24</f>
        <v>46232.316666666666</v>
      </c>
      <c r="D480" s="46">
        <f>INT(Tableau_Données_Lune[[#This Row],[Heure ajustée1]])</f>
        <v>46232</v>
      </c>
      <c r="E480" s="42" t="s">
        <v>29</v>
      </c>
    </row>
    <row r="481" spans="2:5" ht="18" customHeight="1" x14ac:dyDescent="0.25">
      <c r="B481" s="44">
        <v>46240.097916666666</v>
      </c>
      <c r="C481" s="44">
        <f>Tableau_Données_Lune[[#This Row],[Jour et heure (UTC)*]]-7/24</f>
        <v>46239.806250000001</v>
      </c>
      <c r="D481" s="46">
        <f>INT(Tableau_Données_Lune[[#This Row],[Heure ajustée1]])</f>
        <v>46239</v>
      </c>
      <c r="E481" s="42" t="s">
        <v>30</v>
      </c>
    </row>
    <row r="482" spans="2:5" ht="18" customHeight="1" x14ac:dyDescent="0.25">
      <c r="B482" s="44">
        <v>46246.734027777777</v>
      </c>
      <c r="C482" s="44">
        <f>Tableau_Données_Lune[[#This Row],[Jour et heure (UTC)*]]-7/24</f>
        <v>46246.442361111112</v>
      </c>
      <c r="D482" s="46">
        <f>INT(Tableau_Données_Lune[[#This Row],[Heure ajustée1]])</f>
        <v>46246</v>
      </c>
      <c r="E482" s="42" t="s">
        <v>31</v>
      </c>
    </row>
    <row r="483" spans="2:5" ht="18" customHeight="1" x14ac:dyDescent="0.25">
      <c r="B483" s="44">
        <v>46254.115277777775</v>
      </c>
      <c r="C483" s="44">
        <f>Tableau_Données_Lune[[#This Row],[Jour et heure (UTC)*]]-7/24</f>
        <v>46253.823611111111</v>
      </c>
      <c r="D483" s="46">
        <f>INT(Tableau_Données_Lune[[#This Row],[Heure ajustée1]])</f>
        <v>46253</v>
      </c>
      <c r="E483" s="42" t="s">
        <v>28</v>
      </c>
    </row>
    <row r="484" spans="2:5" ht="18" customHeight="1" x14ac:dyDescent="0.25">
      <c r="B484" s="44">
        <v>46262.179166666669</v>
      </c>
      <c r="C484" s="44">
        <f>Tableau_Données_Lune[[#This Row],[Jour et heure (UTC)*]]-7/24</f>
        <v>46261.887500000004</v>
      </c>
      <c r="D484" s="46">
        <f>INT(Tableau_Données_Lune[[#This Row],[Heure ajustée1]])</f>
        <v>46261</v>
      </c>
      <c r="E484" s="42" t="s">
        <v>29</v>
      </c>
    </row>
    <row r="485" spans="2:5" ht="18" customHeight="1" x14ac:dyDescent="0.25">
      <c r="B485" s="44">
        <v>46269.32708333333</v>
      </c>
      <c r="C485" s="44">
        <f>Tableau_Données_Lune[[#This Row],[Jour et heure (UTC)*]]-7/24</f>
        <v>46269.035416666666</v>
      </c>
      <c r="D485" s="46">
        <f>INT(Tableau_Données_Lune[[#This Row],[Heure ajustée1]])</f>
        <v>46269</v>
      </c>
      <c r="E485" s="42" t="s">
        <v>30</v>
      </c>
    </row>
    <row r="486" spans="2:5" ht="18" customHeight="1" x14ac:dyDescent="0.25">
      <c r="B486" s="44">
        <v>46276.143750000003</v>
      </c>
      <c r="C486" s="44">
        <f>Tableau_Données_Lune[[#This Row],[Jour et heure (UTC)*]]-7/24</f>
        <v>46275.852083333339</v>
      </c>
      <c r="D486" s="46">
        <f>INT(Tableau_Données_Lune[[#This Row],[Heure ajustée1]])</f>
        <v>46275</v>
      </c>
      <c r="E486" s="42" t="s">
        <v>31</v>
      </c>
    </row>
    <row r="487" spans="2:5" ht="18" customHeight="1" x14ac:dyDescent="0.25">
      <c r="B487" s="44">
        <v>46283.863888888889</v>
      </c>
      <c r="C487" s="44">
        <f>Tableau_Données_Lune[[#This Row],[Jour et heure (UTC)*]]-7/24</f>
        <v>46283.572222222225</v>
      </c>
      <c r="D487" s="46">
        <f>INT(Tableau_Données_Lune[[#This Row],[Heure ajustée1]])</f>
        <v>46283</v>
      </c>
      <c r="E487" s="42" t="s">
        <v>28</v>
      </c>
    </row>
    <row r="488" spans="2:5" ht="18" customHeight="1" x14ac:dyDescent="0.25">
      <c r="B488" s="44">
        <v>46291.700694444444</v>
      </c>
      <c r="C488" s="44">
        <f>Tableau_Données_Lune[[#This Row],[Jour et heure (UTC)*]]-7/24</f>
        <v>46291.40902777778</v>
      </c>
      <c r="D488" s="46">
        <f>INT(Tableau_Données_Lune[[#This Row],[Heure ajustée1]])</f>
        <v>46291</v>
      </c>
      <c r="E488" s="42" t="s">
        <v>29</v>
      </c>
    </row>
    <row r="489" spans="2:5" ht="18" customHeight="1" x14ac:dyDescent="0.25">
      <c r="B489" s="44">
        <v>46298.559027777781</v>
      </c>
      <c r="C489" s="44">
        <f>Tableau_Données_Lune[[#This Row],[Jour et heure (UTC)*]]-7/24</f>
        <v>46298.267361111117</v>
      </c>
      <c r="D489" s="46">
        <f>INT(Tableau_Données_Lune[[#This Row],[Heure ajustée1]])</f>
        <v>46298</v>
      </c>
      <c r="E489" s="42" t="s">
        <v>30</v>
      </c>
    </row>
    <row r="490" spans="2:5" ht="18" customHeight="1" x14ac:dyDescent="0.25">
      <c r="B490" s="44">
        <v>46305.659722222219</v>
      </c>
      <c r="C490" s="44">
        <f>Tableau_Données_Lune[[#This Row],[Jour et heure (UTC)*]]-7/24</f>
        <v>46305.368055555555</v>
      </c>
      <c r="D490" s="46">
        <f>INT(Tableau_Données_Lune[[#This Row],[Heure ajustée1]])</f>
        <v>46305</v>
      </c>
      <c r="E490" s="42" t="s">
        <v>31</v>
      </c>
    </row>
    <row r="491" spans="2:5" ht="18" customHeight="1" x14ac:dyDescent="0.25">
      <c r="B491" s="44">
        <v>46313.675000000003</v>
      </c>
      <c r="C491" s="44">
        <f>Tableau_Données_Lune[[#This Row],[Jour et heure (UTC)*]]-7/24</f>
        <v>46313.383333333339</v>
      </c>
      <c r="D491" s="46">
        <f>INT(Tableau_Données_Lune[[#This Row],[Heure ajustée1]])</f>
        <v>46313</v>
      </c>
      <c r="E491" s="42" t="s">
        <v>28</v>
      </c>
    </row>
    <row r="492" spans="2:5" ht="18" customHeight="1" x14ac:dyDescent="0.25">
      <c r="B492" s="44">
        <v>46321.175000000003</v>
      </c>
      <c r="C492" s="44">
        <f>Tableau_Données_Lune[[#This Row],[Jour et heure (UTC)*]]-7/24</f>
        <v>46320.883333333339</v>
      </c>
      <c r="D492" s="46">
        <f>INT(Tableau_Données_Lune[[#This Row],[Heure ajustée1]])</f>
        <v>46320</v>
      </c>
      <c r="E492" s="42" t="s">
        <v>29</v>
      </c>
    </row>
    <row r="493" spans="2:5" ht="18" customHeight="1" x14ac:dyDescent="0.25">
      <c r="B493" s="44">
        <v>46327.852777777778</v>
      </c>
      <c r="C493" s="44">
        <f>Tableau_Données_Lune[[#This Row],[Jour et heure (UTC)*]]-7/24</f>
        <v>46327.561111111114</v>
      </c>
      <c r="D493" s="46">
        <f>INT(Tableau_Données_Lune[[#This Row],[Heure ajustée1]])</f>
        <v>46327</v>
      </c>
      <c r="E493" s="42" t="s">
        <v>30</v>
      </c>
    </row>
    <row r="494" spans="2:5" ht="18" customHeight="1" x14ac:dyDescent="0.25">
      <c r="B494" s="44">
        <v>46335.293055555558</v>
      </c>
      <c r="C494" s="44">
        <f>Tableau_Données_Lune[[#This Row],[Jour et heure (UTC)*]]-7/24</f>
        <v>46335.001388888893</v>
      </c>
      <c r="D494" s="46">
        <f>INT(Tableau_Données_Lune[[#This Row],[Heure ajustée1]])</f>
        <v>46335</v>
      </c>
      <c r="E494" s="42" t="s">
        <v>31</v>
      </c>
    </row>
    <row r="495" spans="2:5" ht="18" customHeight="1" x14ac:dyDescent="0.25">
      <c r="B495" s="44">
        <v>46343.491666666669</v>
      </c>
      <c r="C495" s="44">
        <f>Tableau_Données_Lune[[#This Row],[Jour et heure (UTC)*]]-7/24</f>
        <v>46343.200000000004</v>
      </c>
      <c r="D495" s="46">
        <f>INT(Tableau_Données_Lune[[#This Row],[Heure ajustée1]])</f>
        <v>46343</v>
      </c>
      <c r="E495" s="42" t="s">
        <v>28</v>
      </c>
    </row>
    <row r="496" spans="2:5" ht="18" customHeight="1" x14ac:dyDescent="0.25">
      <c r="B496" s="44">
        <v>46350.620138888888</v>
      </c>
      <c r="C496" s="44">
        <f>Tableau_Données_Lune[[#This Row],[Jour et heure (UTC)*]]-7/24</f>
        <v>46350.328472222223</v>
      </c>
      <c r="D496" s="46">
        <f>INT(Tableau_Données_Lune[[#This Row],[Heure ajustée1]])</f>
        <v>46350</v>
      </c>
      <c r="E496" s="42" t="s">
        <v>29</v>
      </c>
    </row>
    <row r="497" spans="2:5" ht="18" customHeight="1" x14ac:dyDescent="0.25">
      <c r="B497" s="44">
        <v>46357.255555555559</v>
      </c>
      <c r="C497" s="44">
        <f>Tableau_Données_Lune[[#This Row],[Jour et heure (UTC)*]]-7/24</f>
        <v>46356.963888888895</v>
      </c>
      <c r="D497" s="46">
        <f>INT(Tableau_Données_Lune[[#This Row],[Heure ajustée1]])</f>
        <v>46356</v>
      </c>
      <c r="E497" s="42" t="s">
        <v>30</v>
      </c>
    </row>
    <row r="498" spans="2:5" ht="18" customHeight="1" x14ac:dyDescent="0.25">
      <c r="B498" s="44">
        <v>46365.036111111112</v>
      </c>
      <c r="C498" s="44">
        <f>Tableau_Données_Lune[[#This Row],[Jour et heure (UTC)*]]-7/24</f>
        <v>46364.744444444448</v>
      </c>
      <c r="D498" s="46">
        <f>INT(Tableau_Données_Lune[[#This Row],[Heure ajustée1]])</f>
        <v>46364</v>
      </c>
      <c r="E498" s="42" t="s">
        <v>31</v>
      </c>
    </row>
    <row r="499" spans="2:5" ht="18" customHeight="1" x14ac:dyDescent="0.25">
      <c r="B499" s="44">
        <v>46373.237500000003</v>
      </c>
      <c r="C499" s="44">
        <f>Tableau_Données_Lune[[#This Row],[Jour et heure (UTC)*]]-7/24</f>
        <v>46372.945833333339</v>
      </c>
      <c r="D499" s="46">
        <f>INT(Tableau_Données_Lune[[#This Row],[Heure ajustée1]])</f>
        <v>46372</v>
      </c>
      <c r="E499" s="42" t="s">
        <v>28</v>
      </c>
    </row>
    <row r="500" spans="2:5" ht="18" customHeight="1" x14ac:dyDescent="0.25">
      <c r="B500" s="44">
        <v>46380.061111111114</v>
      </c>
      <c r="C500" s="44">
        <f>Tableau_Données_Lune[[#This Row],[Jour et heure (UTC)*]]-7/24</f>
        <v>46379.76944444445</v>
      </c>
      <c r="D500" s="46">
        <f>INT(Tableau_Données_Lune[[#This Row],[Heure ajustée1]])</f>
        <v>46379</v>
      </c>
      <c r="E500" s="42" t="s">
        <v>29</v>
      </c>
    </row>
    <row r="501" spans="2:5" ht="18" customHeight="1" x14ac:dyDescent="0.25">
      <c r="B501" s="44">
        <v>46386.790972222225</v>
      </c>
      <c r="C501" s="44">
        <f>Tableau_Données_Lune[[#This Row],[Jour et heure (UTC)*]]-7/24</f>
        <v>46386.499305555561</v>
      </c>
      <c r="D501" s="46">
        <f>INT(Tableau_Données_Lune[[#This Row],[Heure ajustée1]])</f>
        <v>46386</v>
      </c>
      <c r="E501" s="42" t="s">
        <v>30</v>
      </c>
    </row>
    <row r="502" spans="2:5" ht="18" customHeight="1" x14ac:dyDescent="0.25">
      <c r="B502" s="44">
        <v>46394.85</v>
      </c>
      <c r="C502" s="44">
        <f>Tableau_Données_Lune[[#This Row],[Jour et heure (UTC)*]]-7/24</f>
        <v>46394.558333333334</v>
      </c>
      <c r="D502" s="46">
        <f>INT(Tableau_Données_Lune[[#This Row],[Heure ajustée1]])</f>
        <v>46394</v>
      </c>
      <c r="E502" s="42" t="s">
        <v>31</v>
      </c>
    </row>
    <row r="503" spans="2:5" ht="18" customHeight="1" x14ac:dyDescent="0.25">
      <c r="B503" s="44">
        <v>46402.856944444444</v>
      </c>
      <c r="C503" s="44">
        <f>Tableau_Données_Lune[[#This Row],[Jour et heure (UTC)*]]-7/24</f>
        <v>46402.56527777778</v>
      </c>
      <c r="D503" s="46">
        <f>INT(Tableau_Données_Lune[[#This Row],[Heure ajustée1]])</f>
        <v>46402</v>
      </c>
      <c r="E503" s="42" t="s">
        <v>28</v>
      </c>
    </row>
    <row r="504" spans="2:5" ht="18" customHeight="1" x14ac:dyDescent="0.25">
      <c r="B504" s="44">
        <v>46409.511805555558</v>
      </c>
      <c r="C504" s="44">
        <f>Tableau_Données_Lune[[#This Row],[Jour et heure (UTC)*]]-7/24</f>
        <v>46409.220138888893</v>
      </c>
      <c r="D504" s="46">
        <f>INT(Tableau_Données_Lune[[#This Row],[Heure ajustée1]])</f>
        <v>46409</v>
      </c>
      <c r="E504" s="42" t="s">
        <v>29</v>
      </c>
    </row>
    <row r="505" spans="2:5" ht="18" customHeight="1" x14ac:dyDescent="0.25">
      <c r="B505" s="44">
        <v>46416.454861111109</v>
      </c>
      <c r="C505" s="44">
        <f>Tableau_Données_Lune[[#This Row],[Jour et heure (UTC)*]]-7/24</f>
        <v>46416.163194444445</v>
      </c>
      <c r="D505" s="46">
        <f>INT(Tableau_Données_Lune[[#This Row],[Heure ajustée1]])</f>
        <v>46416</v>
      </c>
      <c r="E505" s="42" t="s">
        <v>30</v>
      </c>
    </row>
    <row r="506" spans="2:5" ht="18" customHeight="1" x14ac:dyDescent="0.25">
      <c r="B506" s="44">
        <v>46424.663888888892</v>
      </c>
      <c r="C506" s="44">
        <f>Tableau_Données_Lune[[#This Row],[Jour et heure (UTC)*]]-7/24</f>
        <v>46424.372222222228</v>
      </c>
      <c r="D506" s="46">
        <f>INT(Tableau_Données_Lune[[#This Row],[Heure ajustée1]])</f>
        <v>46424</v>
      </c>
      <c r="E506" s="42" t="s">
        <v>31</v>
      </c>
    </row>
    <row r="507" spans="2:5" ht="18" customHeight="1" x14ac:dyDescent="0.25">
      <c r="B507" s="44">
        <v>46432.331944444442</v>
      </c>
      <c r="C507" s="44">
        <f>Tableau_Données_Lune[[#This Row],[Jour et heure (UTC)*]]-7/24</f>
        <v>46432.040277777778</v>
      </c>
      <c r="D507" s="46">
        <f>INT(Tableau_Données_Lune[[#This Row],[Heure ajustée1]])</f>
        <v>46432</v>
      </c>
      <c r="E507" s="42" t="s">
        <v>28</v>
      </c>
    </row>
    <row r="508" spans="2:5" ht="18" customHeight="1" x14ac:dyDescent="0.25">
      <c r="B508" s="44">
        <v>46438.974305555559</v>
      </c>
      <c r="C508" s="44">
        <f>Tableau_Données_Lune[[#This Row],[Jour et heure (UTC)*]]-7/24</f>
        <v>46438.682638888895</v>
      </c>
      <c r="D508" s="46">
        <f>INT(Tableau_Données_Lune[[#This Row],[Heure ajustée1]])</f>
        <v>46438</v>
      </c>
      <c r="E508" s="42" t="s">
        <v>29</v>
      </c>
    </row>
    <row r="509" spans="2:5" ht="18" customHeight="1" x14ac:dyDescent="0.25">
      <c r="B509" s="44">
        <v>46446.219444444447</v>
      </c>
      <c r="C509" s="44">
        <f>Tableau_Données_Lune[[#This Row],[Jour et heure (UTC)*]]-7/24</f>
        <v>46445.927777777782</v>
      </c>
      <c r="D509" s="46">
        <f>INT(Tableau_Données_Lune[[#This Row],[Heure ajustée1]])</f>
        <v>46445</v>
      </c>
      <c r="E509" s="42" t="s">
        <v>30</v>
      </c>
    </row>
    <row r="510" spans="2:5" ht="18" customHeight="1" x14ac:dyDescent="0.25">
      <c r="B510" s="44">
        <v>46454.395138888889</v>
      </c>
      <c r="C510" s="44">
        <f>Tableau_Données_Lune[[#This Row],[Jour et heure (UTC)*]]-7/24</f>
        <v>46454.103472222225</v>
      </c>
      <c r="D510" s="46">
        <f>INT(Tableau_Données_Lune[[#This Row],[Heure ajustée1]])</f>
        <v>46454</v>
      </c>
      <c r="E510" s="42" t="s">
        <v>31</v>
      </c>
    </row>
    <row r="511" spans="2:5" ht="18" customHeight="1" x14ac:dyDescent="0.25">
      <c r="B511" s="44">
        <v>46461.684027777781</v>
      </c>
      <c r="C511" s="44">
        <f>Tableau_Données_Lune[[#This Row],[Jour et heure (UTC)*]]-7/24</f>
        <v>46461.392361111117</v>
      </c>
      <c r="D511" s="46">
        <f>INT(Tableau_Données_Lune[[#This Row],[Heure ajustée1]])</f>
        <v>46461</v>
      </c>
      <c r="E511" s="42" t="s">
        <v>28</v>
      </c>
    </row>
    <row r="512" spans="2:5" ht="18" customHeight="1" x14ac:dyDescent="0.25">
      <c r="B512" s="44">
        <v>46468.447222222225</v>
      </c>
      <c r="C512" s="44">
        <f>Tableau_Données_Lune[[#This Row],[Jour et heure (UTC)*]]-7/24</f>
        <v>46468.155555555561</v>
      </c>
      <c r="D512" s="46">
        <f>INT(Tableau_Données_Lune[[#This Row],[Heure ajustée1]])</f>
        <v>46468</v>
      </c>
      <c r="E512" s="42" t="s">
        <v>29</v>
      </c>
    </row>
    <row r="513" spans="2:5" ht="18" customHeight="1" x14ac:dyDescent="0.25">
      <c r="B513" s="44">
        <v>46476.037499999999</v>
      </c>
      <c r="C513" s="44">
        <f>Tableau_Données_Lune[[#This Row],[Jour et heure (UTC)*]]-7/24</f>
        <v>46475.745833333334</v>
      </c>
      <c r="D513" s="46">
        <f>INT(Tableau_Données_Lune[[#This Row],[Heure ajustée1]])</f>
        <v>46475</v>
      </c>
      <c r="E513" s="42" t="s">
        <v>30</v>
      </c>
    </row>
    <row r="514" spans="2:5" ht="18" customHeight="1" x14ac:dyDescent="0.25">
      <c r="B514" s="44">
        <v>46483.993750000001</v>
      </c>
      <c r="C514" s="44">
        <f>Tableau_Données_Lune[[#This Row],[Jour et heure (UTC)*]]-7/24</f>
        <v>46483.702083333337</v>
      </c>
      <c r="D514" s="46">
        <f>INT(Tableau_Données_Lune[[#This Row],[Heure ajustée1]])</f>
        <v>46483</v>
      </c>
      <c r="E514" s="42" t="s">
        <v>31</v>
      </c>
    </row>
    <row r="515" spans="2:5" ht="18" customHeight="1" x14ac:dyDescent="0.25">
      <c r="B515" s="44">
        <v>46490.955555555556</v>
      </c>
      <c r="C515" s="44">
        <f>Tableau_Données_Lune[[#This Row],[Jour et heure (UTC)*]]-7/24</f>
        <v>46490.663888888892</v>
      </c>
      <c r="D515" s="46">
        <f>INT(Tableau_Données_Lune[[#This Row],[Heure ajustée1]])</f>
        <v>46490</v>
      </c>
      <c r="E515" s="42" t="s">
        <v>28</v>
      </c>
    </row>
    <row r="516" spans="2:5" ht="18" customHeight="1" x14ac:dyDescent="0.25">
      <c r="B516" s="44">
        <v>46497.935416666667</v>
      </c>
      <c r="C516" s="44">
        <f>Tableau_Données_Lune[[#This Row],[Jour et heure (UTC)*]]-7/24</f>
        <v>46497.643750000003</v>
      </c>
      <c r="D516" s="46">
        <f>INT(Tableau_Données_Lune[[#This Row],[Heure ajustée1]])</f>
        <v>46497</v>
      </c>
      <c r="E516" s="42" t="s">
        <v>29</v>
      </c>
    </row>
    <row r="517" spans="2:5" ht="18" customHeight="1" x14ac:dyDescent="0.25">
      <c r="B517" s="44">
        <v>46505.845833333333</v>
      </c>
      <c r="C517" s="44">
        <f>Tableau_Données_Lune[[#This Row],[Jour et heure (UTC)*]]-7/24</f>
        <v>46505.554166666669</v>
      </c>
      <c r="D517" s="46">
        <f>INT(Tableau_Données_Lune[[#This Row],[Heure ajustée1]])</f>
        <v>46505</v>
      </c>
      <c r="E517" s="42" t="s">
        <v>30</v>
      </c>
    </row>
    <row r="518" spans="2:5" ht="18" customHeight="1" x14ac:dyDescent="0.25">
      <c r="B518" s="44">
        <v>46513.456944444442</v>
      </c>
      <c r="C518" s="44">
        <f>Tableau_Données_Lune[[#This Row],[Jour et heure (UTC)*]]-7/24</f>
        <v>46513.165277777778</v>
      </c>
      <c r="D518" s="46">
        <f>INT(Tableau_Données_Lune[[#This Row],[Heure ajustée1]])</f>
        <v>46513</v>
      </c>
      <c r="E518" s="42" t="s">
        <v>31</v>
      </c>
    </row>
    <row r="519" spans="2:5" ht="18" customHeight="1" x14ac:dyDescent="0.25">
      <c r="B519" s="44">
        <v>46520.197222222225</v>
      </c>
      <c r="C519" s="44">
        <f>Tableau_Données_Lune[[#This Row],[Jour et heure (UTC)*]]-7/24</f>
        <v>46519.905555555561</v>
      </c>
      <c r="D519" s="46">
        <f>INT(Tableau_Données_Lune[[#This Row],[Heure ajustée1]])</f>
        <v>46519</v>
      </c>
      <c r="E519" s="42" t="s">
        <v>28</v>
      </c>
    </row>
    <row r="520" spans="2:5" ht="18" customHeight="1" x14ac:dyDescent="0.25">
      <c r="B520" s="44">
        <v>46527.457638888889</v>
      </c>
      <c r="C520" s="44">
        <f>Tableau_Données_Lune[[#This Row],[Jour et heure (UTC)*]]-7/24</f>
        <v>46527.165972222225</v>
      </c>
      <c r="D520" s="46">
        <f>INT(Tableau_Données_Lune[[#This Row],[Heure ajustée1]])</f>
        <v>46527</v>
      </c>
      <c r="E520" s="42" t="s">
        <v>29</v>
      </c>
    </row>
    <row r="521" spans="2:5" ht="18" customHeight="1" x14ac:dyDescent="0.25">
      <c r="B521" s="44">
        <v>46535.581944444442</v>
      </c>
      <c r="C521" s="44">
        <f>Tableau_Données_Lune[[#This Row],[Jour et heure (UTC)*]]-7/24</f>
        <v>46535.290277777778</v>
      </c>
      <c r="D521" s="46">
        <f>INT(Tableau_Données_Lune[[#This Row],[Heure ajustée1]])</f>
        <v>46535</v>
      </c>
      <c r="E521" s="42" t="s">
        <v>30</v>
      </c>
    </row>
    <row r="522" spans="2:5" ht="18" customHeight="1" x14ac:dyDescent="0.25">
      <c r="B522" s="44">
        <v>46542.819444444445</v>
      </c>
      <c r="C522" s="44">
        <f>Tableau_Données_Lune[[#This Row],[Jour et heure (UTC)*]]-7/24</f>
        <v>46542.527777777781</v>
      </c>
      <c r="D522" s="46">
        <f>INT(Tableau_Données_Lune[[#This Row],[Heure ajustée1]])</f>
        <v>46542</v>
      </c>
      <c r="E522" s="42" t="s">
        <v>31</v>
      </c>
    </row>
    <row r="523" spans="2:5" ht="18" customHeight="1" x14ac:dyDescent="0.25">
      <c r="B523" s="44">
        <v>46549.455555555556</v>
      </c>
      <c r="C523" s="44">
        <f>Tableau_Données_Lune[[#This Row],[Jour et heure (UTC)*]]-7/24</f>
        <v>46549.163888888892</v>
      </c>
      <c r="D523" s="46">
        <f>INT(Tableau_Données_Lune[[#This Row],[Heure ajustée1]])</f>
        <v>46549</v>
      </c>
      <c r="E523" s="42" t="s">
        <v>28</v>
      </c>
    </row>
    <row r="524" spans="2:5" ht="18" customHeight="1" x14ac:dyDescent="0.25">
      <c r="B524" s="44">
        <v>46557.030555555553</v>
      </c>
      <c r="C524" s="44">
        <f>Tableau_Données_Lune[[#This Row],[Jour et heure (UTC)*]]-7/24</f>
        <v>46556.738888888889</v>
      </c>
      <c r="D524" s="46">
        <f>INT(Tableau_Données_Lune[[#This Row],[Heure ajustée1]])</f>
        <v>46556</v>
      </c>
      <c r="E524" s="42" t="s">
        <v>29</v>
      </c>
    </row>
    <row r="525" spans="2:5" ht="18" customHeight="1" x14ac:dyDescent="0.25">
      <c r="B525" s="44">
        <v>46565.20416666667</v>
      </c>
      <c r="C525" s="44">
        <f>Tableau_Données_Lune[[#This Row],[Jour et heure (UTC)*]]-7/24</f>
        <v>46564.912500000006</v>
      </c>
      <c r="D525" s="46">
        <f>INT(Tableau_Données_Lune[[#This Row],[Heure ajustée1]])</f>
        <v>46564</v>
      </c>
      <c r="E525" s="42" t="s">
        <v>30</v>
      </c>
    </row>
    <row r="526" spans="2:5" ht="18" customHeight="1" x14ac:dyDescent="0.25">
      <c r="B526" s="44">
        <v>46572.126388888886</v>
      </c>
      <c r="C526" s="44">
        <f>Tableau_Données_Lune[[#This Row],[Jour et heure (UTC)*]]-7/24</f>
        <v>46571.834722222222</v>
      </c>
      <c r="D526" s="46">
        <f>INT(Tableau_Données_Lune[[#This Row],[Heure ajustée1]])</f>
        <v>46571</v>
      </c>
      <c r="E526" s="42" t="s">
        <v>31</v>
      </c>
    </row>
    <row r="527" spans="2:5" ht="18" customHeight="1" x14ac:dyDescent="0.25">
      <c r="B527" s="44">
        <v>46578.777083333334</v>
      </c>
      <c r="C527" s="44">
        <f>Tableau_Données_Lune[[#This Row],[Jour et heure (UTC)*]]-7/24</f>
        <v>46578.48541666667</v>
      </c>
      <c r="D527" s="46">
        <f>INT(Tableau_Données_Lune[[#This Row],[Heure ajustée1]])</f>
        <v>46578</v>
      </c>
      <c r="E527" s="42" t="s">
        <v>28</v>
      </c>
    </row>
    <row r="528" spans="2:5" ht="18" customHeight="1" x14ac:dyDescent="0.25">
      <c r="B528" s="44">
        <v>46586.65625</v>
      </c>
      <c r="C528" s="44">
        <f>Tableau_Données_Lune[[#This Row],[Jour et heure (UTC)*]]-7/24</f>
        <v>46586.364583333336</v>
      </c>
      <c r="D528" s="46">
        <f>INT(Tableau_Données_Lune[[#This Row],[Heure ajustée1]])</f>
        <v>46586</v>
      </c>
      <c r="E528" s="42" t="s">
        <v>29</v>
      </c>
    </row>
    <row r="529" spans="2:5" ht="18" customHeight="1" x14ac:dyDescent="0.25">
      <c r="B529" s="44">
        <v>46594.704861111109</v>
      </c>
      <c r="C529" s="44">
        <f>Tableau_Données_Lune[[#This Row],[Jour et heure (UTC)*]]-7/24</f>
        <v>46594.413194444445</v>
      </c>
      <c r="D529" s="46">
        <f>INT(Tableau_Données_Lune[[#This Row],[Heure ajustée1]])</f>
        <v>46594</v>
      </c>
      <c r="E529" s="42" t="s">
        <v>30</v>
      </c>
    </row>
    <row r="530" spans="2:5" ht="18" customHeight="1" x14ac:dyDescent="0.25">
      <c r="B530" s="44">
        <v>46601.420138888891</v>
      </c>
      <c r="C530" s="44">
        <f>Tableau_Données_Lune[[#This Row],[Jour et heure (UTC)*]]-7/24</f>
        <v>46601.128472222226</v>
      </c>
      <c r="D530" s="46">
        <f>INT(Tableau_Données_Lune[[#This Row],[Heure ajustée1]])</f>
        <v>46601</v>
      </c>
      <c r="E530" s="42" t="s">
        <v>31</v>
      </c>
    </row>
    <row r="531" spans="2:5" ht="18" customHeight="1" x14ac:dyDescent="0.25">
      <c r="B531" s="44">
        <v>46608.20416666667</v>
      </c>
      <c r="C531" s="44">
        <f>Tableau_Données_Lune[[#This Row],[Jour et heure (UTC)*]]-7/24</f>
        <v>46607.912500000006</v>
      </c>
      <c r="D531" s="46">
        <f>INT(Tableau_Données_Lune[[#This Row],[Heure ajustée1]])</f>
        <v>46607</v>
      </c>
      <c r="E531" s="42" t="s">
        <v>28</v>
      </c>
    </row>
    <row r="532" spans="2:5" ht="18" customHeight="1" x14ac:dyDescent="0.25">
      <c r="B532" s="44">
        <v>46616.311805555553</v>
      </c>
      <c r="C532" s="44">
        <f>Tableau_Données_Lune[[#This Row],[Jour et heure (UTC)*]]-7/24</f>
        <v>46616.020138888889</v>
      </c>
      <c r="D532" s="46">
        <f>INT(Tableau_Données_Lune[[#This Row],[Heure ajustée1]])</f>
        <v>46616</v>
      </c>
      <c r="E532" s="42" t="s">
        <v>29</v>
      </c>
    </row>
    <row r="533" spans="2:5" ht="18" customHeight="1" x14ac:dyDescent="0.25">
      <c r="B533" s="44">
        <v>46624.102083333331</v>
      </c>
      <c r="C533" s="44">
        <f>Tableau_Données_Lune[[#This Row],[Jour et heure (UTC)*]]-7/24</f>
        <v>46623.810416666667</v>
      </c>
      <c r="D533" s="46">
        <f>INT(Tableau_Données_Lune[[#This Row],[Heure ajustée1]])</f>
        <v>46623</v>
      </c>
      <c r="E533" s="42" t="s">
        <v>30</v>
      </c>
    </row>
    <row r="534" spans="2:5" ht="18" customHeight="1" x14ac:dyDescent="0.25">
      <c r="B534" s="44">
        <v>46630.736805555556</v>
      </c>
      <c r="C534" s="44">
        <f>Tableau_Données_Lune[[#This Row],[Jour et heure (UTC)*]]-7/24</f>
        <v>46630.445138888892</v>
      </c>
      <c r="D534" s="46">
        <f>INT(Tableau_Données_Lune[[#This Row],[Heure ajustée1]])</f>
        <v>46630</v>
      </c>
      <c r="E534" s="42" t="s">
        <v>31</v>
      </c>
    </row>
    <row r="535" spans="2:5" ht="18" customHeight="1" x14ac:dyDescent="0.25">
      <c r="B535" s="44">
        <v>46637.771527777775</v>
      </c>
      <c r="C535" s="44">
        <f>Tableau_Données_Lune[[#This Row],[Jour et heure (UTC)*]]-7/24</f>
        <v>46637.479861111111</v>
      </c>
      <c r="D535" s="46">
        <f>INT(Tableau_Données_Lune[[#This Row],[Heure ajustée1]])</f>
        <v>46637</v>
      </c>
      <c r="E535" s="42" t="s">
        <v>28</v>
      </c>
    </row>
    <row r="536" spans="2:5" ht="18" customHeight="1" x14ac:dyDescent="0.25">
      <c r="B536" s="44">
        <v>46645.960416666669</v>
      </c>
      <c r="C536" s="44">
        <f>Tableau_Données_Lune[[#This Row],[Jour et heure (UTC)*]]-7/24</f>
        <v>46645.668750000004</v>
      </c>
      <c r="D536" s="46">
        <f>INT(Tableau_Données_Lune[[#This Row],[Heure ajustée1]])</f>
        <v>46645</v>
      </c>
      <c r="E536" s="42" t="s">
        <v>29</v>
      </c>
    </row>
    <row r="537" spans="2:5" ht="18" customHeight="1" x14ac:dyDescent="0.25">
      <c r="B537" s="44">
        <v>46653.430555555555</v>
      </c>
      <c r="C537" s="44">
        <f>Tableau_Données_Lune[[#This Row],[Jour et heure (UTC)*]]-7/24</f>
        <v>46653.138888888891</v>
      </c>
      <c r="D537" s="46">
        <f>INT(Tableau_Données_Lune[[#This Row],[Heure ajustée1]])</f>
        <v>46653</v>
      </c>
      <c r="E537" s="42" t="s">
        <v>30</v>
      </c>
    </row>
    <row r="538" spans="2:5" ht="18" customHeight="1" x14ac:dyDescent="0.25">
      <c r="B538" s="44">
        <v>46660.10833333333</v>
      </c>
      <c r="C538" s="44">
        <f>Tableau_Données_Lune[[#This Row],[Jour et heure (UTC)*]]-7/24</f>
        <v>46659.816666666666</v>
      </c>
      <c r="D538" s="46">
        <f>INT(Tableau_Données_Lune[[#This Row],[Heure ajustée1]])</f>
        <v>46659</v>
      </c>
      <c r="E538" s="42" t="s">
        <v>31</v>
      </c>
    </row>
    <row r="539" spans="2:5" ht="18" customHeight="1" x14ac:dyDescent="0.25">
      <c r="B539" s="44">
        <v>46667.490972222222</v>
      </c>
      <c r="C539" s="44">
        <f>Tableau_Données_Lune[[#This Row],[Jour et heure (UTC)*]]-7/24</f>
        <v>46667.199305555558</v>
      </c>
      <c r="D539" s="46">
        <f>INT(Tableau_Données_Lune[[#This Row],[Heure ajustée1]])</f>
        <v>46667</v>
      </c>
      <c r="E539" s="42" t="s">
        <v>28</v>
      </c>
    </row>
    <row r="540" spans="2:5" ht="18" customHeight="1" x14ac:dyDescent="0.25">
      <c r="B540" s="44">
        <v>46675.574305555558</v>
      </c>
      <c r="C540" s="44">
        <f>Tableau_Données_Lune[[#This Row],[Jour et heure (UTC)*]]-7/24</f>
        <v>46675.282638888893</v>
      </c>
      <c r="D540" s="46">
        <f>INT(Tableau_Données_Lune[[#This Row],[Heure ajustée1]])</f>
        <v>46675</v>
      </c>
      <c r="E540" s="42" t="s">
        <v>29</v>
      </c>
    </row>
    <row r="541" spans="2:5" ht="18" customHeight="1" x14ac:dyDescent="0.25">
      <c r="B541" s="44">
        <v>46682.728472222225</v>
      </c>
      <c r="C541" s="44">
        <f>Tableau_Données_Lune[[#This Row],[Jour et heure (UTC)*]]-7/24</f>
        <v>46682.436805555561</v>
      </c>
      <c r="D541" s="46">
        <f>INT(Tableau_Données_Lune[[#This Row],[Heure ajustée1]])</f>
        <v>46682</v>
      </c>
      <c r="E541" s="42" t="s">
        <v>30</v>
      </c>
    </row>
    <row r="542" spans="2:5" ht="18" customHeight="1" x14ac:dyDescent="0.25">
      <c r="B542" s="44">
        <v>46689.566666666666</v>
      </c>
      <c r="C542" s="44">
        <f>Tableau_Données_Lune[[#This Row],[Jour et heure (UTC)*]]-7/24</f>
        <v>46689.275000000001</v>
      </c>
      <c r="D542" s="46">
        <f>INT(Tableau_Données_Lune[[#This Row],[Heure ajustée1]])</f>
        <v>46689</v>
      </c>
      <c r="E542" s="42" t="s">
        <v>31</v>
      </c>
    </row>
    <row r="543" spans="2:5" ht="18" customHeight="1" x14ac:dyDescent="0.25">
      <c r="B543" s="44">
        <v>46697.333333333336</v>
      </c>
      <c r="C543" s="44">
        <f>Tableau_Données_Lune[[#This Row],[Jour et heure (UTC)*]]-7/24</f>
        <v>46697.041666666672</v>
      </c>
      <c r="D543" s="46">
        <f>INT(Tableau_Données_Lune[[#This Row],[Heure ajustée1]])</f>
        <v>46697</v>
      </c>
      <c r="E543" s="42" t="s">
        <v>28</v>
      </c>
    </row>
    <row r="544" spans="2:5" ht="18" customHeight="1" x14ac:dyDescent="0.25">
      <c r="B544" s="44">
        <v>46705.143055555556</v>
      </c>
      <c r="C544" s="44">
        <f>Tableau_Données_Lune[[#This Row],[Jour et heure (UTC)*]]-7/24</f>
        <v>46704.851388888892</v>
      </c>
      <c r="D544" s="46">
        <f>INT(Tableau_Données_Lune[[#This Row],[Heure ajustée1]])</f>
        <v>46704</v>
      </c>
      <c r="E544" s="42" t="s">
        <v>29</v>
      </c>
    </row>
    <row r="545" spans="2:5" ht="18" customHeight="1" x14ac:dyDescent="0.25">
      <c r="B545" s="44">
        <v>46712.033333333333</v>
      </c>
      <c r="C545" s="44">
        <f>Tableau_Données_Lune[[#This Row],[Jour et heure (UTC)*]]-7/24</f>
        <v>46711.741666666669</v>
      </c>
      <c r="D545" s="46">
        <f>INT(Tableau_Données_Lune[[#This Row],[Heure ajustée1]])</f>
        <v>46711</v>
      </c>
      <c r="E545" s="42" t="s">
        <v>30</v>
      </c>
    </row>
    <row r="546" spans="2:5" ht="18" customHeight="1" x14ac:dyDescent="0.25">
      <c r="B546" s="44">
        <v>46719.14166666667</v>
      </c>
      <c r="C546" s="44">
        <f>Tableau_Données_Lune[[#This Row],[Jour et heure (UTC)*]]-7/24</f>
        <v>46718.850000000006</v>
      </c>
      <c r="D546" s="46">
        <f>INT(Tableau_Données_Lune[[#This Row],[Heure ajustée1]])</f>
        <v>46718</v>
      </c>
      <c r="E546" s="42" t="s">
        <v>31</v>
      </c>
    </row>
    <row r="547" spans="2:5" ht="18" customHeight="1" x14ac:dyDescent="0.25">
      <c r="B547" s="44">
        <v>46727.223611111112</v>
      </c>
      <c r="C547" s="44">
        <f>Tableau_Données_Lune[[#This Row],[Jour et heure (UTC)*]]-7/24</f>
        <v>46726.931944444448</v>
      </c>
      <c r="D547" s="46">
        <f>INT(Tableau_Données_Lune[[#This Row],[Heure ajustée1]])</f>
        <v>46726</v>
      </c>
      <c r="E547" s="42" t="s">
        <v>28</v>
      </c>
    </row>
    <row r="548" spans="2:5" ht="18" customHeight="1" x14ac:dyDescent="0.25">
      <c r="B548" s="44">
        <v>46734.67291666667</v>
      </c>
      <c r="C548" s="44">
        <f>Tableau_Données_Lune[[#This Row],[Jour et heure (UTC)*]]-7/24</f>
        <v>46734.381250000006</v>
      </c>
      <c r="D548" s="46">
        <f>INT(Tableau_Données_Lune[[#This Row],[Heure ajustée1]])</f>
        <v>46734</v>
      </c>
      <c r="E548" s="42" t="s">
        <v>29</v>
      </c>
    </row>
    <row r="549" spans="2:5" ht="18" customHeight="1" x14ac:dyDescent="0.25">
      <c r="B549" s="44">
        <v>46741.382638888892</v>
      </c>
      <c r="C549" s="44">
        <f>Tableau_Données_Lune[[#This Row],[Jour et heure (UTC)*]]-7/24</f>
        <v>46741.090972222228</v>
      </c>
      <c r="D549" s="46">
        <f>INT(Tableau_Données_Lune[[#This Row],[Heure ajustée1]])</f>
        <v>46741</v>
      </c>
      <c r="E549" s="42" t="s">
        <v>30</v>
      </c>
    </row>
    <row r="550" spans="2:5" ht="18" customHeight="1" x14ac:dyDescent="0.25">
      <c r="B550" s="44">
        <v>46748.841666666667</v>
      </c>
      <c r="C550" s="44">
        <f>Tableau_Données_Lune[[#This Row],[Jour et heure (UTC)*]]-7/24</f>
        <v>46748.55</v>
      </c>
      <c r="D550" s="46">
        <f>INT(Tableau_Données_Lune[[#This Row],[Heure ajustée1]])</f>
        <v>46748</v>
      </c>
      <c r="E550" s="42" t="s">
        <v>31</v>
      </c>
    </row>
    <row r="551" spans="2:5" ht="18" customHeight="1" x14ac:dyDescent="0.25">
      <c r="B551" s="44">
        <v>46757.069444444445</v>
      </c>
      <c r="C551" s="44">
        <f>Tableau_Données_Lune[[#This Row],[Jour et heure (UTC)*]]-7/24</f>
        <v>46756.777777777781</v>
      </c>
      <c r="D551" s="46">
        <f>INT(Tableau_Données_Lune[[#This Row],[Heure ajustée1]])</f>
        <v>46756</v>
      </c>
      <c r="E551" s="42" t="s">
        <v>28</v>
      </c>
    </row>
    <row r="552" spans="2:5" ht="18" customHeight="1" x14ac:dyDescent="0.25">
      <c r="B552" s="44">
        <v>46764.168749999997</v>
      </c>
      <c r="C552" s="44">
        <f>Tableau_Données_Lune[[#This Row],[Jour et heure (UTC)*]]-7/24</f>
        <v>46763.877083333333</v>
      </c>
      <c r="D552" s="46">
        <f>INT(Tableau_Données_Lune[[#This Row],[Heure ajustée1]])</f>
        <v>46763</v>
      </c>
      <c r="E552" s="42" t="s">
        <v>29</v>
      </c>
    </row>
    <row r="553" spans="2:5" ht="18" customHeight="1" x14ac:dyDescent="0.25">
      <c r="B553" s="44">
        <v>46770.80972222222</v>
      </c>
      <c r="C553" s="44">
        <f>Tableau_Données_Lune[[#This Row],[Jour et heure (UTC)*]]-7/24</f>
        <v>46770.518055555556</v>
      </c>
      <c r="D553" s="46">
        <f>INT(Tableau_Données_Lune[[#This Row],[Heure ajustée1]])</f>
        <v>46770</v>
      </c>
      <c r="E553" s="42" t="s">
        <v>30</v>
      </c>
    </row>
    <row r="554" spans="2:5" ht="18" customHeight="1" x14ac:dyDescent="0.25">
      <c r="B554" s="44">
        <v>46778.633333333331</v>
      </c>
      <c r="C554" s="44">
        <f>Tableau_Données_Lune[[#This Row],[Jour et heure (UTC)*]]-7/24</f>
        <v>46778.341666666667</v>
      </c>
      <c r="D554" s="46">
        <f>INT(Tableau_Données_Lune[[#This Row],[Heure ajustée1]])</f>
        <v>46778</v>
      </c>
      <c r="E554" s="42" t="s">
        <v>31</v>
      </c>
    </row>
    <row r="555" spans="2:5" ht="18" customHeight="1" x14ac:dyDescent="0.25">
      <c r="B555" s="44">
        <v>46786.798611111109</v>
      </c>
      <c r="C555" s="44">
        <f>Tableau_Données_Lune[[#This Row],[Jour et heure (UTC)*]]-7/24</f>
        <v>46786.506944444445</v>
      </c>
      <c r="D555" s="46">
        <f>INT(Tableau_Données_Lune[[#This Row],[Heure ajustée1]])</f>
        <v>46786</v>
      </c>
      <c r="E555" s="42" t="s">
        <v>28</v>
      </c>
    </row>
    <row r="556" spans="2:5" ht="18" customHeight="1" x14ac:dyDescent="0.25">
      <c r="B556" s="44">
        <v>46793.62777777778</v>
      </c>
      <c r="C556" s="44">
        <f>Tableau_Données_Lune[[#This Row],[Jour et heure (UTC)*]]-7/24</f>
        <v>46793.336111111115</v>
      </c>
      <c r="D556" s="46">
        <f>INT(Tableau_Données_Lune[[#This Row],[Heure ajustée1]])</f>
        <v>46793</v>
      </c>
      <c r="E556" s="42" t="s">
        <v>29</v>
      </c>
    </row>
    <row r="557" spans="2:5" ht="18" customHeight="1" x14ac:dyDescent="0.25">
      <c r="B557" s="44">
        <v>46800.338888888888</v>
      </c>
      <c r="C557" s="44">
        <f>Tableau_Données_Lune[[#This Row],[Jour et heure (UTC)*]]-7/24</f>
        <v>46800.047222222223</v>
      </c>
      <c r="D557" s="46">
        <f>INT(Tableau_Données_Lune[[#This Row],[Heure ajustée1]])</f>
        <v>46800</v>
      </c>
      <c r="E557" s="42" t="s">
        <v>30</v>
      </c>
    </row>
    <row r="558" spans="2:5" ht="18" customHeight="1" x14ac:dyDescent="0.25">
      <c r="B558" s="44">
        <v>46808.442361111112</v>
      </c>
      <c r="C558" s="44">
        <f>Tableau_Données_Lune[[#This Row],[Jour et heure (UTC)*]]-7/24</f>
        <v>46808.150694444448</v>
      </c>
      <c r="D558" s="46">
        <f>INT(Tableau_Données_Lune[[#This Row],[Heure ajustée1]])</f>
        <v>46808</v>
      </c>
      <c r="E558" s="42" t="s">
        <v>31</v>
      </c>
    </row>
    <row r="559" spans="2:5" ht="18" customHeight="1" x14ac:dyDescent="0.25">
      <c r="B559" s="44">
        <v>46816.376388888886</v>
      </c>
      <c r="C559" s="44">
        <f>Tableau_Données_Lune[[#This Row],[Jour et heure (UTC)*]]-7/24</f>
        <v>46816.084722222222</v>
      </c>
      <c r="D559" s="46">
        <f>INT(Tableau_Données_Lune[[#This Row],[Heure ajustée1]])</f>
        <v>46816</v>
      </c>
      <c r="E559" s="42" t="s">
        <v>28</v>
      </c>
    </row>
    <row r="560" spans="2:5" ht="18" customHeight="1" x14ac:dyDescent="0.25">
      <c r="B560" s="44">
        <v>46823.04583333333</v>
      </c>
      <c r="C560" s="44">
        <f>Tableau_Données_Lune[[#This Row],[Jour et heure (UTC)*]]-7/24</f>
        <v>46822.754166666666</v>
      </c>
      <c r="D560" s="46">
        <f>INT(Tableau_Données_Lune[[#This Row],[Heure ajustée1]])</f>
        <v>46822</v>
      </c>
      <c r="E560" s="42" t="s">
        <v>29</v>
      </c>
    </row>
    <row r="561" spans="2:5" ht="18" customHeight="1" x14ac:dyDescent="0.25">
      <c r="B561" s="44">
        <v>46829.974305555559</v>
      </c>
      <c r="C561" s="44">
        <f>Tableau_Données_Lune[[#This Row],[Jour et heure (UTC)*]]-7/24</f>
        <v>46829.682638888895</v>
      </c>
      <c r="D561" s="46">
        <f>INT(Tableau_Données_Lune[[#This Row],[Heure ajustée1]])</f>
        <v>46829</v>
      </c>
      <c r="E561" s="42" t="s">
        <v>30</v>
      </c>
    </row>
    <row r="562" spans="2:5" ht="18" customHeight="1" x14ac:dyDescent="0.25">
      <c r="B562" s="44">
        <v>46838.188194444447</v>
      </c>
      <c r="C562" s="44">
        <f>Tableau_Données_Lune[[#This Row],[Jour et heure (UTC)*]]-7/24</f>
        <v>46837.896527777782</v>
      </c>
      <c r="D562" s="46">
        <f>INT(Tableau_Données_Lune[[#This Row],[Heure ajustée1]])</f>
        <v>46837</v>
      </c>
      <c r="E562" s="42" t="s">
        <v>31</v>
      </c>
    </row>
    <row r="563" spans="2:5" ht="18" customHeight="1" x14ac:dyDescent="0.25">
      <c r="B563" s="44">
        <v>46845.802083333336</v>
      </c>
      <c r="C563" s="44">
        <f>Tableau_Données_Lune[[#This Row],[Jour et heure (UTC)*]]-7/24</f>
        <v>46845.510416666672</v>
      </c>
      <c r="D563" s="46">
        <f>INT(Tableau_Données_Lune[[#This Row],[Heure ajustée1]])</f>
        <v>46845</v>
      </c>
      <c r="E563" s="42" t="s">
        <v>28</v>
      </c>
    </row>
    <row r="564" spans="2:5" ht="18" customHeight="1" x14ac:dyDescent="0.25">
      <c r="B564" s="44">
        <v>46852.43472222222</v>
      </c>
      <c r="C564" s="44">
        <f>Tableau_Données_Lune[[#This Row],[Jour et heure (UTC)*]]-7/24</f>
        <v>46852.143055555556</v>
      </c>
      <c r="D564" s="46">
        <f>INT(Tableau_Données_Lune[[#This Row],[Heure ajustée1]])</f>
        <v>46852</v>
      </c>
      <c r="E564" s="42" t="s">
        <v>29</v>
      </c>
    </row>
    <row r="565" spans="2:5" ht="18" customHeight="1" x14ac:dyDescent="0.25">
      <c r="B565" s="44">
        <v>46859.692361111112</v>
      </c>
      <c r="C565" s="44">
        <f>Tableau_Données_Lune[[#This Row],[Jour et heure (UTC)*]]-7/24</f>
        <v>46859.400694444448</v>
      </c>
      <c r="D565" s="46">
        <f>INT(Tableau_Données_Lune[[#This Row],[Heure ajustée1]])</f>
        <v>46859</v>
      </c>
      <c r="E565" s="42" t="s">
        <v>30</v>
      </c>
    </row>
    <row r="566" spans="2:5" ht="18" customHeight="1" x14ac:dyDescent="0.25">
      <c r="B566" s="44">
        <v>46867.824305555558</v>
      </c>
      <c r="C566" s="44">
        <f>Tableau_Données_Lune[[#This Row],[Jour et heure (UTC)*]]-7/24</f>
        <v>46867.532638888893</v>
      </c>
      <c r="D566" s="46">
        <f>INT(Tableau_Données_Lune[[#This Row],[Heure ajustée1]])</f>
        <v>46867</v>
      </c>
      <c r="E566" s="42" t="s">
        <v>31</v>
      </c>
    </row>
    <row r="567" spans="2:5" ht="18" customHeight="1" x14ac:dyDescent="0.25">
      <c r="B567" s="44">
        <v>46875.101388888892</v>
      </c>
      <c r="C567" s="44">
        <f>Tableau_Données_Lune[[#This Row],[Jour et heure (UTC)*]]-7/24</f>
        <v>46874.809722222228</v>
      </c>
      <c r="D567" s="46">
        <f>INT(Tableau_Données_Lune[[#This Row],[Heure ajustée1]])</f>
        <v>46874</v>
      </c>
      <c r="E567" s="42" t="s">
        <v>28</v>
      </c>
    </row>
    <row r="568" spans="2:5" ht="18" customHeight="1" x14ac:dyDescent="0.25">
      <c r="B568" s="44">
        <v>46881.825694444444</v>
      </c>
      <c r="C568" s="44">
        <f>Tableau_Données_Lune[[#This Row],[Jour et heure (UTC)*]]-7/24</f>
        <v>46881.53402777778</v>
      </c>
      <c r="D568" s="46">
        <f>INT(Tableau_Données_Lune[[#This Row],[Heure ajustée1]])</f>
        <v>46881</v>
      </c>
      <c r="E568" s="42" t="s">
        <v>29</v>
      </c>
    </row>
    <row r="569" spans="2:5" ht="18" customHeight="1" x14ac:dyDescent="0.25">
      <c r="B569" s="44">
        <v>46889.446527777778</v>
      </c>
      <c r="C569" s="44">
        <f>Tableau_Données_Lune[[#This Row],[Jour et heure (UTC)*]]-7/24</f>
        <v>46889.154861111114</v>
      </c>
      <c r="D569" s="46">
        <f>INT(Tableau_Données_Lune[[#This Row],[Heure ajustée1]])</f>
        <v>46889</v>
      </c>
      <c r="E569" s="42" t="s">
        <v>30</v>
      </c>
    </row>
    <row r="570" spans="2:5" ht="18" customHeight="1" x14ac:dyDescent="0.25">
      <c r="B570" s="44">
        <v>46897.344444444447</v>
      </c>
      <c r="C570" s="44">
        <f>Tableau_Données_Lune[[#This Row],[Jour et heure (UTC)*]]-7/24</f>
        <v>46897.052777777782</v>
      </c>
      <c r="D570" s="46">
        <f>INT(Tableau_Données_Lune[[#This Row],[Heure ajustée1]])</f>
        <v>46897</v>
      </c>
      <c r="E570" s="42" t="s">
        <v>31</v>
      </c>
    </row>
    <row r="571" spans="2:5" ht="18" customHeight="1" x14ac:dyDescent="0.25">
      <c r="B571" s="44">
        <v>46904.316666666666</v>
      </c>
      <c r="C571" s="44">
        <f>Tableau_Données_Lune[[#This Row],[Jour et heure (UTC)*]]-7/24</f>
        <v>46904.025000000001</v>
      </c>
      <c r="D571" s="46">
        <f>INT(Tableau_Données_Lune[[#This Row],[Heure ajustée1]])</f>
        <v>46904</v>
      </c>
      <c r="E571" s="42" t="s">
        <v>28</v>
      </c>
    </row>
    <row r="572" spans="2:5" ht="18" customHeight="1" x14ac:dyDescent="0.25">
      <c r="B572" s="44">
        <v>46911.256249999999</v>
      </c>
      <c r="C572" s="44">
        <f>Tableau_Données_Lune[[#This Row],[Jour et heure (UTC)*]]-7/24</f>
        <v>46910.964583333334</v>
      </c>
      <c r="D572" s="46">
        <f>INT(Tableau_Données_Lune[[#This Row],[Heure ajustée1]])</f>
        <v>46910</v>
      </c>
      <c r="E572" s="42" t="s">
        <v>29</v>
      </c>
    </row>
    <row r="573" spans="2:5" ht="18" customHeight="1" x14ac:dyDescent="0.25">
      <c r="B573" s="44">
        <v>46919.185416666667</v>
      </c>
      <c r="C573" s="44">
        <f>Tableau_Données_Lune[[#This Row],[Jour et heure (UTC)*]]-7/24</f>
        <v>46918.893750000003</v>
      </c>
      <c r="D573" s="46">
        <f>INT(Tableau_Données_Lune[[#This Row],[Heure ajustée1]])</f>
        <v>46918</v>
      </c>
      <c r="E573" s="42" t="s">
        <v>30</v>
      </c>
    </row>
    <row r="574" spans="2:5" ht="18" customHeight="1" x14ac:dyDescent="0.25">
      <c r="B574" s="44">
        <v>46926.768750000003</v>
      </c>
      <c r="C574" s="44">
        <f>Tableau_Données_Lune[[#This Row],[Jour et heure (UTC)*]]-7/24</f>
        <v>46926.477083333339</v>
      </c>
      <c r="D574" s="46">
        <f>INT(Tableau_Données_Lune[[#This Row],[Heure ajustée1]])</f>
        <v>46926</v>
      </c>
      <c r="E574" s="42" t="s">
        <v>31</v>
      </c>
    </row>
    <row r="575" spans="2:5" ht="18" customHeight="1" x14ac:dyDescent="0.25">
      <c r="B575" s="44">
        <v>46933.506944444445</v>
      </c>
      <c r="C575" s="44">
        <f>Tableau_Données_Lune[[#This Row],[Jour et heure (UTC)*]]-7/24</f>
        <v>46933.215277777781</v>
      </c>
      <c r="D575" s="46">
        <f>INT(Tableau_Données_Lune[[#This Row],[Heure ajustée1]])</f>
        <v>46933</v>
      </c>
      <c r="E575" s="42" t="s">
        <v>28</v>
      </c>
    </row>
    <row r="576" spans="2:5" ht="18" customHeight="1" x14ac:dyDescent="0.25">
      <c r="B576" s="44">
        <v>46940.757638888892</v>
      </c>
      <c r="C576" s="44">
        <f>Tableau_Données_Lune[[#This Row],[Jour et heure (UTC)*]]-7/24</f>
        <v>46940.465972222228</v>
      </c>
      <c r="D576" s="46">
        <f>INT(Tableau_Données_Lune[[#This Row],[Heure ajustée1]])</f>
        <v>46940</v>
      </c>
      <c r="E576" s="42" t="s">
        <v>29</v>
      </c>
    </row>
    <row r="577" spans="2:5" ht="18" customHeight="1" x14ac:dyDescent="0.25">
      <c r="B577" s="44">
        <v>46948.87222222222</v>
      </c>
      <c r="C577" s="44">
        <f>Tableau_Données_Lune[[#This Row],[Jour et heure (UTC)*]]-7/24</f>
        <v>46948.580555555556</v>
      </c>
      <c r="D577" s="46">
        <f>INT(Tableau_Données_Lune[[#This Row],[Heure ajustée1]])</f>
        <v>46948</v>
      </c>
      <c r="E577" s="42" t="s">
        <v>30</v>
      </c>
    </row>
    <row r="578" spans="2:5" ht="18" customHeight="1" x14ac:dyDescent="0.25">
      <c r="B578" s="44">
        <v>46956.126388888886</v>
      </c>
      <c r="C578" s="44">
        <f>Tableau_Données_Lune[[#This Row],[Jour et heure (UTC)*]]-7/24</f>
        <v>46955.834722222222</v>
      </c>
      <c r="D578" s="46">
        <f>INT(Tableau_Données_Lune[[#This Row],[Heure ajustée1]])</f>
        <v>46955</v>
      </c>
      <c r="E578" s="42" t="s">
        <v>31</v>
      </c>
    </row>
    <row r="579" spans="2:5" ht="18" customHeight="1" x14ac:dyDescent="0.25">
      <c r="B579" s="44">
        <v>46962.736111111109</v>
      </c>
      <c r="C579" s="44">
        <f>Tableau_Données_Lune[[#This Row],[Jour et heure (UTC)*]]-7/24</f>
        <v>46962.444444444445</v>
      </c>
      <c r="D579" s="46">
        <f>INT(Tableau_Données_Lune[[#This Row],[Heure ajustée1]])</f>
        <v>46962</v>
      </c>
      <c r="E579" s="42" t="s">
        <v>28</v>
      </c>
    </row>
    <row r="580" spans="2:5" ht="18" customHeight="1" x14ac:dyDescent="0.25">
      <c r="B580" s="44">
        <v>46970.340277777781</v>
      </c>
      <c r="C580" s="44">
        <f>Tableau_Données_Lune[[#This Row],[Jour et heure (UTC)*]]-7/24</f>
        <v>46970.048611111117</v>
      </c>
      <c r="D580" s="46">
        <f>INT(Tableau_Données_Lune[[#This Row],[Heure ajustée1]])</f>
        <v>46970</v>
      </c>
      <c r="E580" s="42" t="s">
        <v>29</v>
      </c>
    </row>
    <row r="581" spans="2:5" ht="18" customHeight="1" x14ac:dyDescent="0.25">
      <c r="B581" s="44">
        <v>46978.489583333336</v>
      </c>
      <c r="C581" s="44">
        <f>Tableau_Données_Lune[[#This Row],[Jour et heure (UTC)*]]-7/24</f>
        <v>46978.197916666672</v>
      </c>
      <c r="D581" s="46">
        <f>INT(Tableau_Données_Lune[[#This Row],[Heure ajustée1]])</f>
        <v>46978</v>
      </c>
      <c r="E581" s="42" t="s">
        <v>30</v>
      </c>
    </row>
    <row r="582" spans="2:5" ht="18" customHeight="1" x14ac:dyDescent="0.25">
      <c r="B582" s="44">
        <v>46985.447222222225</v>
      </c>
      <c r="C582" s="44">
        <f>Tableau_Données_Lune[[#This Row],[Jour et heure (UTC)*]]-7/24</f>
        <v>46985.155555555561</v>
      </c>
      <c r="D582" s="46">
        <f>INT(Tableau_Données_Lune[[#This Row],[Heure ajustée1]])</f>
        <v>46985</v>
      </c>
      <c r="E582" s="42" t="s">
        <v>31</v>
      </c>
    </row>
    <row r="583" spans="2:5" ht="18" customHeight="1" x14ac:dyDescent="0.25">
      <c r="B583" s="44">
        <v>46992.066666666666</v>
      </c>
      <c r="C583" s="44">
        <f>Tableau_Données_Lune[[#This Row],[Jour et heure (UTC)*]]-7/24</f>
        <v>46991.775000000001</v>
      </c>
      <c r="D583" s="46">
        <f>INT(Tableau_Données_Lune[[#This Row],[Heure ajustée1]])</f>
        <v>46991</v>
      </c>
      <c r="E583" s="42" t="s">
        <v>28</v>
      </c>
    </row>
    <row r="584" spans="2:5" ht="18" customHeight="1" x14ac:dyDescent="0.25">
      <c r="B584" s="44">
        <v>46999.990972222222</v>
      </c>
      <c r="C584" s="44">
        <f>Tableau_Données_Lune[[#This Row],[Jour et heure (UTC)*]]-7/24</f>
        <v>46999.699305555558</v>
      </c>
      <c r="D584" s="46">
        <f>INT(Tableau_Données_Lune[[#This Row],[Heure ajustée1]])</f>
        <v>46999</v>
      </c>
      <c r="E584" s="42" t="s">
        <v>29</v>
      </c>
    </row>
    <row r="585" spans="2:5" ht="18" customHeight="1" x14ac:dyDescent="0.25">
      <c r="B585" s="44">
        <v>47008.031944444447</v>
      </c>
      <c r="C585" s="44">
        <f>Tableau_Données_Lune[[#This Row],[Jour et heure (UTC)*]]-7/24</f>
        <v>47007.740277777782</v>
      </c>
      <c r="D585" s="46">
        <f>INT(Tableau_Données_Lune[[#This Row],[Heure ajustée1]])</f>
        <v>47007</v>
      </c>
      <c r="E585" s="42" t="s">
        <v>30</v>
      </c>
    </row>
    <row r="586" spans="2:5" ht="18" customHeight="1" x14ac:dyDescent="0.25">
      <c r="B586" s="44">
        <v>47014.76666666667</v>
      </c>
      <c r="C586" s="44">
        <f>Tableau_Données_Lune[[#This Row],[Jour et heure (UTC)*]]-7/24</f>
        <v>47014.475000000006</v>
      </c>
      <c r="D586" s="46">
        <f>INT(Tableau_Données_Lune[[#This Row],[Heure ajustée1]])</f>
        <v>47014</v>
      </c>
      <c r="E586" s="42" t="s">
        <v>31</v>
      </c>
    </row>
    <row r="587" spans="2:5" ht="18" customHeight="1" x14ac:dyDescent="0.25">
      <c r="B587" s="44">
        <v>47021.548611111109</v>
      </c>
      <c r="C587" s="44">
        <f>Tableau_Données_Lune[[#This Row],[Jour et heure (UTC)*]]-7/24</f>
        <v>47021.256944444445</v>
      </c>
      <c r="D587" s="46">
        <f>INT(Tableau_Données_Lune[[#This Row],[Heure ajustée1]])</f>
        <v>47021</v>
      </c>
      <c r="E587" s="42" t="s">
        <v>28</v>
      </c>
    </row>
    <row r="588" spans="2:5" ht="18" customHeight="1" x14ac:dyDescent="0.25">
      <c r="B588" s="44">
        <v>47029.684027777781</v>
      </c>
      <c r="C588" s="44">
        <f>Tableau_Données_Lune[[#This Row],[Jour et heure (UTC)*]]-7/24</f>
        <v>47029.392361111117</v>
      </c>
      <c r="D588" s="46">
        <f>INT(Tableau_Données_Lune[[#This Row],[Heure ajustée1]])</f>
        <v>47029</v>
      </c>
      <c r="E588" s="42" t="s">
        <v>29</v>
      </c>
    </row>
    <row r="589" spans="2:5" ht="18" customHeight="1" x14ac:dyDescent="0.25">
      <c r="B589" s="44">
        <v>47037.497916666667</v>
      </c>
      <c r="C589" s="44">
        <f>Tableau_Données_Lune[[#This Row],[Jour et heure (UTC)*]]-7/24</f>
        <v>47037.206250000003</v>
      </c>
      <c r="D589" s="46">
        <f>INT(Tableau_Données_Lune[[#This Row],[Heure ajustée1]])</f>
        <v>47037</v>
      </c>
      <c r="E589" s="42" t="s">
        <v>30</v>
      </c>
    </row>
    <row r="590" spans="2:5" ht="18" customHeight="1" x14ac:dyDescent="0.25">
      <c r="B590" s="44">
        <v>47044.122916666667</v>
      </c>
      <c r="C590" s="44">
        <f>Tableau_Données_Lune[[#This Row],[Jour et heure (UTC)*]]-7/24</f>
        <v>47043.831250000003</v>
      </c>
      <c r="D590" s="46">
        <f>INT(Tableau_Données_Lune[[#This Row],[Heure ajustée1]])</f>
        <v>47043</v>
      </c>
      <c r="E590" s="42" t="s">
        <v>31</v>
      </c>
    </row>
    <row r="591" spans="2:5" ht="18" customHeight="1" x14ac:dyDescent="0.25">
      <c r="B591" s="44">
        <v>47051.203472222223</v>
      </c>
      <c r="C591" s="44">
        <f>Tableau_Données_Lune[[#This Row],[Jour et heure (UTC)*]]-7/24</f>
        <v>47050.911805555559</v>
      </c>
      <c r="D591" s="46">
        <f>INT(Tableau_Données_Lune[[#This Row],[Heure ajustée1]])</f>
        <v>47050</v>
      </c>
      <c r="E591" s="42" t="s">
        <v>28</v>
      </c>
    </row>
    <row r="592" spans="2:5" ht="18" customHeight="1" x14ac:dyDescent="0.25">
      <c r="B592" s="44">
        <v>47059.386805555558</v>
      </c>
      <c r="C592" s="44">
        <f>Tableau_Données_Lune[[#This Row],[Jour et heure (UTC)*]]-7/24</f>
        <v>47059.095138888893</v>
      </c>
      <c r="D592" s="46">
        <f>INT(Tableau_Données_Lune[[#This Row],[Heure ajustée1]])</f>
        <v>47059</v>
      </c>
      <c r="E592" s="42" t="s">
        <v>29</v>
      </c>
    </row>
    <row r="593" spans="2:5" ht="18" customHeight="1" x14ac:dyDescent="0.25">
      <c r="B593" s="44">
        <v>47066.893055555556</v>
      </c>
      <c r="C593" s="44">
        <f>Tableau_Données_Lune[[#This Row],[Jour et heure (UTC)*]]-7/24</f>
        <v>47066.601388888892</v>
      </c>
      <c r="D593" s="46">
        <f>INT(Tableau_Données_Lune[[#This Row],[Heure ajustée1]])</f>
        <v>47066</v>
      </c>
      <c r="E593" s="42" t="s">
        <v>30</v>
      </c>
    </row>
    <row r="594" spans="2:5" ht="18" customHeight="1" x14ac:dyDescent="0.25">
      <c r="B594" s="44">
        <v>47073.554166666669</v>
      </c>
      <c r="C594" s="44">
        <f>Tableau_Données_Lune[[#This Row],[Jour et heure (UTC)*]]-7/24</f>
        <v>47073.262500000004</v>
      </c>
      <c r="D594" s="46">
        <f>INT(Tableau_Données_Lune[[#This Row],[Heure ajustée1]])</f>
        <v>47073</v>
      </c>
      <c r="E594" s="42" t="s">
        <v>31</v>
      </c>
    </row>
    <row r="595" spans="2:5" ht="18" customHeight="1" x14ac:dyDescent="0.25">
      <c r="B595" s="44">
        <v>47081.009722222225</v>
      </c>
      <c r="C595" s="44">
        <f>Tableau_Données_Lune[[#This Row],[Jour et heure (UTC)*]]-7/24</f>
        <v>47080.718055555561</v>
      </c>
      <c r="D595" s="46">
        <f>INT(Tableau_Données_Lune[[#This Row],[Heure ajustée1]])</f>
        <v>47080</v>
      </c>
      <c r="E595" s="42" t="s">
        <v>28</v>
      </c>
    </row>
    <row r="596" spans="2:5" ht="18" customHeight="1" x14ac:dyDescent="0.25">
      <c r="B596" s="44">
        <v>47089.069444444445</v>
      </c>
      <c r="C596" s="44">
        <f>Tableau_Données_Lune[[#This Row],[Jour et heure (UTC)*]]-7/24</f>
        <v>47088.777777777781</v>
      </c>
      <c r="D596" s="46">
        <f>INT(Tableau_Données_Lune[[#This Row],[Heure ajustée1]])</f>
        <v>47088</v>
      </c>
      <c r="E596" s="42" t="s">
        <v>29</v>
      </c>
    </row>
    <row r="597" spans="2:5" ht="18" customHeight="1" x14ac:dyDescent="0.25">
      <c r="B597" s="44">
        <v>47096.23541666667</v>
      </c>
      <c r="C597" s="44">
        <f>Tableau_Données_Lune[[#This Row],[Jour et heure (UTC)*]]-7/24</f>
        <v>47095.943750000006</v>
      </c>
      <c r="D597" s="46">
        <f>INT(Tableau_Données_Lune[[#This Row],[Heure ajustée1]])</f>
        <v>47095</v>
      </c>
      <c r="E597" s="42" t="s">
        <v>30</v>
      </c>
    </row>
    <row r="598" spans="2:5" ht="18" customHeight="1" x14ac:dyDescent="0.25">
      <c r="B598" s="44">
        <v>47103.087500000001</v>
      </c>
      <c r="C598" s="44">
        <f>Tableau_Données_Lune[[#This Row],[Jour et heure (UTC)*]]-7/24</f>
        <v>47102.795833333337</v>
      </c>
      <c r="D598" s="46">
        <f>INT(Tableau_Données_Lune[[#This Row],[Heure ajustée1]])</f>
        <v>47102</v>
      </c>
      <c r="E598" s="42" t="s">
        <v>31</v>
      </c>
    </row>
    <row r="599" spans="2:5" ht="18" customHeight="1" x14ac:dyDescent="0.25">
      <c r="B599" s="44">
        <v>47110.90625</v>
      </c>
      <c r="C599" s="44">
        <f>Tableau_Données_Lune[[#This Row],[Jour et heure (UTC)*]]-7/24</f>
        <v>47110.614583333336</v>
      </c>
      <c r="D599" s="46">
        <f>INT(Tableau_Données_Lune[[#This Row],[Heure ajustée1]])</f>
        <v>47110</v>
      </c>
      <c r="E599" s="42" t="s">
        <v>28</v>
      </c>
    </row>
    <row r="600" spans="2:5" ht="18" customHeight="1" x14ac:dyDescent="0.25">
      <c r="B600" s="44">
        <v>47118.7</v>
      </c>
      <c r="C600" s="44">
        <f>Tableau_Données_Lune[[#This Row],[Jour et heure (UTC)*]]-7/24</f>
        <v>47118.408333333333</v>
      </c>
      <c r="D600" s="46">
        <f>INT(Tableau_Données_Lune[[#This Row],[Heure ajustée1]])</f>
        <v>47118</v>
      </c>
      <c r="E600" s="42" t="s">
        <v>29</v>
      </c>
    </row>
    <row r="601" spans="2:5" ht="18" customHeight="1" x14ac:dyDescent="0.25">
      <c r="B601" s="44">
        <v>47125.55972222222</v>
      </c>
      <c r="C601" s="44">
        <f>Tableau_Données_Lune[[#This Row],[Jour et heure (UTC)*]]-7/24</f>
        <v>47125.268055555556</v>
      </c>
      <c r="D601" s="46">
        <f>INT(Tableau_Données_Lune[[#This Row],[Heure ajustée1]])</f>
        <v>47125</v>
      </c>
      <c r="E601" s="42" t="s">
        <v>30</v>
      </c>
    </row>
    <row r="602" spans="2:5" ht="18" customHeight="1" x14ac:dyDescent="0.25">
      <c r="B602" s="44">
        <v>47132.724999999999</v>
      </c>
      <c r="C602" s="44">
        <f>Tableau_Données_Lune[[#This Row],[Jour et heure (UTC)*]]-7/24</f>
        <v>47132.433333333334</v>
      </c>
      <c r="D602" s="46">
        <f>INT(Tableau_Données_Lune[[#This Row],[Heure ajustée1]])</f>
        <v>47132</v>
      </c>
      <c r="E602" s="42" t="s">
        <v>31</v>
      </c>
    </row>
    <row r="603" spans="2:5" ht="18" customHeight="1" x14ac:dyDescent="0.25">
      <c r="B603" s="44">
        <v>47140.807638888888</v>
      </c>
      <c r="C603" s="44">
        <f>Tableau_Données_Lune[[#This Row],[Jour et heure (UTC)*]]-7/24</f>
        <v>47140.515972222223</v>
      </c>
      <c r="D603" s="46">
        <f>INT(Tableau_Données_Lune[[#This Row],[Heure ajustée1]])</f>
        <v>47140</v>
      </c>
      <c r="E603" s="42" t="s">
        <v>28</v>
      </c>
    </row>
    <row r="604" spans="2:5" ht="18" customHeight="1" x14ac:dyDescent="0.25">
      <c r="B604" s="44">
        <v>47148.252083333333</v>
      </c>
      <c r="C604" s="44">
        <f>Tableau_Données_Lune[[#This Row],[Jour et heure (UTC)*]]-7/24</f>
        <v>47147.960416666669</v>
      </c>
      <c r="D604" s="46">
        <f>INT(Tableau_Données_Lune[[#This Row],[Heure ajustée1]])</f>
        <v>47147</v>
      </c>
      <c r="E604" s="42" t="s">
        <v>29</v>
      </c>
    </row>
    <row r="605" spans="2:5" ht="18" customHeight="1" x14ac:dyDescent="0.25">
      <c r="B605" s="44">
        <v>47154.911111111112</v>
      </c>
      <c r="C605" s="44">
        <f>Tableau_Données_Lune[[#This Row],[Jour et heure (UTC)*]]-7/24</f>
        <v>47154.619444444448</v>
      </c>
      <c r="D605" s="46">
        <f>INT(Tableau_Données_Lune[[#This Row],[Heure ajustée1]])</f>
        <v>47154</v>
      </c>
      <c r="E605" s="42" t="s">
        <v>30</v>
      </c>
    </row>
    <row r="606" spans="2:5" ht="18" customHeight="1" x14ac:dyDescent="0.25">
      <c r="B606" s="44">
        <v>47162.438194444447</v>
      </c>
      <c r="C606" s="44">
        <f>Tableau_Données_Lune[[#This Row],[Jour et heure (UTC)*]]-7/24</f>
        <v>47162.146527777782</v>
      </c>
      <c r="D606" s="46">
        <f>INT(Tableau_Données_Lune[[#This Row],[Heure ajustée1]])</f>
        <v>47162</v>
      </c>
      <c r="E606" s="42" t="s">
        <v>31</v>
      </c>
    </row>
    <row r="607" spans="2:5" ht="18" customHeight="1" x14ac:dyDescent="0.25">
      <c r="B607" s="44">
        <v>47170.631944444445</v>
      </c>
      <c r="C607" s="44">
        <f>Tableau_Données_Lune[[#This Row],[Jour et heure (UTC)*]]-7/24</f>
        <v>47170.340277777781</v>
      </c>
      <c r="D607" s="46">
        <f>INT(Tableau_Données_Lune[[#This Row],[Heure ajustée1]])</f>
        <v>47170</v>
      </c>
      <c r="E607" s="42" t="s">
        <v>28</v>
      </c>
    </row>
    <row r="608" spans="2:5" ht="18" customHeight="1" x14ac:dyDescent="0.25">
      <c r="B608" s="44">
        <v>47177.715277777781</v>
      </c>
      <c r="C608" s="44">
        <f>Tableau_Données_Lune[[#This Row],[Jour et heure (UTC)*]]-7/24</f>
        <v>47177.423611111117</v>
      </c>
      <c r="D608" s="46">
        <f>INT(Tableau_Données_Lune[[#This Row],[Heure ajustée1]])</f>
        <v>47177</v>
      </c>
      <c r="E608" s="42" t="s">
        <v>29</v>
      </c>
    </row>
    <row r="609" spans="2:5" ht="18" customHeight="1" x14ac:dyDescent="0.25">
      <c r="B609" s="44">
        <v>47184.32708333333</v>
      </c>
      <c r="C609" s="44">
        <f>Tableau_Données_Lune[[#This Row],[Jour et heure (UTC)*]]-7/24</f>
        <v>47184.035416666666</v>
      </c>
      <c r="D609" s="46">
        <f>INT(Tableau_Données_Lune[[#This Row],[Heure ajustée1]])</f>
        <v>47184</v>
      </c>
      <c r="E609" s="42" t="s">
        <v>30</v>
      </c>
    </row>
    <row r="610" spans="2:5" ht="18" customHeight="1" x14ac:dyDescent="0.25">
      <c r="B610" s="44">
        <v>47192.179861111108</v>
      </c>
      <c r="C610" s="44">
        <f>Tableau_Données_Lune[[#This Row],[Jour et heure (UTC)*]]-7/24</f>
        <v>47191.888194444444</v>
      </c>
      <c r="D610" s="46">
        <f>INT(Tableau_Données_Lune[[#This Row],[Heure ajustée1]])</f>
        <v>47191</v>
      </c>
      <c r="E610" s="42" t="s">
        <v>31</v>
      </c>
    </row>
    <row r="611" spans="2:5" ht="18" customHeight="1" x14ac:dyDescent="0.25">
      <c r="B611" s="44">
        <v>47200.314583333333</v>
      </c>
      <c r="C611" s="44">
        <f>Tableau_Données_Lune[[#This Row],[Jour et heure (UTC)*]]-7/24</f>
        <v>47200.022916666669</v>
      </c>
      <c r="D611" s="46">
        <f>INT(Tableau_Données_Lune[[#This Row],[Heure ajustée1]])</f>
        <v>47200</v>
      </c>
      <c r="E611" s="42" t="s">
        <v>28</v>
      </c>
    </row>
    <row r="612" spans="2:5" ht="18" customHeight="1" x14ac:dyDescent="0.25">
      <c r="B612" s="44">
        <v>47207.101388888892</v>
      </c>
      <c r="C612" s="44">
        <f>Tableau_Données_Lune[[#This Row],[Jour et heure (UTC)*]]-7/24</f>
        <v>47206.809722222228</v>
      </c>
      <c r="D612" s="46">
        <f>INT(Tableau_Données_Lune[[#This Row],[Heure ajustée1]])</f>
        <v>47206</v>
      </c>
      <c r="E612" s="42" t="s">
        <v>29</v>
      </c>
    </row>
    <row r="613" spans="2:5" ht="18" customHeight="1" x14ac:dyDescent="0.25">
      <c r="B613" s="44">
        <v>47213.82708333333</v>
      </c>
      <c r="C613" s="44">
        <f>Tableau_Données_Lune[[#This Row],[Jour et heure (UTC)*]]-7/24</f>
        <v>47213.535416666666</v>
      </c>
      <c r="D613" s="46">
        <f>INT(Tableau_Données_Lune[[#This Row],[Heure ajustée1]])</f>
        <v>47213</v>
      </c>
      <c r="E613" s="42" t="s">
        <v>30</v>
      </c>
    </row>
    <row r="614" spans="2:5" ht="18" customHeight="1" x14ac:dyDescent="0.25">
      <c r="B614" s="44">
        <v>47221.902777777781</v>
      </c>
      <c r="C614" s="44">
        <f>Tableau_Données_Lune[[#This Row],[Jour et heure (UTC)*]]-7/24</f>
        <v>47221.611111111117</v>
      </c>
      <c r="D614" s="46">
        <f>INT(Tableau_Données_Lune[[#This Row],[Heure ajustée1]])</f>
        <v>47221</v>
      </c>
      <c r="E614" s="42" t="s">
        <v>31</v>
      </c>
    </row>
    <row r="615" spans="2:5" ht="18" customHeight="1" x14ac:dyDescent="0.25">
      <c r="B615" s="44">
        <v>47229.826388888891</v>
      </c>
      <c r="C615" s="44">
        <f>Tableau_Données_Lune[[#This Row],[Jour et heure (UTC)*]]-7/24</f>
        <v>47229.534722222226</v>
      </c>
      <c r="D615" s="46">
        <f>INT(Tableau_Données_Lune[[#This Row],[Heure ajustée1]])</f>
        <v>47229</v>
      </c>
      <c r="E615" s="42" t="s">
        <v>28</v>
      </c>
    </row>
    <row r="616" spans="2:5" ht="18" customHeight="1" x14ac:dyDescent="0.25">
      <c r="B616" s="44">
        <v>47236.442361111112</v>
      </c>
      <c r="C616" s="44">
        <f>Tableau_Données_Lune[[#This Row],[Jour et heure (UTC)*]]-7/24</f>
        <v>47236.150694444448</v>
      </c>
      <c r="D616" s="46">
        <f>INT(Tableau_Données_Lune[[#This Row],[Heure ajustée1]])</f>
        <v>47236</v>
      </c>
      <c r="E616" s="42" t="s">
        <v>29</v>
      </c>
    </row>
    <row r="617" spans="2:5" ht="18" customHeight="1" x14ac:dyDescent="0.25">
      <c r="B617" s="44">
        <v>47243.408333333333</v>
      </c>
      <c r="C617" s="44">
        <f>Tableau_Données_Lune[[#This Row],[Jour et heure (UTC)*]]-7/24</f>
        <v>47243.116666666669</v>
      </c>
      <c r="D617" s="46">
        <f>INT(Tableau_Données_Lune[[#This Row],[Heure ajustée1]])</f>
        <v>47243</v>
      </c>
      <c r="E617" s="42" t="s">
        <v>30</v>
      </c>
    </row>
    <row r="618" spans="2:5" ht="18" customHeight="1" x14ac:dyDescent="0.25">
      <c r="B618" s="44">
        <v>47251.570833333331</v>
      </c>
      <c r="C618" s="44">
        <f>Tableau_Données_Lune[[#This Row],[Jour et heure (UTC)*]]-7/24</f>
        <v>47251.279166666667</v>
      </c>
      <c r="D618" s="46">
        <f>INT(Tableau_Données_Lune[[#This Row],[Heure ajustée1]])</f>
        <v>47251</v>
      </c>
      <c r="E618" s="42" t="s">
        <v>31</v>
      </c>
    </row>
    <row r="619" spans="2:5" ht="18" customHeight="1" x14ac:dyDescent="0.25">
      <c r="B619" s="44">
        <v>47259.177777777775</v>
      </c>
      <c r="C619" s="44">
        <f>Tableau_Données_Lune[[#This Row],[Jour et heure (UTC)*]]-7/24</f>
        <v>47258.886111111111</v>
      </c>
      <c r="D619" s="46">
        <f>INT(Tableau_Données_Lune[[#This Row],[Heure ajustée1]])</f>
        <v>47258</v>
      </c>
      <c r="E619" s="42" t="s">
        <v>28</v>
      </c>
    </row>
    <row r="620" spans="2:5" ht="18" customHeight="1" x14ac:dyDescent="0.25">
      <c r="B620" s="44">
        <v>47265.775694444441</v>
      </c>
      <c r="C620" s="44">
        <f>Tableau_Données_Lune[[#This Row],[Jour et heure (UTC)*]]-7/24</f>
        <v>47265.484027777777</v>
      </c>
      <c r="D620" s="46">
        <f>INT(Tableau_Données_Lune[[#This Row],[Heure ajustée1]])</f>
        <v>47265</v>
      </c>
      <c r="E620" s="42" t="s">
        <v>29</v>
      </c>
    </row>
    <row r="621" spans="2:5" ht="18" customHeight="1" x14ac:dyDescent="0.25">
      <c r="B621" s="44">
        <v>47273.054861111108</v>
      </c>
      <c r="C621" s="44">
        <f>Tableau_Données_Lune[[#This Row],[Jour et heure (UTC)*]]-7/24</f>
        <v>47272.763194444444</v>
      </c>
      <c r="D621" s="46">
        <f>INT(Tableau_Données_Lune[[#This Row],[Heure ajustée1]])</f>
        <v>47272</v>
      </c>
      <c r="E621" s="42" t="s">
        <v>30</v>
      </c>
    </row>
    <row r="622" spans="2:5" ht="18" customHeight="1" x14ac:dyDescent="0.25">
      <c r="B622" s="44">
        <v>47281.159722222219</v>
      </c>
      <c r="C622" s="44">
        <f>Tableau_Données_Lune[[#This Row],[Jour et heure (UTC)*]]-7/24</f>
        <v>47280.868055555555</v>
      </c>
      <c r="D622" s="46">
        <f>INT(Tableau_Données_Lune[[#This Row],[Heure ajustée1]])</f>
        <v>47280</v>
      </c>
      <c r="E622" s="42" t="s">
        <v>31</v>
      </c>
    </row>
    <row r="623" spans="2:5" ht="18" customHeight="1" x14ac:dyDescent="0.25">
      <c r="B623" s="44">
        <v>47288.412499999999</v>
      </c>
      <c r="C623" s="44">
        <f>Tableau_Données_Lune[[#This Row],[Jour et heure (UTC)*]]-7/24</f>
        <v>47288.120833333334</v>
      </c>
      <c r="D623" s="46">
        <f>INT(Tableau_Données_Lune[[#This Row],[Heure ajustée1]])</f>
        <v>47288</v>
      </c>
      <c r="E623" s="42" t="s">
        <v>28</v>
      </c>
    </row>
    <row r="624" spans="2:5" ht="18" customHeight="1" x14ac:dyDescent="0.25">
      <c r="B624" s="44">
        <v>47295.140277777777</v>
      </c>
      <c r="C624" s="44">
        <f>Tableau_Données_Lune[[#This Row],[Jour et heure (UTC)*]]-7/24</f>
        <v>47294.848611111112</v>
      </c>
      <c r="D624" s="46">
        <f>INT(Tableau_Données_Lune[[#This Row],[Heure ajustée1]])</f>
        <v>47294</v>
      </c>
      <c r="E624" s="42" t="s">
        <v>29</v>
      </c>
    </row>
    <row r="625" spans="2:5" ht="18" customHeight="1" x14ac:dyDescent="0.25">
      <c r="B625" s="44">
        <v>47302.747916666667</v>
      </c>
      <c r="C625" s="44">
        <f>Tableau_Données_Lune[[#This Row],[Jour et heure (UTC)*]]-7/24</f>
        <v>47302.456250000003</v>
      </c>
      <c r="D625" s="46">
        <f>INT(Tableau_Données_Lune[[#This Row],[Heure ajustée1]])</f>
        <v>47302</v>
      </c>
      <c r="E625" s="42" t="s">
        <v>30</v>
      </c>
    </row>
    <row r="626" spans="2:5" ht="18" customHeight="1" x14ac:dyDescent="0.25">
      <c r="B626" s="44">
        <v>47310.660416666666</v>
      </c>
      <c r="C626" s="44">
        <f>Tableau_Données_Lune[[#This Row],[Jour et heure (UTC)*]]-7/24</f>
        <v>47310.368750000001</v>
      </c>
      <c r="D626" s="46">
        <f>INT(Tableau_Données_Lune[[#This Row],[Heure ajustée1]])</f>
        <v>47310</v>
      </c>
      <c r="E626" s="42" t="s">
        <v>31</v>
      </c>
    </row>
    <row r="627" spans="2:5" ht="18" customHeight="1" x14ac:dyDescent="0.25">
      <c r="B627" s="44">
        <v>47317.593055555553</v>
      </c>
      <c r="C627" s="44">
        <f>Tableau_Données_Lune[[#This Row],[Jour et heure (UTC)*]]-7/24</f>
        <v>47317.301388888889</v>
      </c>
      <c r="D627" s="46">
        <f>INT(Tableau_Données_Lune[[#This Row],[Heure ajustée1]])</f>
        <v>47317</v>
      </c>
      <c r="E627" s="42" t="s">
        <v>28</v>
      </c>
    </row>
    <row r="628" spans="2:5" ht="18" customHeight="1" x14ac:dyDescent="0.25">
      <c r="B628" s="44">
        <v>47324.566666666666</v>
      </c>
      <c r="C628" s="44">
        <f>Tableau_Données_Lune[[#This Row],[Jour et heure (UTC)*]]-7/24</f>
        <v>47324.275000000001</v>
      </c>
      <c r="D628" s="46">
        <f>INT(Tableau_Données_Lune[[#This Row],[Heure ajustée1]])</f>
        <v>47324</v>
      </c>
      <c r="E628" s="42" t="s">
        <v>29</v>
      </c>
    </row>
    <row r="629" spans="2:5" ht="18" customHeight="1" x14ac:dyDescent="0.25">
      <c r="B629" s="44">
        <v>47332.46875</v>
      </c>
      <c r="C629" s="44">
        <f>Tableau_Données_Lune[[#This Row],[Jour et heure (UTC)*]]-7/24</f>
        <v>47332.177083333336</v>
      </c>
      <c r="D629" s="46">
        <f>INT(Tableau_Données_Lune[[#This Row],[Heure ajustée1]])</f>
        <v>47332</v>
      </c>
      <c r="E629" s="42" t="s">
        <v>30</v>
      </c>
    </row>
    <row r="630" spans="2:5" ht="18" customHeight="1" x14ac:dyDescent="0.25">
      <c r="B630" s="44">
        <v>47340.080555555556</v>
      </c>
      <c r="C630" s="44">
        <f>Tableau_Données_Lune[[#This Row],[Jour et heure (UTC)*]]-7/24</f>
        <v>47339.788888888892</v>
      </c>
      <c r="D630" s="46">
        <f>INT(Tableau_Données_Lune[[#This Row],[Heure ajustée1]])</f>
        <v>47339</v>
      </c>
      <c r="E630" s="42" t="s">
        <v>31</v>
      </c>
    </row>
    <row r="631" spans="2:5" ht="18" customHeight="1" x14ac:dyDescent="0.25">
      <c r="B631" s="44">
        <v>47346.788194444445</v>
      </c>
      <c r="C631" s="44">
        <f>Tableau_Données_Lune[[#This Row],[Jour et heure (UTC)*]]-7/24</f>
        <v>47346.496527777781</v>
      </c>
      <c r="D631" s="46">
        <f>INT(Tableau_Données_Lune[[#This Row],[Heure ajustée1]])</f>
        <v>47346</v>
      </c>
      <c r="E631" s="42" t="s">
        <v>28</v>
      </c>
    </row>
    <row r="632" spans="2:5" ht="18" customHeight="1" x14ac:dyDescent="0.25">
      <c r="B632" s="44">
        <v>47354.07708333333</v>
      </c>
      <c r="C632" s="44">
        <f>Tableau_Données_Lune[[#This Row],[Jour et heure (UTC)*]]-7/24</f>
        <v>47353.785416666666</v>
      </c>
      <c r="D632" s="46">
        <f>INT(Tableau_Données_Lune[[#This Row],[Heure ajustée1]])</f>
        <v>47353</v>
      </c>
      <c r="E632" s="42" t="s">
        <v>29</v>
      </c>
    </row>
    <row r="633" spans="2:5" ht="18" customHeight="1" x14ac:dyDescent="0.25">
      <c r="B633" s="44">
        <v>47362.189583333333</v>
      </c>
      <c r="C633" s="44">
        <f>Tableau_Données_Lune[[#This Row],[Jour et heure (UTC)*]]-7/24</f>
        <v>47361.897916666669</v>
      </c>
      <c r="D633" s="46">
        <f>INT(Tableau_Données_Lune[[#This Row],[Heure ajustée1]])</f>
        <v>47361</v>
      </c>
      <c r="E633" s="42" t="s">
        <v>30</v>
      </c>
    </row>
    <row r="634" spans="2:5" ht="18" customHeight="1" x14ac:dyDescent="0.25">
      <c r="B634" s="44">
        <v>47369.447222222225</v>
      </c>
      <c r="C634" s="44">
        <f>Tableau_Données_Lune[[#This Row],[Jour et heure (UTC)*]]-7/24</f>
        <v>47369.155555555561</v>
      </c>
      <c r="D634" s="46">
        <f>INT(Tableau_Données_Lune[[#This Row],[Heure ajustée1]])</f>
        <v>47369</v>
      </c>
      <c r="E634" s="42" t="s">
        <v>31</v>
      </c>
    </row>
    <row r="635" spans="2:5" ht="18" customHeight="1" x14ac:dyDescent="0.25">
      <c r="B635" s="44">
        <v>47376.061805555553</v>
      </c>
      <c r="C635" s="44">
        <f>Tableau_Données_Lune[[#This Row],[Jour et heure (UTC)*]]-7/24</f>
        <v>47375.770138888889</v>
      </c>
      <c r="D635" s="46">
        <f>INT(Tableau_Données_Lune[[#This Row],[Heure ajustée1]])</f>
        <v>47375</v>
      </c>
      <c r="E635" s="42" t="s">
        <v>28</v>
      </c>
    </row>
    <row r="636" spans="2:5" ht="18" customHeight="1" x14ac:dyDescent="0.25">
      <c r="B636" s="44">
        <v>47383.686805555553</v>
      </c>
      <c r="C636" s="44">
        <f>Tableau_Données_Lune[[#This Row],[Jour et heure (UTC)*]]-7/24</f>
        <v>47383.395138888889</v>
      </c>
      <c r="D636" s="46">
        <f>INT(Tableau_Données_Lune[[#This Row],[Heure ajustée1]])</f>
        <v>47383</v>
      </c>
      <c r="E636" s="42" t="s">
        <v>29</v>
      </c>
    </row>
    <row r="637" spans="2:5" ht="18" customHeight="1" x14ac:dyDescent="0.25">
      <c r="B637" s="44">
        <v>47391.872916666667</v>
      </c>
      <c r="C637" s="44">
        <f>Tableau_Données_Lune[[#This Row],[Jour et heure (UTC)*]]-7/24</f>
        <v>47391.581250000003</v>
      </c>
      <c r="D637" s="46">
        <f>INT(Tableau_Données_Lune[[#This Row],[Heure ajustée1]])</f>
        <v>47391</v>
      </c>
      <c r="E637" s="42" t="s">
        <v>30</v>
      </c>
    </row>
    <row r="638" spans="2:5" ht="18" customHeight="1" x14ac:dyDescent="0.25">
      <c r="B638" s="44">
        <v>47398.801388888889</v>
      </c>
      <c r="C638" s="44">
        <f>Tableau_Données_Lune[[#This Row],[Jour et heure (UTC)*]]-7/24</f>
        <v>47398.509722222225</v>
      </c>
      <c r="D638" s="46">
        <f>INT(Tableau_Données_Lune[[#This Row],[Heure ajustée1]])</f>
        <v>47398</v>
      </c>
      <c r="E638" s="42" t="s">
        <v>31</v>
      </c>
    </row>
    <row r="639" spans="2:5" ht="18" customHeight="1" x14ac:dyDescent="0.25">
      <c r="B639" s="44">
        <v>47405.464583333334</v>
      </c>
      <c r="C639" s="44">
        <f>Tableau_Données_Lune[[#This Row],[Jour et heure (UTC)*]]-7/24</f>
        <v>47405.17291666667</v>
      </c>
      <c r="D639" s="46">
        <f>INT(Tableau_Données_Lune[[#This Row],[Heure ajustée1]])</f>
        <v>47405</v>
      </c>
      <c r="E639" s="42" t="s">
        <v>28</v>
      </c>
    </row>
    <row r="640" spans="2:5" ht="18" customHeight="1" x14ac:dyDescent="0.25">
      <c r="B640" s="44">
        <v>47413.393750000003</v>
      </c>
      <c r="C640" s="44">
        <f>Tableau_Données_Lune[[#This Row],[Jour et heure (UTC)*]]-7/24</f>
        <v>47413.102083333339</v>
      </c>
      <c r="D640" s="46">
        <f>INT(Tableau_Données_Lune[[#This Row],[Heure ajustée1]])</f>
        <v>47413</v>
      </c>
      <c r="E640" s="42" t="s">
        <v>29</v>
      </c>
    </row>
    <row r="641" spans="2:5" ht="18" customHeight="1" x14ac:dyDescent="0.25">
      <c r="B641" s="44">
        <v>47421.480555555558</v>
      </c>
      <c r="C641" s="44">
        <f>Tableau_Données_Lune[[#This Row],[Jour et heure (UTC)*]]-7/24</f>
        <v>47421.188888888893</v>
      </c>
      <c r="D641" s="46">
        <f>INT(Tableau_Données_Lune[[#This Row],[Heure ajustée1]])</f>
        <v>47421</v>
      </c>
      <c r="E641" s="42" t="s">
        <v>30</v>
      </c>
    </row>
    <row r="642" spans="2:5" ht="18" customHeight="1" x14ac:dyDescent="0.25">
      <c r="B642" s="44">
        <v>47428.183333333334</v>
      </c>
      <c r="C642" s="44">
        <f>Tableau_Données_Lune[[#This Row],[Jour et heure (UTC)*]]-7/24</f>
        <v>47427.89166666667</v>
      </c>
      <c r="D642" s="46">
        <f>INT(Tableau_Données_Lune[[#This Row],[Heure ajustée1]])</f>
        <v>47427</v>
      </c>
      <c r="E642" s="42" t="s">
        <v>31</v>
      </c>
    </row>
    <row r="643" spans="2:5" ht="18" customHeight="1" x14ac:dyDescent="0.25">
      <c r="B643" s="44">
        <v>47435.024305555555</v>
      </c>
      <c r="C643" s="44">
        <f>Tableau_Données_Lune[[#This Row],[Jour et heure (UTC)*]]-7/24</f>
        <v>47434.732638888891</v>
      </c>
      <c r="D643" s="46">
        <f>INT(Tableau_Données_Lune[[#This Row],[Heure ajustée1]])</f>
        <v>47434</v>
      </c>
      <c r="E643" s="42" t="s">
        <v>28</v>
      </c>
    </row>
    <row r="644" spans="2:5" ht="18" customHeight="1" x14ac:dyDescent="0.25">
      <c r="B644" s="44">
        <v>47443.168749999997</v>
      </c>
      <c r="C644" s="44">
        <f>Tableau_Données_Lune[[#This Row],[Jour et heure (UTC)*]]-7/24</f>
        <v>47442.877083333333</v>
      </c>
      <c r="D644" s="46">
        <f>INT(Tableau_Données_Lune[[#This Row],[Heure ajustée1]])</f>
        <v>47442</v>
      </c>
      <c r="E644" s="42" t="s">
        <v>29</v>
      </c>
    </row>
    <row r="645" spans="2:5" ht="18" customHeight="1" x14ac:dyDescent="0.25">
      <c r="B645" s="44">
        <v>47450.991666666669</v>
      </c>
      <c r="C645" s="44">
        <f>Tableau_Données_Lune[[#This Row],[Jour et heure (UTC)*]]-7/24</f>
        <v>47450.700000000004</v>
      </c>
      <c r="D645" s="46">
        <f>INT(Tableau_Données_Lune[[#This Row],[Heure ajustée1]])</f>
        <v>47450</v>
      </c>
      <c r="E645" s="42" t="s">
        <v>30</v>
      </c>
    </row>
    <row r="646" spans="2:5" ht="18" customHeight="1" x14ac:dyDescent="0.25">
      <c r="B646" s="44">
        <v>47457.619444444441</v>
      </c>
      <c r="C646" s="44">
        <f>Tableau_Données_Lune[[#This Row],[Jour et heure (UTC)*]]-7/24</f>
        <v>47457.327777777777</v>
      </c>
      <c r="D646" s="46">
        <f>INT(Tableau_Données_Lune[[#This Row],[Heure ajustée1]])</f>
        <v>47457</v>
      </c>
      <c r="E646" s="42" t="s">
        <v>31</v>
      </c>
    </row>
    <row r="647" spans="2:5" ht="18" customHeight="1" x14ac:dyDescent="0.25">
      <c r="B647" s="44">
        <v>47464.742361111108</v>
      </c>
      <c r="C647" s="44">
        <f>Tableau_Données_Lune[[#This Row],[Jour et heure (UTC)*]]-7/24</f>
        <v>47464.450694444444</v>
      </c>
      <c r="D647" s="46">
        <f>INT(Tableau_Données_Lune[[#This Row],[Heure ajustée1]])</f>
        <v>47464</v>
      </c>
      <c r="E647" s="42" t="s">
        <v>28</v>
      </c>
    </row>
    <row r="648" spans="2:5" ht="18" customHeight="1" x14ac:dyDescent="0.25">
      <c r="B648" s="44">
        <v>47472.948611111111</v>
      </c>
      <c r="C648" s="44">
        <f>Tableau_Données_Lune[[#This Row],[Jour et heure (UTC)*]]-7/24</f>
        <v>47472.656944444447</v>
      </c>
      <c r="D648" s="46">
        <f>INT(Tableau_Données_Lune[[#This Row],[Heure ajustée1]])</f>
        <v>47472</v>
      </c>
      <c r="E648" s="42" t="s">
        <v>29</v>
      </c>
    </row>
    <row r="649" spans="2:5" ht="18" customHeight="1" x14ac:dyDescent="0.25">
      <c r="B649" s="44">
        <v>47480.40902777778</v>
      </c>
      <c r="C649" s="44">
        <f>Tableau_Données_Lune[[#This Row],[Jour et heure (UTC)*]]-7/24</f>
        <v>47480.117361111115</v>
      </c>
      <c r="D649" s="46">
        <f>INT(Tableau_Données_Lune[[#This Row],[Heure ajustée1]])</f>
        <v>47480</v>
      </c>
      <c r="E649" s="42" t="s">
        <v>30</v>
      </c>
    </row>
    <row r="650" spans="2:5" ht="18" customHeight="1" x14ac:dyDescent="0.25">
      <c r="B650" s="44">
        <v>47487.117361111108</v>
      </c>
      <c r="C650" s="44">
        <f>Tableau_Données_Lune[[#This Row],[Jour et heure (UTC)*]]-7/24</f>
        <v>47486.825694444444</v>
      </c>
      <c r="D650" s="46">
        <f>INT(Tableau_Données_Lune[[#This Row],[Heure ajustée1]])</f>
        <v>47486</v>
      </c>
      <c r="E650" s="42" t="s">
        <v>31</v>
      </c>
    </row>
    <row r="651" spans="2:5" ht="18" customHeight="1" x14ac:dyDescent="0.25">
      <c r="B651" s="44">
        <v>47494.587500000001</v>
      </c>
      <c r="C651" s="44">
        <f>Tableau_Données_Lune[[#This Row],[Jour et heure (UTC)*]]-7/24</f>
        <v>47494.295833333337</v>
      </c>
      <c r="D651" s="46">
        <f>INT(Tableau_Données_Lune[[#This Row],[Heure ajustée1]])</f>
        <v>47494</v>
      </c>
      <c r="E651" s="42" t="s">
        <v>28</v>
      </c>
    </row>
    <row r="652" spans="2:5" ht="18" customHeight="1" x14ac:dyDescent="0.25">
      <c r="B652" s="44">
        <v>47502.662499999999</v>
      </c>
      <c r="C652" s="44">
        <f>Tableau_Données_Lune[[#This Row],[Jour et heure (UTC)*]]-7/24</f>
        <v>47502.370833333334</v>
      </c>
      <c r="D652" s="46">
        <f>INT(Tableau_Données_Lune[[#This Row],[Heure ajustée1]])</f>
        <v>47502</v>
      </c>
      <c r="E652" s="42" t="s">
        <v>29</v>
      </c>
    </row>
    <row r="653" spans="2:5" ht="18" customHeight="1" x14ac:dyDescent="0.25">
      <c r="B653" s="44">
        <v>47509.759722222225</v>
      </c>
      <c r="C653" s="44">
        <f>Tableau_Données_Lune[[#This Row],[Jour et heure (UTC)*]]-7/24</f>
        <v>47509.468055555561</v>
      </c>
      <c r="D653" s="46">
        <f>INT(Tableau_Données_Lune[[#This Row],[Heure ajustée1]])</f>
        <v>47509</v>
      </c>
      <c r="E653" s="42" t="s">
        <v>30</v>
      </c>
    </row>
    <row r="654" spans="2:5" ht="18" customHeight="1" x14ac:dyDescent="0.25">
      <c r="B654" s="44">
        <v>47516.671527777777</v>
      </c>
      <c r="C654" s="44">
        <f>Tableau_Données_Lune[[#This Row],[Jour et heure (UTC)*]]-7/24</f>
        <v>47516.379861111112</v>
      </c>
      <c r="D654" s="46">
        <f>INT(Tableau_Données_Lune[[#This Row],[Heure ajustée1]])</f>
        <v>47516</v>
      </c>
      <c r="E654" s="42" t="s">
        <v>31</v>
      </c>
    </row>
    <row r="655" spans="2:5" ht="18" customHeight="1" x14ac:dyDescent="0.25">
      <c r="B655" s="44">
        <v>47524.492361111108</v>
      </c>
      <c r="C655" s="44">
        <f>Tableau_Données_Lune[[#This Row],[Jour et heure (UTC)*]]-7/24</f>
        <v>47524.200694444444</v>
      </c>
      <c r="D655" s="46">
        <f>INT(Tableau_Données_Lune[[#This Row],[Heure ajustée1]])</f>
        <v>47524</v>
      </c>
      <c r="E655" s="42" t="s">
        <v>28</v>
      </c>
    </row>
    <row r="656" spans="2:5" ht="18" customHeight="1" x14ac:dyDescent="0.25">
      <c r="B656" s="44">
        <v>47532.263888888891</v>
      </c>
      <c r="C656" s="44">
        <f>Tableau_Données_Lune[[#This Row],[Jour et heure (UTC)*]]-7/24</f>
        <v>47531.972222222226</v>
      </c>
      <c r="D656" s="46">
        <f>INT(Tableau_Données_Lune[[#This Row],[Heure ajustée1]])</f>
        <v>47531</v>
      </c>
      <c r="E656" s="42" t="s">
        <v>29</v>
      </c>
    </row>
    <row r="657" spans="2:5" ht="18" customHeight="1" x14ac:dyDescent="0.25">
      <c r="B657" s="44">
        <v>47539.081944444442</v>
      </c>
      <c r="C657" s="44">
        <f>Tableau_Données_Lune[[#This Row],[Jour et heure (UTC)*]]-7/24</f>
        <v>47538.790277777778</v>
      </c>
      <c r="D657" s="46">
        <f>INT(Tableau_Données_Lune[[#This Row],[Heure ajustée1]])</f>
        <v>47538</v>
      </c>
      <c r="E657" s="42" t="s">
        <v>30</v>
      </c>
    </row>
    <row r="658" spans="2:5" ht="18" customHeight="1" x14ac:dyDescent="0.25">
      <c r="B658" s="44">
        <v>47546.273611111108</v>
      </c>
      <c r="C658" s="44">
        <f>Tableau_Données_Lune[[#This Row],[Jour et heure (UTC)*]]-7/24</f>
        <v>47545.981944444444</v>
      </c>
      <c r="D658" s="46">
        <f>INT(Tableau_Données_Lune[[#This Row],[Heure ajustée1]])</f>
        <v>47545</v>
      </c>
      <c r="E658" s="42" t="s">
        <v>31</v>
      </c>
    </row>
    <row r="659" spans="2:5" ht="18" customHeight="1" x14ac:dyDescent="0.25">
      <c r="B659" s="44">
        <v>47554.365972222222</v>
      </c>
      <c r="C659" s="44">
        <f>Tableau_Données_Lune[[#This Row],[Jour et heure (UTC)*]]-7/24</f>
        <v>47554.074305555558</v>
      </c>
      <c r="D659" s="46">
        <f>INT(Tableau_Données_Lune[[#This Row],[Heure ajustée1]])</f>
        <v>47554</v>
      </c>
      <c r="E659" s="42" t="s">
        <v>28</v>
      </c>
    </row>
    <row r="660" spans="2:5" ht="18" customHeight="1" x14ac:dyDescent="0.25">
      <c r="B660" s="44">
        <v>47561.74722222222</v>
      </c>
      <c r="C660" s="44">
        <f>Tableau_Données_Lune[[#This Row],[Jour et heure (UTC)*]]-7/24</f>
        <v>47561.455555555556</v>
      </c>
      <c r="D660" s="46">
        <f>INT(Tableau_Données_Lune[[#This Row],[Heure ajustée1]])</f>
        <v>47561</v>
      </c>
      <c r="E660" s="42" t="s">
        <v>29</v>
      </c>
    </row>
    <row r="661" spans="2:5" ht="18" customHeight="1" x14ac:dyDescent="0.25">
      <c r="B661" s="44">
        <v>47568.410416666666</v>
      </c>
      <c r="C661" s="44">
        <f>Tableau_Données_Lune[[#This Row],[Jour et heure (UTC)*]]-7/24</f>
        <v>47568.118750000001</v>
      </c>
      <c r="D661" s="46">
        <f>INT(Tableau_Données_Lune[[#This Row],[Heure ajustée1]])</f>
        <v>47568</v>
      </c>
      <c r="E661" s="42" t="s">
        <v>30</v>
      </c>
    </row>
    <row r="662" spans="2:5" ht="18" customHeight="1" x14ac:dyDescent="0.25">
      <c r="B662" s="44">
        <v>47575.918055555558</v>
      </c>
      <c r="C662" s="44">
        <f>Tableau_Données_Lune[[#This Row],[Jour et heure (UTC)*]]-7/24</f>
        <v>47575.626388888893</v>
      </c>
      <c r="D662" s="46">
        <f>INT(Tableau_Données_Lune[[#This Row],[Heure ajustée1]])</f>
        <v>47575</v>
      </c>
      <c r="E662" s="42" t="s">
        <v>31</v>
      </c>
    </row>
    <row r="663" spans="2:5" ht="18" customHeight="1" x14ac:dyDescent="0.25">
      <c r="B663" s="44">
        <v>47584.122916666667</v>
      </c>
      <c r="C663" s="44">
        <f>Tableau_Données_Lune[[#This Row],[Jour et heure (UTC)*]]-7/24</f>
        <v>47583.831250000003</v>
      </c>
      <c r="D663" s="46">
        <f>INT(Tableau_Données_Lune[[#This Row],[Heure ajustée1]])</f>
        <v>47583</v>
      </c>
      <c r="E663" s="42" t="s">
        <v>28</v>
      </c>
    </row>
    <row r="664" spans="2:5" ht="18" customHeight="1" x14ac:dyDescent="0.25">
      <c r="B664" s="44">
        <v>47591.138888888891</v>
      </c>
      <c r="C664" s="44">
        <f>Tableau_Données_Lune[[#This Row],[Jour et heure (UTC)*]]-7/24</f>
        <v>47590.847222222226</v>
      </c>
      <c r="D664" s="46">
        <f>INT(Tableau_Données_Lune[[#This Row],[Heure ajustée1]])</f>
        <v>47590</v>
      </c>
      <c r="E664" s="42" t="s">
        <v>29</v>
      </c>
    </row>
    <row r="665" spans="2:5" ht="18" customHeight="1" x14ac:dyDescent="0.25">
      <c r="B665" s="44">
        <v>47597.777083333334</v>
      </c>
      <c r="C665" s="44">
        <f>Tableau_Données_Lune[[#This Row],[Jour et heure (UTC)*]]-7/24</f>
        <v>47597.48541666667</v>
      </c>
      <c r="D665" s="46">
        <f>INT(Tableau_Données_Lune[[#This Row],[Heure ajustée1]])</f>
        <v>47597</v>
      </c>
      <c r="E665" s="42" t="s">
        <v>30</v>
      </c>
    </row>
    <row r="666" spans="2:5" ht="18" customHeight="1" x14ac:dyDescent="0.25">
      <c r="B666" s="44">
        <v>47605.591666666667</v>
      </c>
      <c r="C666" s="44">
        <f>Tableau_Données_Lune[[#This Row],[Jour et heure (UTC)*]]-7/24</f>
        <v>47605.3</v>
      </c>
      <c r="D666" s="46">
        <f>INT(Tableau_Données_Lune[[#This Row],[Heure ajustée1]])</f>
        <v>47605</v>
      </c>
      <c r="E666" s="42" t="s">
        <v>31</v>
      </c>
    </row>
    <row r="667" spans="2:5" ht="18" customHeight="1" x14ac:dyDescent="0.25">
      <c r="B667" s="44">
        <v>47613.71597222222</v>
      </c>
      <c r="C667" s="44">
        <f>Tableau_Données_Lune[[#This Row],[Jour et heure (UTC)*]]-7/24</f>
        <v>47613.424305555556</v>
      </c>
      <c r="D667" s="46">
        <f>INT(Tableau_Données_Lune[[#This Row],[Heure ajustée1]])</f>
        <v>47613</v>
      </c>
      <c r="E667" s="42" t="s">
        <v>28</v>
      </c>
    </row>
    <row r="668" spans="2:5" ht="18" customHeight="1" x14ac:dyDescent="0.25">
      <c r="B668" s="44">
        <v>47620.47152777778</v>
      </c>
      <c r="C668" s="44">
        <f>Tableau_Données_Lune[[#This Row],[Jour et heure (UTC)*]]-7/24</f>
        <v>47620.179861111115</v>
      </c>
      <c r="D668" s="46">
        <f>INT(Tableau_Données_Lune[[#This Row],[Heure ajustée1]])</f>
        <v>47620</v>
      </c>
      <c r="E668" s="42" t="s">
        <v>29</v>
      </c>
    </row>
    <row r="669" spans="2:5" ht="18" customHeight="1" x14ac:dyDescent="0.25">
      <c r="B669" s="44">
        <v>47627.206250000003</v>
      </c>
      <c r="C669" s="44">
        <f>Tableau_Données_Lune[[#This Row],[Jour et heure (UTC)*]]-7/24</f>
        <v>47626.914583333339</v>
      </c>
      <c r="D669" s="46">
        <f>INT(Tableau_Données_Lune[[#This Row],[Heure ajustée1]])</f>
        <v>47626</v>
      </c>
      <c r="E669" s="42" t="s">
        <v>30</v>
      </c>
    </row>
    <row r="670" spans="2:5" ht="18" customHeight="1" x14ac:dyDescent="0.25">
      <c r="B670" s="44">
        <v>47635.26458333333</v>
      </c>
      <c r="C670" s="44">
        <f>Tableau_Données_Lune[[#This Row],[Jour et heure (UTC)*]]-7/24</f>
        <v>47634.972916666666</v>
      </c>
      <c r="D670" s="46">
        <f>INT(Tableau_Données_Lune[[#This Row],[Heure ajustée1]])</f>
        <v>47634</v>
      </c>
      <c r="E670" s="42" t="s">
        <v>31</v>
      </c>
    </row>
    <row r="671" spans="2:5" ht="18" customHeight="1" x14ac:dyDescent="0.25">
      <c r="B671" s="44">
        <v>47643.15</v>
      </c>
      <c r="C671" s="44">
        <f>Tableau_Données_Lune[[#This Row],[Jour et heure (UTC)*]]-7/24</f>
        <v>47642.858333333337</v>
      </c>
      <c r="D671" s="46">
        <f>INT(Tableau_Données_Lune[[#This Row],[Heure ajustée1]])</f>
        <v>47642</v>
      </c>
      <c r="E671" s="42" t="s">
        <v>28</v>
      </c>
    </row>
    <row r="672" spans="2:5" ht="18" customHeight="1" x14ac:dyDescent="0.25">
      <c r="B672" s="44">
        <v>47649.77847222222</v>
      </c>
      <c r="C672" s="44">
        <f>Tableau_Données_Lune[[#This Row],[Jour et heure (UTC)*]]-7/24</f>
        <v>47649.486805555556</v>
      </c>
      <c r="D672" s="46">
        <f>INT(Tableau_Données_Lune[[#This Row],[Heure ajustée1]])</f>
        <v>47649</v>
      </c>
      <c r="E672" s="42" t="s">
        <v>29</v>
      </c>
    </row>
    <row r="673" spans="2:5" ht="18" customHeight="1" x14ac:dyDescent="0.25">
      <c r="B673" s="44">
        <v>47656.72152777778</v>
      </c>
      <c r="C673" s="44">
        <f>Tableau_Données_Lune[[#This Row],[Jour et heure (UTC)*]]-7/24</f>
        <v>47656.429861111115</v>
      </c>
      <c r="D673" s="46">
        <f>INT(Tableau_Données_Lune[[#This Row],[Heure ajustée1]])</f>
        <v>47656</v>
      </c>
      <c r="E673" s="42" t="s">
        <v>30</v>
      </c>
    </row>
    <row r="674" spans="2:5" ht="18" customHeight="1" x14ac:dyDescent="0.25">
      <c r="B674" s="44">
        <v>47664.898611111108</v>
      </c>
      <c r="C674" s="44">
        <f>Tableau_Données_Lune[[#This Row],[Jour et heure (UTC)*]]-7/24</f>
        <v>47664.606944444444</v>
      </c>
      <c r="D674" s="46">
        <f>INT(Tableau_Données_Lune[[#This Row],[Heure ajustée1]])</f>
        <v>47664</v>
      </c>
      <c r="E674" s="42" t="s">
        <v>31</v>
      </c>
    </row>
    <row r="675" spans="2:5" ht="18" customHeight="1" x14ac:dyDescent="0.25">
      <c r="B675" s="44">
        <v>47672.459722222222</v>
      </c>
      <c r="C675" s="44">
        <f>Tableau_Données_Lune[[#This Row],[Jour et heure (UTC)*]]-7/24</f>
        <v>47672.168055555558</v>
      </c>
      <c r="D675" s="46">
        <f>INT(Tableau_Données_Lune[[#This Row],[Heure ajustée1]])</f>
        <v>47672</v>
      </c>
      <c r="E675" s="42" t="s">
        <v>28</v>
      </c>
    </row>
    <row r="676" spans="2:5" ht="18" customHeight="1" x14ac:dyDescent="0.25">
      <c r="B676" s="44">
        <v>47679.091666666667</v>
      </c>
      <c r="C676" s="44">
        <f>Tableau_Données_Lune[[#This Row],[Jour et heure (UTC)*]]-7/24</f>
        <v>47678.8</v>
      </c>
      <c r="D676" s="46">
        <f>INT(Tableau_Données_Lune[[#This Row],[Heure ajustée1]])</f>
        <v>47678</v>
      </c>
      <c r="E676" s="42" t="s">
        <v>29</v>
      </c>
    </row>
    <row r="677" spans="2:5" ht="18" customHeight="1" x14ac:dyDescent="0.25">
      <c r="B677" s="44">
        <v>47686.338194444441</v>
      </c>
      <c r="C677" s="44">
        <f>Tableau_Données_Lune[[#This Row],[Jour et heure (UTC)*]]-7/24</f>
        <v>47686.046527777777</v>
      </c>
      <c r="D677" s="46">
        <f>INT(Tableau_Données_Lune[[#This Row],[Heure ajustée1]])</f>
        <v>47686</v>
      </c>
      <c r="E677" s="42" t="s">
        <v>30</v>
      </c>
    </row>
    <row r="678" spans="2:5" ht="18" customHeight="1" x14ac:dyDescent="0.25">
      <c r="B678" s="44">
        <v>47694.46597222222</v>
      </c>
      <c r="C678" s="44">
        <f>Tableau_Données_Lune[[#This Row],[Jour et heure (UTC)*]]-7/24</f>
        <v>47694.174305555556</v>
      </c>
      <c r="D678" s="46">
        <f>INT(Tableau_Données_Lune[[#This Row],[Heure ajustée1]])</f>
        <v>47694</v>
      </c>
      <c r="E678" s="42" t="s">
        <v>31</v>
      </c>
    </row>
    <row r="679" spans="2:5" ht="18" customHeight="1" x14ac:dyDescent="0.25">
      <c r="B679" s="44">
        <v>47701.696527777778</v>
      </c>
      <c r="C679" s="44">
        <f>Tableau_Données_Lune[[#This Row],[Jour et heure (UTC)*]]-7/24</f>
        <v>47701.404861111114</v>
      </c>
      <c r="D679" s="46">
        <f>INT(Tableau_Données_Lune[[#This Row],[Heure ajustée1]])</f>
        <v>47701</v>
      </c>
      <c r="E679" s="42" t="s">
        <v>28</v>
      </c>
    </row>
    <row r="680" spans="2:5" ht="18" customHeight="1" x14ac:dyDescent="0.25">
      <c r="B680" s="44">
        <v>47708.447222222225</v>
      </c>
      <c r="C680" s="44">
        <f>Tableau_Données_Lune[[#This Row],[Jour et heure (UTC)*]]-7/24</f>
        <v>47708.155555555561</v>
      </c>
      <c r="D680" s="46">
        <f>INT(Tableau_Données_Lune[[#This Row],[Heure ajustée1]])</f>
        <v>47708</v>
      </c>
      <c r="E680" s="42" t="s">
        <v>29</v>
      </c>
    </row>
    <row r="681" spans="2:5" ht="18" customHeight="1" x14ac:dyDescent="0.25">
      <c r="B681" s="44">
        <v>47716.052083333336</v>
      </c>
      <c r="C681" s="44">
        <f>Tableau_Données_Lune[[#This Row],[Jour et heure (UTC)*]]-7/24</f>
        <v>47715.760416666672</v>
      </c>
      <c r="D681" s="46">
        <f>INT(Tableau_Données_Lune[[#This Row],[Heure ajustée1]])</f>
        <v>47715</v>
      </c>
      <c r="E681" s="42" t="s">
        <v>30</v>
      </c>
    </row>
    <row r="682" spans="2:5" ht="18" customHeight="1" x14ac:dyDescent="0.25">
      <c r="B682" s="44">
        <v>47723.963194444441</v>
      </c>
      <c r="C682" s="44">
        <f>Tableau_Données_Lune[[#This Row],[Jour et heure (UTC)*]]-7/24</f>
        <v>47723.671527777777</v>
      </c>
      <c r="D682" s="46">
        <f>INT(Tableau_Données_Lune[[#This Row],[Heure ajustée1]])</f>
        <v>47723</v>
      </c>
      <c r="E682" s="42" t="s">
        <v>31</v>
      </c>
    </row>
    <row r="683" spans="2:5" ht="18" customHeight="1" x14ac:dyDescent="0.25">
      <c r="B683" s="44">
        <v>47730.913194444445</v>
      </c>
      <c r="C683" s="44">
        <f>Tableau_Données_Lune[[#This Row],[Jour et heure (UTC)*]]-7/24</f>
        <v>47730.621527777781</v>
      </c>
      <c r="D683" s="46">
        <f>INT(Tableau_Données_Lune[[#This Row],[Heure ajustée1]])</f>
        <v>47730</v>
      </c>
      <c r="E683" s="42" t="s">
        <v>28</v>
      </c>
    </row>
    <row r="684" spans="2:5" ht="18" customHeight="1" x14ac:dyDescent="0.25">
      <c r="B684" s="44">
        <v>47737.887499999997</v>
      </c>
      <c r="C684" s="44">
        <f>Tableau_Données_Lune[[#This Row],[Jour et heure (UTC)*]]-7/24</f>
        <v>47737.595833333333</v>
      </c>
      <c r="D684" s="46">
        <f>INT(Tableau_Données_Lune[[#This Row],[Heure ajustée1]])</f>
        <v>47737</v>
      </c>
      <c r="E684" s="42" t="s">
        <v>29</v>
      </c>
    </row>
    <row r="685" spans="2:5" ht="18" customHeight="1" x14ac:dyDescent="0.25">
      <c r="B685" s="44">
        <v>47745.830555555556</v>
      </c>
      <c r="C685" s="44">
        <f>Tableau_Données_Lune[[#This Row],[Jour et heure (UTC)*]]-7/24</f>
        <v>47745.538888888892</v>
      </c>
      <c r="D685" s="46">
        <f>INT(Tableau_Données_Lune[[#This Row],[Heure ajustée1]])</f>
        <v>47745</v>
      </c>
      <c r="E685" s="42" t="s">
        <v>30</v>
      </c>
    </row>
    <row r="686" spans="2:5" ht="18" customHeight="1" x14ac:dyDescent="0.25">
      <c r="B686" s="44">
        <v>47753.412499999999</v>
      </c>
      <c r="C686" s="44">
        <f>Tableau_Données_Lune[[#This Row],[Jour et heure (UTC)*]]-7/24</f>
        <v>47753.120833333334</v>
      </c>
      <c r="D686" s="46">
        <f>INT(Tableau_Données_Lune[[#This Row],[Heure ajustée1]])</f>
        <v>47753</v>
      </c>
      <c r="E686" s="42" t="s">
        <v>31</v>
      </c>
    </row>
    <row r="687" spans="2:5" ht="18" customHeight="1" x14ac:dyDescent="0.25">
      <c r="B687" s="44">
        <v>47760.163888888892</v>
      </c>
      <c r="C687" s="44">
        <f>Tableau_Données_Lune[[#This Row],[Jour et heure (UTC)*]]-7/24</f>
        <v>47759.872222222228</v>
      </c>
      <c r="D687" s="46">
        <f>INT(Tableau_Données_Lune[[#This Row],[Heure ajustée1]])</f>
        <v>47759</v>
      </c>
      <c r="E687" s="42" t="s">
        <v>28</v>
      </c>
    </row>
    <row r="688" spans="2:5" ht="18" customHeight="1" x14ac:dyDescent="0.25">
      <c r="B688" s="44">
        <v>47767.449305555558</v>
      </c>
      <c r="C688" s="44">
        <f>Tableau_Données_Lune[[#This Row],[Jour et heure (UTC)*]]-7/24</f>
        <v>47767.157638888893</v>
      </c>
      <c r="D688" s="46">
        <f>INT(Tableau_Données_Lune[[#This Row],[Heure ajustée1]])</f>
        <v>47767</v>
      </c>
      <c r="E688" s="42" t="s">
        <v>29</v>
      </c>
    </row>
    <row r="689" spans="2:5" ht="18" customHeight="1" x14ac:dyDescent="0.25">
      <c r="B689" s="44">
        <v>47775.618055555555</v>
      </c>
      <c r="C689" s="44">
        <f>Tableau_Données_Lune[[#This Row],[Jour et heure (UTC)*]]-7/24</f>
        <v>47775.326388888891</v>
      </c>
      <c r="D689" s="46">
        <f>INT(Tableau_Données_Lune[[#This Row],[Heure ajustée1]])</f>
        <v>47775</v>
      </c>
      <c r="E689" s="42" t="s">
        <v>30</v>
      </c>
    </row>
    <row r="690" spans="2:5" ht="18" customHeight="1" x14ac:dyDescent="0.25">
      <c r="B690" s="44">
        <v>47782.845138888886</v>
      </c>
      <c r="C690" s="44">
        <f>Tableau_Données_Lune[[#This Row],[Jour et heure (UTC)*]]-7/24</f>
        <v>47782.553472222222</v>
      </c>
      <c r="D690" s="46">
        <f>INT(Tableau_Données_Lune[[#This Row],[Heure ajustée1]])</f>
        <v>47782</v>
      </c>
      <c r="E690" s="42" t="s">
        <v>31</v>
      </c>
    </row>
    <row r="691" spans="2:5" ht="18" customHeight="1" x14ac:dyDescent="0.25">
      <c r="B691" s="44">
        <v>47789.49722222222</v>
      </c>
      <c r="C691" s="44">
        <f>Tableau_Données_Lune[[#This Row],[Jour et heure (UTC)*]]-7/24</f>
        <v>47789.205555555556</v>
      </c>
      <c r="D691" s="46">
        <f>INT(Tableau_Données_Lune[[#This Row],[Heure ajustée1]])</f>
        <v>47789</v>
      </c>
      <c r="E691" s="42" t="s">
        <v>28</v>
      </c>
    </row>
    <row r="692" spans="2:5" ht="18" customHeight="1" x14ac:dyDescent="0.25">
      <c r="B692" s="44">
        <v>47797.145833333336</v>
      </c>
      <c r="C692" s="44">
        <f>Tableau_Données_Lune[[#This Row],[Jour et heure (UTC)*]]-7/24</f>
        <v>47796.854166666672</v>
      </c>
      <c r="D692" s="46">
        <f>INT(Tableau_Données_Lune[[#This Row],[Heure ajustée1]])</f>
        <v>47796</v>
      </c>
      <c r="E692" s="42" t="s">
        <v>29</v>
      </c>
    </row>
    <row r="693" spans="2:5" ht="18" customHeight="1" x14ac:dyDescent="0.25">
      <c r="B693" s="44">
        <v>47805.355555555558</v>
      </c>
      <c r="C693" s="44">
        <f>Tableau_Données_Lune[[#This Row],[Jour et heure (UTC)*]]-7/24</f>
        <v>47805.063888888893</v>
      </c>
      <c r="D693" s="46">
        <f>INT(Tableau_Données_Lune[[#This Row],[Heure ajustée1]])</f>
        <v>47805</v>
      </c>
      <c r="E693" s="42" t="s">
        <v>30</v>
      </c>
    </row>
    <row r="694" spans="2:5" ht="18" customHeight="1" x14ac:dyDescent="0.25">
      <c r="B694" s="44">
        <v>47812.281944444447</v>
      </c>
      <c r="C694" s="44">
        <f>Tableau_Données_Lune[[#This Row],[Jour et heure (UTC)*]]-7/24</f>
        <v>47811.990277777782</v>
      </c>
      <c r="D694" s="46">
        <f>INT(Tableau_Données_Lune[[#This Row],[Heure ajustée1]])</f>
        <v>47811</v>
      </c>
      <c r="E694" s="42" t="s">
        <v>31</v>
      </c>
    </row>
    <row r="695" spans="2:5" ht="18" customHeight="1" x14ac:dyDescent="0.25">
      <c r="B695" s="44">
        <v>47818.956250000003</v>
      </c>
      <c r="C695" s="44">
        <f>Tableau_Données_Lune[[#This Row],[Jour et heure (UTC)*]]-7/24</f>
        <v>47818.664583333339</v>
      </c>
      <c r="D695" s="46">
        <f>INT(Tableau_Données_Lune[[#This Row],[Heure ajustée1]])</f>
        <v>47818</v>
      </c>
      <c r="E695" s="42" t="s">
        <v>28</v>
      </c>
    </row>
    <row r="696" spans="2:5" ht="18" customHeight="1" x14ac:dyDescent="0.25">
      <c r="B696" s="44">
        <v>47826.944444444445</v>
      </c>
      <c r="C696" s="44">
        <f>Tableau_Données_Lune[[#This Row],[Jour et heure (UTC)*]]-7/24</f>
        <v>47826.652777777781</v>
      </c>
      <c r="D696" s="46">
        <f>INT(Tableau_Données_Lune[[#This Row],[Heure ajustée1]])</f>
        <v>47826</v>
      </c>
      <c r="E696" s="42" t="s">
        <v>29</v>
      </c>
    </row>
    <row r="697" spans="2:5" ht="18" customHeight="1" x14ac:dyDescent="0.25">
      <c r="B697" s="44">
        <v>47835.000694444447</v>
      </c>
      <c r="C697" s="44">
        <f>Tableau_Données_Lune[[#This Row],[Jour et heure (UTC)*]]-7/24</f>
        <v>47834.709027777782</v>
      </c>
      <c r="D697" s="46">
        <f>INT(Tableau_Données_Lune[[#This Row],[Heure ajustée1]])</f>
        <v>47834</v>
      </c>
      <c r="E697" s="42" t="s">
        <v>30</v>
      </c>
    </row>
    <row r="698" spans="2:5" ht="18" customHeight="1" x14ac:dyDescent="0.25">
      <c r="B698" s="44">
        <v>47841.730555555558</v>
      </c>
      <c r="C698" s="44">
        <f>Tableau_Données_Lune[[#This Row],[Jour et heure (UTC)*]]-7/24</f>
        <v>47841.438888888893</v>
      </c>
      <c r="D698" s="46">
        <f>INT(Tableau_Données_Lune[[#This Row],[Heure ajustée1]])</f>
        <v>47841</v>
      </c>
      <c r="E698" s="42" t="s">
        <v>31</v>
      </c>
    </row>
    <row r="699" spans="2:5" ht="18" customHeight="1" x14ac:dyDescent="0.25">
      <c r="B699" s="44">
        <v>47848.566666666666</v>
      </c>
      <c r="C699" s="44">
        <f>Tableau_Données_Lune[[#This Row],[Jour et heure (UTC)*]]-7/24</f>
        <v>47848.275000000001</v>
      </c>
      <c r="D699" s="46">
        <f>INT(Tableau_Données_Lune[[#This Row],[Heure ajustée1]])</f>
        <v>47848</v>
      </c>
      <c r="E699" s="42" t="s">
        <v>28</v>
      </c>
    </row>
    <row r="702" spans="2:5" ht="18" customHeight="1" x14ac:dyDescent="0.25">
      <c r="B702" s="13"/>
    </row>
  </sheetData>
  <dataValidations count="1">
    <dataValidation allowBlank="1" showInputMessage="1" showErrorMessage="1" prompt="This Tab shows the technical moon phases data from  https://aa.usno.navy.mil/data/docs/MoonPhase.php" sqref="A1" xr:uid="{00000000-0002-0000-0E00-000000000000}"/>
  </dataValidations>
  <pageMargins left="0.75" right="0.75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TCalendar1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2017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 t="str">
        <f>IF(DAY(JanDim1)=1,"",IF(AND(YEAR(JanDim1+6)=AnnéeCalendrier,MONTH(JanDim1+6)=1),JanDim1+6,""))</f>
        <v/>
      </c>
      <c r="H8" s="5">
        <f>IF(DAY(JanDim1)=1,IF(AND(YEAR(JanDim1)=AnnéeCalendrier,MONTH(JanDim1)=1),JanDim1,""),IF(AND(YEAR(JanDim1+7)=AnnéeCalendrier,MONTH(JanDim1+7)=1),JanDim1+7,""))</f>
        <v>42736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>
        <f>IF(DAY(FévDim1)=1,"",IF(AND(YEAR(FévDim1+3)=AnnéeCalendrier,MONTH(FévDim1+3)=2),FévDim1+3,""))</f>
        <v>42767</v>
      </c>
      <c r="M8" s="5">
        <f>IF(DAY(FévDim1)=1,"",IF(AND(YEAR(FévDim1+4)=AnnéeCalendrier,MONTH(FévDim1+4)=2),FévDim1+4,""))</f>
        <v>42768</v>
      </c>
      <c r="N8" s="5">
        <f>IF(DAY(FévDim1)=1,"",IF(AND(YEAR(FévDim1+5)=AnnéeCalendrier,MONTH(FévDim1+5)=2),FévDim1+5,""))</f>
        <v>42769</v>
      </c>
      <c r="O8" s="5">
        <f>IF(DAY(FévDim1)=1,"",IF(AND(YEAR(FévDim1+6)=AnnéeCalendrier,MONTH(FévDim1+6)=2),FévDim1+6,""))</f>
        <v>42770</v>
      </c>
      <c r="P8" s="5">
        <f>IF(DAY(FévDim1)=1,IF(AND(YEAR(FévDim1)=AnnéeCalendrier,MONTH(FévDim1)=2),FévDim1,""),IF(AND(YEAR(FévDim1+7)=AnnéeCalendrier,MONTH(FévDim1+7)=2),FévDim1+7,""))</f>
        <v>42771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>
        <f>IF(DAY(MarDim1)=1,"",IF(AND(YEAR(MarDim1+3)=AnnéeCalendrier,MONTH(MarDim1+3)=3),MarDim1+3,""))</f>
        <v>42795</v>
      </c>
      <c r="U8" s="5">
        <f>IF(DAY(MarDim1)=1,"",IF(AND(YEAR(MarDim1+4)=AnnéeCalendrier,MONTH(MarDim1+4)=3),MarDim1+4,""))</f>
        <v>42796</v>
      </c>
      <c r="V8" s="5">
        <f>IF(DAY(MarDim1)=1,"",IF(AND(YEAR(MarDim1+5)=AnnéeCalendrier,MONTH(MarDim1+5)=3),MarDim1+5,""))</f>
        <v>42797</v>
      </c>
      <c r="W8" s="5">
        <f>IF(DAY(MarDim1)=1,"",IF(AND(YEAR(MarDim1+6)=AnnéeCalendrier,MONTH(MarDim1+6)=3),MarDim1+6,""))</f>
        <v>42798</v>
      </c>
      <c r="X8" s="5">
        <f>IF(DAY(MarDim1)=1,IF(AND(YEAR(MarDim1)=AnnéeCalendrier,MONTH(MarDim1)=3),MarDim1,""),IF(AND(YEAR(MarDim1+7)=AnnéeCalendrier,MONTH(MarDim1+7)=3),MarDim1+7,""))</f>
        <v>42799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42737</v>
      </c>
      <c r="C9" s="5">
        <f>IF(DAY(JanDim1)=1,IF(AND(YEAR(JanDim1+2)=AnnéeCalendrier,MONTH(JanDim1+2)=1),JanDim1+2,""),IF(AND(YEAR(JanDim1+9)=AnnéeCalendrier,MONTH(JanDim1+9)=1),JanDim1+9,""))</f>
        <v>42738</v>
      </c>
      <c r="D9" s="5">
        <f>IF(DAY(JanDim1)=1,IF(AND(YEAR(JanDim1+3)=AnnéeCalendrier,MONTH(JanDim1+3)=1),JanDim1+3,""),IF(AND(YEAR(JanDim1+10)=AnnéeCalendrier,MONTH(JanDim1+10)=1),JanDim1+10,""))</f>
        <v>42739</v>
      </c>
      <c r="E9" s="5">
        <f>IF(DAY(JanDim1)=1,IF(AND(YEAR(JanDim1+4)=AnnéeCalendrier,MONTH(JanDim1+4)=1),JanDim1+4,""),IF(AND(YEAR(JanDim1+11)=AnnéeCalendrier,MONTH(JanDim1+11)=1),JanDim1+11,""))</f>
        <v>42740</v>
      </c>
      <c r="F9" s="5">
        <f>IF(DAY(JanDim1)=1,IF(AND(YEAR(JanDim1+5)=AnnéeCalendrier,MONTH(JanDim1+5)=1),JanDim1+5,""),IF(AND(YEAR(JanDim1+12)=AnnéeCalendrier,MONTH(JanDim1+12)=1),JanDim1+12,""))</f>
        <v>42741</v>
      </c>
      <c r="G9" s="5">
        <f>IF(DAY(JanDim1)=1,IF(AND(YEAR(JanDim1+6)=AnnéeCalendrier,MONTH(JanDim1+6)=1),JanDim1+6,""),IF(AND(YEAR(JanDim1+13)=AnnéeCalendrier,MONTH(JanDim1+13)=1),JanDim1+13,""))</f>
        <v>42742</v>
      </c>
      <c r="H9" s="5">
        <f>IF(DAY(JanDim1)=1,IF(AND(YEAR(JanDim1+7)=AnnéeCalendrier,MONTH(JanDim1+7)=1),JanDim1+7,""),IF(AND(YEAR(JanDim1+14)=AnnéeCalendrier,MONTH(JanDim1+14)=1),JanDim1+14,""))</f>
        <v>42743</v>
      </c>
      <c r="I9" s="4"/>
      <c r="J9" s="5">
        <f>IF(DAY(FévDim1)=1,IF(AND(YEAR(FévDim1+1)=AnnéeCalendrier,MONTH(FévDim1+1)=2),FévDim1+1,""),IF(AND(YEAR(FévDim1+8)=AnnéeCalendrier,MONTH(FévDim1+8)=2),FévDim1+8,""))</f>
        <v>42772</v>
      </c>
      <c r="K9" s="5">
        <f>IF(DAY(FévDim1)=1,IF(AND(YEAR(FévDim1+2)=AnnéeCalendrier,MONTH(FévDim1+2)=2),FévDim1+2,""),IF(AND(YEAR(FévDim1+9)=AnnéeCalendrier,MONTH(FévDim1+9)=2),FévDim1+9,""))</f>
        <v>42773</v>
      </c>
      <c r="L9" s="5">
        <f>IF(DAY(FévDim1)=1,IF(AND(YEAR(FévDim1+3)=AnnéeCalendrier,MONTH(FévDim1+3)=2),FévDim1+3,""),IF(AND(YEAR(FévDim1+10)=AnnéeCalendrier,MONTH(FévDim1+10)=2),FévDim1+10,""))</f>
        <v>42774</v>
      </c>
      <c r="M9" s="5">
        <f>IF(DAY(FévDim1)=1,IF(AND(YEAR(FévDim1+4)=AnnéeCalendrier,MONTH(FévDim1+4)=2),FévDim1+4,""),IF(AND(YEAR(FévDim1+11)=AnnéeCalendrier,MONTH(FévDim1+11)=2),FévDim1+11,""))</f>
        <v>42775</v>
      </c>
      <c r="N9" s="5">
        <f>IF(DAY(FévDim1)=1,IF(AND(YEAR(FévDim1+5)=AnnéeCalendrier,MONTH(FévDim1+5)=2),FévDim1+5,""),IF(AND(YEAR(FévDim1+12)=AnnéeCalendrier,MONTH(FévDim1+12)=2),FévDim1+12,""))</f>
        <v>42776</v>
      </c>
      <c r="O9" s="5">
        <f>IF(DAY(FévDim1)=1,IF(AND(YEAR(FévDim1+6)=AnnéeCalendrier,MONTH(FévDim1+6)=2),FévDim1+6,""),IF(AND(YEAR(FévDim1+13)=AnnéeCalendrier,MONTH(FévDim1+13)=2),FévDim1+13,""))</f>
        <v>42777</v>
      </c>
      <c r="P9" s="5">
        <f>IF(DAY(FévDim1)=1,IF(AND(YEAR(FévDim1+7)=AnnéeCalendrier,MONTH(FévDim1+7)=2),FévDim1+7,""),IF(AND(YEAR(FévDim1+14)=AnnéeCalendrier,MONTH(FévDim1+14)=2),FévDim1+14,""))</f>
        <v>42778</v>
      </c>
      <c r="Q9" s="4"/>
      <c r="R9" s="5">
        <f>IF(DAY(MarDim1)=1,IF(AND(YEAR(MarDim1+1)=AnnéeCalendrier,MONTH(MarDim1+1)=3),MarDim1+1,""),IF(AND(YEAR(MarDim1+8)=AnnéeCalendrier,MONTH(MarDim1+8)=3),MarDim1+8,""))</f>
        <v>42800</v>
      </c>
      <c r="S9" s="5">
        <f>IF(DAY(MarDim1)=1,IF(AND(YEAR(MarDim1+2)=AnnéeCalendrier,MONTH(MarDim1+2)=3),MarDim1+2,""),IF(AND(YEAR(MarDim1+9)=AnnéeCalendrier,MONTH(MarDim1+9)=3),MarDim1+9,""))</f>
        <v>42801</v>
      </c>
      <c r="T9" s="5">
        <f>IF(DAY(MarDim1)=1,IF(AND(YEAR(MarDim1+3)=AnnéeCalendrier,MONTH(MarDim1+3)=3),MarDim1+3,""),IF(AND(YEAR(MarDim1+10)=AnnéeCalendrier,MONTH(MarDim1+10)=3),MarDim1+10,""))</f>
        <v>42802</v>
      </c>
      <c r="U9" s="5">
        <f>IF(DAY(MarDim1)=1,IF(AND(YEAR(MarDim1+4)=AnnéeCalendrier,MONTH(MarDim1+4)=3),MarDim1+4,""),IF(AND(YEAR(MarDim1+11)=AnnéeCalendrier,MONTH(MarDim1+11)=3),MarDim1+11,""))</f>
        <v>42803</v>
      </c>
      <c r="V9" s="5">
        <f>IF(DAY(MarDim1)=1,IF(AND(YEAR(MarDim1+5)=AnnéeCalendrier,MONTH(MarDim1+5)=3),MarDim1+5,""),IF(AND(YEAR(MarDim1+12)=AnnéeCalendrier,MONTH(MarDim1+12)=3),MarDim1+12,""))</f>
        <v>42804</v>
      </c>
      <c r="W9" s="5">
        <f>IF(DAY(MarDim1)=1,IF(AND(YEAR(MarDim1+6)=AnnéeCalendrier,MONTH(MarDim1+6)=3),MarDim1+6,""),IF(AND(YEAR(MarDim1+13)=AnnéeCalendrier,MONTH(MarDim1+13)=3),MarDim1+13,""))</f>
        <v>42805</v>
      </c>
      <c r="X9" s="5">
        <f>IF(DAY(MarDim1)=1,IF(AND(YEAR(MarDim1+7)=AnnéeCalendrier,MONTH(MarDim1+7)=3),MarDim1+7,""),IF(AND(YEAR(MarDim1+14)=AnnéeCalendrier,MONTH(MarDim1+14)=3),MarDim1+14,""))</f>
        <v>42806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42744</v>
      </c>
      <c r="C10" s="5">
        <f>IF(DAY(JanDim1)=1,IF(AND(YEAR(JanDim1+9)=AnnéeCalendrier,MONTH(JanDim1+9)=1),JanDim1+9,""),IF(AND(YEAR(JanDim1+16)=AnnéeCalendrier,MONTH(JanDim1+16)=1),JanDim1+16,""))</f>
        <v>42745</v>
      </c>
      <c r="D10" s="5">
        <f>IF(DAY(JanDim1)=1,IF(AND(YEAR(JanDim1+10)=AnnéeCalendrier,MONTH(JanDim1+10)=1),JanDim1+10,""),IF(AND(YEAR(JanDim1+17)=AnnéeCalendrier,MONTH(JanDim1+17)=1),JanDim1+17,""))</f>
        <v>42746</v>
      </c>
      <c r="E10" s="5">
        <f>IF(DAY(JanDim1)=1,IF(AND(YEAR(JanDim1+11)=AnnéeCalendrier,MONTH(JanDim1+11)=1),JanDim1+11,""),IF(AND(YEAR(JanDim1+18)=AnnéeCalendrier,MONTH(JanDim1+18)=1),JanDim1+18,""))</f>
        <v>42747</v>
      </c>
      <c r="F10" s="5">
        <f>IF(DAY(JanDim1)=1,IF(AND(YEAR(JanDim1+12)=AnnéeCalendrier,MONTH(JanDim1+12)=1),JanDim1+12,""),IF(AND(YEAR(JanDim1+19)=AnnéeCalendrier,MONTH(JanDim1+19)=1),JanDim1+19,""))</f>
        <v>42748</v>
      </c>
      <c r="G10" s="5">
        <f>IF(DAY(JanDim1)=1,IF(AND(YEAR(JanDim1+13)=AnnéeCalendrier,MONTH(JanDim1+13)=1),JanDim1+13,""),IF(AND(YEAR(JanDim1+20)=AnnéeCalendrier,MONTH(JanDim1+20)=1),JanDim1+20,""))</f>
        <v>42749</v>
      </c>
      <c r="H10" s="5">
        <f>IF(DAY(JanDim1)=1,IF(AND(YEAR(JanDim1+14)=AnnéeCalendrier,MONTH(JanDim1+14)=1),JanDim1+14,""),IF(AND(YEAR(JanDim1+21)=AnnéeCalendrier,MONTH(JanDim1+21)=1),JanDim1+21,""))</f>
        <v>42750</v>
      </c>
      <c r="I10" s="4"/>
      <c r="J10" s="5">
        <f>IF(DAY(FévDim1)=1,IF(AND(YEAR(FévDim1+8)=AnnéeCalendrier,MONTH(FévDim1+8)=2),FévDim1+8,""),IF(AND(YEAR(FévDim1+15)=AnnéeCalendrier,MONTH(FévDim1+15)=2),FévDim1+15,""))</f>
        <v>42779</v>
      </c>
      <c r="K10" s="5">
        <f>IF(DAY(FévDim1)=1,IF(AND(YEAR(FévDim1+9)=AnnéeCalendrier,MONTH(FévDim1+9)=2),FévDim1+9,""),IF(AND(YEAR(FévDim1+16)=AnnéeCalendrier,MONTH(FévDim1+16)=2),FévDim1+16,""))</f>
        <v>42780</v>
      </c>
      <c r="L10" s="5">
        <f>IF(DAY(FévDim1)=1,IF(AND(YEAR(FévDim1+10)=AnnéeCalendrier,MONTH(FévDim1+10)=2),FévDim1+10,""),IF(AND(YEAR(FévDim1+17)=AnnéeCalendrier,MONTH(FévDim1+17)=2),FévDim1+17,""))</f>
        <v>42781</v>
      </c>
      <c r="M10" s="5">
        <f>IF(DAY(FévDim1)=1,IF(AND(YEAR(FévDim1+11)=AnnéeCalendrier,MONTH(FévDim1+11)=2),FévDim1+11,""),IF(AND(YEAR(FévDim1+18)=AnnéeCalendrier,MONTH(FévDim1+18)=2),FévDim1+18,""))</f>
        <v>42782</v>
      </c>
      <c r="N10" s="5">
        <f>IF(DAY(FévDim1)=1,IF(AND(YEAR(FévDim1+12)=AnnéeCalendrier,MONTH(FévDim1+12)=2),FévDim1+12,""),IF(AND(YEAR(FévDim1+19)=AnnéeCalendrier,MONTH(FévDim1+19)=2),FévDim1+19,""))</f>
        <v>42783</v>
      </c>
      <c r="O10" s="5">
        <f>IF(DAY(FévDim1)=1,IF(AND(YEAR(FévDim1+13)=AnnéeCalendrier,MONTH(FévDim1+13)=2),FévDim1+13,""),IF(AND(YEAR(FévDim1+20)=AnnéeCalendrier,MONTH(FévDim1+20)=2),FévDim1+20,""))</f>
        <v>42784</v>
      </c>
      <c r="P10" s="5">
        <f>IF(DAY(FévDim1)=1,IF(AND(YEAR(FévDim1+14)=AnnéeCalendrier,MONTH(FévDim1+14)=2),FévDim1+14,""),IF(AND(YEAR(FévDim1+21)=AnnéeCalendrier,MONTH(FévDim1+21)=2),FévDim1+21,""))</f>
        <v>42785</v>
      </c>
      <c r="Q10" s="4"/>
      <c r="R10" s="5">
        <f>IF(DAY(MarDim1)=1,IF(AND(YEAR(MarDim1+8)=AnnéeCalendrier,MONTH(MarDim1+8)=3),MarDim1+8,""),IF(AND(YEAR(MarDim1+15)=AnnéeCalendrier,MONTH(MarDim1+15)=3),MarDim1+15,""))</f>
        <v>42807</v>
      </c>
      <c r="S10" s="5">
        <f>IF(DAY(MarDim1)=1,IF(AND(YEAR(MarDim1+9)=AnnéeCalendrier,MONTH(MarDim1+9)=3),MarDim1+9,""),IF(AND(YEAR(MarDim1+16)=AnnéeCalendrier,MONTH(MarDim1+16)=3),MarDim1+16,""))</f>
        <v>42808</v>
      </c>
      <c r="T10" s="5">
        <f>IF(DAY(MarDim1)=1,IF(AND(YEAR(MarDim1+10)=AnnéeCalendrier,MONTH(MarDim1+10)=3),MarDim1+10,""),IF(AND(YEAR(MarDim1+17)=AnnéeCalendrier,MONTH(MarDim1+17)=3),MarDim1+17,""))</f>
        <v>42809</v>
      </c>
      <c r="U10" s="5">
        <f>IF(DAY(MarDim1)=1,IF(AND(YEAR(MarDim1+11)=AnnéeCalendrier,MONTH(MarDim1+11)=3),MarDim1+11,""),IF(AND(YEAR(MarDim1+18)=AnnéeCalendrier,MONTH(MarDim1+18)=3),MarDim1+18,""))</f>
        <v>42810</v>
      </c>
      <c r="V10" s="5">
        <f>IF(DAY(MarDim1)=1,IF(AND(YEAR(MarDim1+12)=AnnéeCalendrier,MONTH(MarDim1+12)=3),MarDim1+12,""),IF(AND(YEAR(MarDim1+19)=AnnéeCalendrier,MONTH(MarDim1+19)=3),MarDim1+19,""))</f>
        <v>42811</v>
      </c>
      <c r="W10" s="5">
        <f>IF(DAY(MarDim1)=1,IF(AND(YEAR(MarDim1+13)=AnnéeCalendrier,MONTH(MarDim1+13)=3),MarDim1+13,""),IF(AND(YEAR(MarDim1+20)=AnnéeCalendrier,MONTH(MarDim1+20)=3),MarDim1+20,""))</f>
        <v>42812</v>
      </c>
      <c r="X10" s="5">
        <f>IF(DAY(MarDim1)=1,IF(AND(YEAR(MarDim1+14)=AnnéeCalendrier,MONTH(MarDim1+14)=3),MarDim1+14,""),IF(AND(YEAR(MarDim1+21)=AnnéeCalendrier,MONTH(MarDim1+21)=3),MarDim1+21,""))</f>
        <v>42813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42751</v>
      </c>
      <c r="C11" s="5">
        <f>IF(DAY(JanDim1)=1,IF(AND(YEAR(JanDim1+16)=AnnéeCalendrier,MONTH(JanDim1+16)=1),JanDim1+16,""),IF(AND(YEAR(JanDim1+23)=AnnéeCalendrier,MONTH(JanDim1+23)=1),JanDim1+23,""))</f>
        <v>42752</v>
      </c>
      <c r="D11" s="5">
        <f>IF(DAY(JanDim1)=1,IF(AND(YEAR(JanDim1+17)=AnnéeCalendrier,MONTH(JanDim1+17)=1),JanDim1+17,""),IF(AND(YEAR(JanDim1+24)=AnnéeCalendrier,MONTH(JanDim1+24)=1),JanDim1+24,""))</f>
        <v>42753</v>
      </c>
      <c r="E11" s="5">
        <f>IF(DAY(JanDim1)=1,IF(AND(YEAR(JanDim1+18)=AnnéeCalendrier,MONTH(JanDim1+18)=1),JanDim1+18,""),IF(AND(YEAR(JanDim1+25)=AnnéeCalendrier,MONTH(JanDim1+25)=1),JanDim1+25,""))</f>
        <v>42754</v>
      </c>
      <c r="F11" s="5">
        <f>IF(DAY(JanDim1)=1,IF(AND(YEAR(JanDim1+19)=AnnéeCalendrier,MONTH(JanDim1+19)=1),JanDim1+19,""),IF(AND(YEAR(JanDim1+26)=AnnéeCalendrier,MONTH(JanDim1+26)=1),JanDim1+26,""))</f>
        <v>42755</v>
      </c>
      <c r="G11" s="5">
        <f>IF(DAY(JanDim1)=1,IF(AND(YEAR(JanDim1+20)=AnnéeCalendrier,MONTH(JanDim1+20)=1),JanDim1+20,""),IF(AND(YEAR(JanDim1+27)=AnnéeCalendrier,MONTH(JanDim1+27)=1),JanDim1+27,""))</f>
        <v>42756</v>
      </c>
      <c r="H11" s="5">
        <f>IF(DAY(JanDim1)=1,IF(AND(YEAR(JanDim1+21)=AnnéeCalendrier,MONTH(JanDim1+21)=1),JanDim1+21,""),IF(AND(YEAR(JanDim1+28)=AnnéeCalendrier,MONTH(JanDim1+28)=1),JanDim1+28,""))</f>
        <v>42757</v>
      </c>
      <c r="I11" s="4"/>
      <c r="J11" s="5">
        <f>IF(DAY(FévDim1)=1,IF(AND(YEAR(FévDim1+15)=AnnéeCalendrier,MONTH(FévDim1+15)=2),FévDim1+15,""),IF(AND(YEAR(FévDim1+22)=AnnéeCalendrier,MONTH(FévDim1+22)=2),FévDim1+22,""))</f>
        <v>42786</v>
      </c>
      <c r="K11" s="5">
        <f>IF(DAY(FévDim1)=1,IF(AND(YEAR(FévDim1+16)=AnnéeCalendrier,MONTH(FévDim1+16)=2),FévDim1+16,""),IF(AND(YEAR(FévDim1+23)=AnnéeCalendrier,MONTH(FévDim1+23)=2),FévDim1+23,""))</f>
        <v>42787</v>
      </c>
      <c r="L11" s="5">
        <f>IF(DAY(FévDim1)=1,IF(AND(YEAR(FévDim1+17)=AnnéeCalendrier,MONTH(FévDim1+17)=2),FévDim1+17,""),IF(AND(YEAR(FévDim1+24)=AnnéeCalendrier,MONTH(FévDim1+24)=2),FévDim1+24,""))</f>
        <v>42788</v>
      </c>
      <c r="M11" s="5">
        <f>IF(DAY(FévDim1)=1,IF(AND(YEAR(FévDim1+18)=AnnéeCalendrier,MONTH(FévDim1+18)=2),FévDim1+18,""),IF(AND(YEAR(FévDim1+25)=AnnéeCalendrier,MONTH(FévDim1+25)=2),FévDim1+25,""))</f>
        <v>42789</v>
      </c>
      <c r="N11" s="5">
        <f>IF(DAY(FévDim1)=1,IF(AND(YEAR(FévDim1+19)=AnnéeCalendrier,MONTH(FévDim1+19)=2),FévDim1+19,""),IF(AND(YEAR(FévDim1+26)=AnnéeCalendrier,MONTH(FévDim1+26)=2),FévDim1+26,""))</f>
        <v>42790</v>
      </c>
      <c r="O11" s="5">
        <f>IF(DAY(FévDim1)=1,IF(AND(YEAR(FévDim1+20)=AnnéeCalendrier,MONTH(FévDim1+20)=2),FévDim1+20,""),IF(AND(YEAR(FévDim1+27)=AnnéeCalendrier,MONTH(FévDim1+27)=2),FévDim1+27,""))</f>
        <v>42791</v>
      </c>
      <c r="P11" s="5">
        <f>IF(DAY(FévDim1)=1,IF(AND(YEAR(FévDim1+21)=AnnéeCalendrier,MONTH(FévDim1+21)=2),FévDim1+21,""),IF(AND(YEAR(FévDim1+28)=AnnéeCalendrier,MONTH(FévDim1+28)=2),FévDim1+28,""))</f>
        <v>42792</v>
      </c>
      <c r="Q11" s="4"/>
      <c r="R11" s="5">
        <f>IF(DAY(MarDim1)=1,IF(AND(YEAR(MarDim1+15)=AnnéeCalendrier,MONTH(MarDim1+15)=3),MarDim1+15,""),IF(AND(YEAR(MarDim1+22)=AnnéeCalendrier,MONTH(MarDim1+22)=3),MarDim1+22,""))</f>
        <v>42814</v>
      </c>
      <c r="S11" s="5">
        <f>IF(DAY(MarDim1)=1,IF(AND(YEAR(MarDim1+16)=AnnéeCalendrier,MONTH(MarDim1+16)=3),MarDim1+16,""),IF(AND(YEAR(MarDim1+23)=AnnéeCalendrier,MONTH(MarDim1+23)=3),MarDim1+23,""))</f>
        <v>42815</v>
      </c>
      <c r="T11" s="5">
        <f>IF(DAY(MarDim1)=1,IF(AND(YEAR(MarDim1+17)=AnnéeCalendrier,MONTH(MarDim1+17)=3),MarDim1+17,""),IF(AND(YEAR(MarDim1+24)=AnnéeCalendrier,MONTH(MarDim1+24)=3),MarDim1+24,""))</f>
        <v>42816</v>
      </c>
      <c r="U11" s="5">
        <f>IF(DAY(MarDim1)=1,IF(AND(YEAR(MarDim1+18)=AnnéeCalendrier,MONTH(MarDim1+18)=3),MarDim1+18,""),IF(AND(YEAR(MarDim1+25)=AnnéeCalendrier,MONTH(MarDim1+25)=3),MarDim1+25,""))</f>
        <v>42817</v>
      </c>
      <c r="V11" s="5">
        <f>IF(DAY(MarDim1)=1,IF(AND(YEAR(MarDim1+19)=AnnéeCalendrier,MONTH(MarDim1+19)=3),MarDim1+19,""),IF(AND(YEAR(MarDim1+26)=AnnéeCalendrier,MONTH(MarDim1+26)=3),MarDim1+26,""))</f>
        <v>42818</v>
      </c>
      <c r="W11" s="5">
        <f>IF(DAY(MarDim1)=1,IF(AND(YEAR(MarDim1+20)=AnnéeCalendrier,MONTH(MarDim1+20)=3),MarDim1+20,""),IF(AND(YEAR(MarDim1+27)=AnnéeCalendrier,MONTH(MarDim1+27)=3),MarDim1+27,""))</f>
        <v>42819</v>
      </c>
      <c r="X11" s="5">
        <f>IF(DAY(MarDim1)=1,IF(AND(YEAR(MarDim1+21)=AnnéeCalendrier,MONTH(MarDim1+21)=3),MarDim1+21,""),IF(AND(YEAR(MarDim1+28)=AnnéeCalendrier,MONTH(MarDim1+28)=3),MarDim1+28,""))</f>
        <v>42820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42758</v>
      </c>
      <c r="C12" s="5">
        <f>IF(DAY(JanDim1)=1,IF(AND(YEAR(JanDim1+23)=AnnéeCalendrier,MONTH(JanDim1+23)=1),JanDim1+23,""),IF(AND(YEAR(JanDim1+30)=AnnéeCalendrier,MONTH(JanDim1+30)=1),JanDim1+30,""))</f>
        <v>42759</v>
      </c>
      <c r="D12" s="5">
        <f>IF(DAY(JanDim1)=1,IF(AND(YEAR(JanDim1+24)=AnnéeCalendrier,MONTH(JanDim1+24)=1),JanDim1+24,""),IF(AND(YEAR(JanDim1+31)=AnnéeCalendrier,MONTH(JanDim1+31)=1),JanDim1+31,""))</f>
        <v>42760</v>
      </c>
      <c r="E12" s="5">
        <f>IF(DAY(JanDim1)=1,IF(AND(YEAR(JanDim1+25)=AnnéeCalendrier,MONTH(JanDim1+25)=1),JanDim1+25,""),IF(AND(YEAR(JanDim1+32)=AnnéeCalendrier,MONTH(JanDim1+32)=1),JanDim1+32,""))</f>
        <v>42761</v>
      </c>
      <c r="F12" s="5">
        <f>IF(DAY(JanDim1)=1,IF(AND(YEAR(JanDim1+26)=AnnéeCalendrier,MONTH(JanDim1+26)=1),JanDim1+26,""),IF(AND(YEAR(JanDim1+33)=AnnéeCalendrier,MONTH(JanDim1+33)=1),JanDim1+33,""))</f>
        <v>42762</v>
      </c>
      <c r="G12" s="5">
        <f>IF(DAY(JanDim1)=1,IF(AND(YEAR(JanDim1+27)=AnnéeCalendrier,MONTH(JanDim1+27)=1),JanDim1+27,""),IF(AND(YEAR(JanDim1+34)=AnnéeCalendrier,MONTH(JanDim1+34)=1),JanDim1+34,""))</f>
        <v>42763</v>
      </c>
      <c r="H12" s="5">
        <f>IF(DAY(JanDim1)=1,IF(AND(YEAR(JanDim1+28)=AnnéeCalendrier,MONTH(JanDim1+28)=1),JanDim1+28,""),IF(AND(YEAR(JanDim1+35)=AnnéeCalendrier,MONTH(JanDim1+35)=1),JanDim1+35,""))</f>
        <v>42764</v>
      </c>
      <c r="I12" s="4"/>
      <c r="J12" s="5">
        <f>IF(DAY(FévDim1)=1,IF(AND(YEAR(FévDim1+22)=AnnéeCalendrier,MONTH(FévDim1+22)=2),FévDim1+22,""),IF(AND(YEAR(FévDim1+29)=AnnéeCalendrier,MONTH(FévDim1+29)=2),FévDim1+29,""))</f>
        <v>42793</v>
      </c>
      <c r="K12" s="5">
        <f>IF(DAY(FévDim1)=1,IF(AND(YEAR(FévDim1+23)=AnnéeCalendrier,MONTH(FévDim1+23)=2),FévDim1+23,""),IF(AND(YEAR(FévDim1+30)=AnnéeCalendrier,MONTH(FévDim1+30)=2),FévDim1+30,""))</f>
        <v>42794</v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42821</v>
      </c>
      <c r="S12" s="5">
        <f>IF(DAY(MarDim1)=1,IF(AND(YEAR(MarDim1+23)=AnnéeCalendrier,MONTH(MarDim1+23)=3),MarDim1+23,""),IF(AND(YEAR(MarDim1+30)=AnnéeCalendrier,MONTH(MarDim1+30)=3),MarDim1+30,""))</f>
        <v>42822</v>
      </c>
      <c r="T12" s="5">
        <f>IF(DAY(MarDim1)=1,IF(AND(YEAR(MarDim1+24)=AnnéeCalendrier,MONTH(MarDim1+24)=3),MarDim1+24,""),IF(AND(YEAR(MarDim1+31)=AnnéeCalendrier,MONTH(MarDim1+31)=3),MarDim1+31,""))</f>
        <v>42823</v>
      </c>
      <c r="U12" s="5">
        <f>IF(DAY(MarDim1)=1,IF(AND(YEAR(MarDim1+25)=AnnéeCalendrier,MONTH(MarDim1+25)=3),MarDim1+25,""),IF(AND(YEAR(MarDim1+32)=AnnéeCalendrier,MONTH(MarDim1+32)=3),MarDim1+32,""))</f>
        <v>42824</v>
      </c>
      <c r="V12" s="5">
        <f>IF(DAY(MarDim1)=1,IF(AND(YEAR(MarDim1+26)=AnnéeCalendrier,MONTH(MarDim1+26)=3),MarDim1+26,""),IF(AND(YEAR(MarDim1+33)=AnnéeCalendrier,MONTH(MarDim1+33)=3),MarDim1+33,""))</f>
        <v>42825</v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42765</v>
      </c>
      <c r="C13" s="5">
        <f>IF(DAY(JanDim1)=1,IF(AND(YEAR(JanDim1+30)=AnnéeCalendrier,MONTH(JanDim1+30)=1),JanDim1+30,""),IF(AND(YEAR(JanDim1+37)=AnnéeCalendrier,MONTH(JanDim1+37)=1),JanDim1+37,""))</f>
        <v>42766</v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>
        <f>IF(DAY(AvrDim1)=1,"",IF(AND(YEAR(AvrDim1+6)=AnnéeCalendrier,MONTH(AvrDim1+6)=4),AvrDim1+6,""))</f>
        <v>42826</v>
      </c>
      <c r="H17" s="7">
        <f>IF(DAY(AvrDim1)=1,IF(AND(YEAR(AvrDim1)=AnnéeCalendrier,MONTH(AvrDim1)=4),AvrDim1,""),IF(AND(YEAR(AvrDim1+7)=AnnéeCalendrier,MONTH(AvrDim1+7)=4),AvrDim1+7,""))</f>
        <v>42827</v>
      </c>
      <c r="I17" s="4"/>
      <c r="J17" s="6">
        <f>IF(DAY(MaiDim1)=1,"",IF(AND(YEAR(MaiDim1+1)=AnnéeCalendrier,MONTH(MaiDim1+1)=5),MaiDim1+1,""))</f>
        <v>42856</v>
      </c>
      <c r="K17" s="5">
        <f>IF(DAY(MaiDim1)=1,"",IF(AND(YEAR(MaiDim1+2)=AnnéeCalendrier,MONTH(MaiDim1+2)=5),MaiDim1+2,""))</f>
        <v>42857</v>
      </c>
      <c r="L17" s="5">
        <f>IF(DAY(MaiDim1)=1,"",IF(AND(YEAR(MaiDim1+3)=AnnéeCalendrier,MONTH(MaiDim1+3)=5),MaiDim1+3,""))</f>
        <v>42858</v>
      </c>
      <c r="M17" s="5">
        <f>IF(DAY(MaiDim1)=1,"",IF(AND(YEAR(MaiDim1+4)=AnnéeCalendrier,MONTH(MaiDim1+4)=5),MaiDim1+4,""))</f>
        <v>42859</v>
      </c>
      <c r="N17" s="5">
        <f>IF(DAY(MaiDim1)=1,"",IF(AND(YEAR(MaiDim1+5)=AnnéeCalendrier,MONTH(MaiDim1+5)=5),MaiDim1+5,""))</f>
        <v>42860</v>
      </c>
      <c r="O17" s="5">
        <f>IF(DAY(MaiDim1)=1,"",IF(AND(YEAR(MaiDim1+6)=AnnéeCalendrier,MONTH(MaiDim1+6)=5),MaiDim1+6,""))</f>
        <v>42861</v>
      </c>
      <c r="P17" s="7">
        <f>IF(DAY(MaiDim1)=1,IF(AND(YEAR(MaiDim1)=AnnéeCalendrier,MONTH(MaiDim1)=5),MaiDim1,""),IF(AND(YEAR(MaiDim1+7)=AnnéeCalendrier,MONTH(MaiDim1+7)=5),MaiDim1+7,""))</f>
        <v>42862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>
        <f>IF(DAY(JunDim1)=1,"",IF(AND(YEAR(JunDim1+4)=AnnéeCalendrier,MONTH(JunDim1+4)=6),JunDim1+4,""))</f>
        <v>42887</v>
      </c>
      <c r="V17" s="5">
        <f>IF(DAY(JunDim1)=1,"",IF(AND(YEAR(JunDim1+5)=AnnéeCalendrier,MONTH(JunDim1+5)=6),JunDim1+5,""))</f>
        <v>42888</v>
      </c>
      <c r="W17" s="5">
        <f>IF(DAY(JunDim1)=1,"",IF(AND(YEAR(JunDim1+6)=AnnéeCalendrier,MONTH(JunDim1+6)=6),JunDim1+6,""))</f>
        <v>42889</v>
      </c>
      <c r="X17" s="7">
        <f>IF(DAY(JunDim1)=1,IF(AND(YEAR(JunDim1)=AnnéeCalendrier,MONTH(JunDim1)=6),JunDim1,""),IF(AND(YEAR(JunDim1+7)=AnnéeCalendrier,MONTH(JunDim1+7)=6),JunDim1+7,""))</f>
        <v>42890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42828</v>
      </c>
      <c r="C18" s="5">
        <f>IF(DAY(AvrDim1)=1,IF(AND(YEAR(AvrDim1+2)=AnnéeCalendrier,MONTH(AvrDim1+2)=4),AvrDim1+2,""),IF(AND(YEAR(AvrDim1+9)=AnnéeCalendrier,MONTH(AvrDim1+9)=4),AvrDim1+9,""))</f>
        <v>42829</v>
      </c>
      <c r="D18" s="5">
        <f>IF(DAY(AvrDim1)=1,IF(AND(YEAR(AvrDim1+3)=AnnéeCalendrier,MONTH(AvrDim1+3)=4),AvrDim1+3,""),IF(AND(YEAR(AvrDim1+10)=AnnéeCalendrier,MONTH(AvrDim1+10)=4),AvrDim1+10,""))</f>
        <v>42830</v>
      </c>
      <c r="E18" s="5">
        <f>IF(DAY(AvrDim1)=1,IF(AND(YEAR(AvrDim1+4)=AnnéeCalendrier,MONTH(AvrDim1+4)=4),AvrDim1+4,""),IF(AND(YEAR(AvrDim1+11)=AnnéeCalendrier,MONTH(AvrDim1+11)=4),AvrDim1+11,""))</f>
        <v>42831</v>
      </c>
      <c r="F18" s="5">
        <f>IF(DAY(AvrDim1)=1,IF(AND(YEAR(AvrDim1+5)=AnnéeCalendrier,MONTH(AvrDim1+5)=4),AvrDim1+5,""),IF(AND(YEAR(AvrDim1+12)=AnnéeCalendrier,MONTH(AvrDim1+12)=4),AvrDim1+12,""))</f>
        <v>42832</v>
      </c>
      <c r="G18" s="5">
        <f>IF(DAY(AvrDim1)=1,IF(AND(YEAR(AvrDim1+6)=AnnéeCalendrier,MONTH(AvrDim1+6)=4),AvrDim1+6,""),IF(AND(YEAR(AvrDim1+13)=AnnéeCalendrier,MONTH(AvrDim1+13)=4),AvrDim1+13,""))</f>
        <v>42833</v>
      </c>
      <c r="H18" s="7">
        <f>IF(DAY(AvrDim1)=1,IF(AND(YEAR(AvrDim1+7)=AnnéeCalendrier,MONTH(AvrDim1+7)=4),AvrDim1+7,""),IF(AND(YEAR(AvrDim1+14)=AnnéeCalendrier,MONTH(AvrDim1+14)=4),AvrDim1+14,""))</f>
        <v>42834</v>
      </c>
      <c r="I18" s="4"/>
      <c r="J18" s="6">
        <f>IF(DAY(MaiDim1)=1,IF(AND(YEAR(MaiDim1+1)=AnnéeCalendrier,MONTH(MaiDim1+1)=5),MaiDim1+1,""),IF(AND(YEAR(MaiDim1+8)=AnnéeCalendrier,MONTH(MaiDim1+8)=5),MaiDim1+8,""))</f>
        <v>42863</v>
      </c>
      <c r="K18" s="5">
        <f>IF(DAY(MaiDim1)=1,IF(AND(YEAR(MaiDim1+2)=AnnéeCalendrier,MONTH(MaiDim1+2)=5),MaiDim1+2,""),IF(AND(YEAR(MaiDim1+9)=AnnéeCalendrier,MONTH(MaiDim1+9)=5),MaiDim1+9,""))</f>
        <v>42864</v>
      </c>
      <c r="L18" s="5">
        <f>IF(DAY(MaiDim1)=1,IF(AND(YEAR(MaiDim1+3)=AnnéeCalendrier,MONTH(MaiDim1+3)=5),MaiDim1+3,""),IF(AND(YEAR(MaiDim1+10)=AnnéeCalendrier,MONTH(MaiDim1+10)=5),MaiDim1+10,""))</f>
        <v>42865</v>
      </c>
      <c r="M18" s="5">
        <f>IF(DAY(MaiDim1)=1,IF(AND(YEAR(MaiDim1+4)=AnnéeCalendrier,MONTH(MaiDim1+4)=5),MaiDim1+4,""),IF(AND(YEAR(MaiDim1+11)=AnnéeCalendrier,MONTH(MaiDim1+11)=5),MaiDim1+11,""))</f>
        <v>42866</v>
      </c>
      <c r="N18" s="5">
        <f>IF(DAY(MaiDim1)=1,IF(AND(YEAR(MaiDim1+5)=AnnéeCalendrier,MONTH(MaiDim1+5)=5),MaiDim1+5,""),IF(AND(YEAR(MaiDim1+12)=AnnéeCalendrier,MONTH(MaiDim1+12)=5),MaiDim1+12,""))</f>
        <v>42867</v>
      </c>
      <c r="O18" s="5">
        <f>IF(DAY(MaiDim1)=1,IF(AND(YEAR(MaiDim1+6)=AnnéeCalendrier,MONTH(MaiDim1+6)=5),MaiDim1+6,""),IF(AND(YEAR(MaiDim1+13)=AnnéeCalendrier,MONTH(MaiDim1+13)=5),MaiDim1+13,""))</f>
        <v>42868</v>
      </c>
      <c r="P18" s="7">
        <f>IF(DAY(MaiDim1)=1,IF(AND(YEAR(MaiDim1+7)=AnnéeCalendrier,MONTH(MaiDim1+7)=5),MaiDim1+7,""),IF(AND(YEAR(MaiDim1+14)=AnnéeCalendrier,MONTH(MaiDim1+14)=5),MaiDim1+14,""))</f>
        <v>42869</v>
      </c>
      <c r="Q18" s="4"/>
      <c r="R18" s="6">
        <f>IF(DAY(JunDim1)=1,IF(AND(YEAR(JunDim1+1)=AnnéeCalendrier,MONTH(JunDim1+1)=6),JunDim1+1,""),IF(AND(YEAR(JunDim1+8)=AnnéeCalendrier,MONTH(JunDim1+8)=6),JunDim1+8,""))</f>
        <v>42891</v>
      </c>
      <c r="S18" s="5">
        <f>IF(DAY(JunDim1)=1,IF(AND(YEAR(JunDim1+2)=AnnéeCalendrier,MONTH(JunDim1+2)=6),JunDim1+2,""),IF(AND(YEAR(JunDim1+9)=AnnéeCalendrier,MONTH(JunDim1+9)=6),JunDim1+9,""))</f>
        <v>42892</v>
      </c>
      <c r="T18" s="5">
        <f>IF(DAY(JunDim1)=1,IF(AND(YEAR(JunDim1+3)=AnnéeCalendrier,MONTH(JunDim1+3)=6),JunDim1+3,""),IF(AND(YEAR(JunDim1+10)=AnnéeCalendrier,MONTH(JunDim1+10)=6),JunDim1+10,""))</f>
        <v>42893</v>
      </c>
      <c r="U18" s="5">
        <f>IF(DAY(JunDim1)=1,IF(AND(YEAR(JunDim1+4)=AnnéeCalendrier,MONTH(JunDim1+4)=6),JunDim1+4,""),IF(AND(YEAR(JunDim1+11)=AnnéeCalendrier,MONTH(JunDim1+11)=6),JunDim1+11,""))</f>
        <v>42894</v>
      </c>
      <c r="V18" s="5">
        <f>IF(DAY(JunDim1)=1,IF(AND(YEAR(JunDim1+5)=AnnéeCalendrier,MONTH(JunDim1+5)=6),JunDim1+5,""),IF(AND(YEAR(JunDim1+12)=AnnéeCalendrier,MONTH(JunDim1+12)=6),JunDim1+12,""))</f>
        <v>42895</v>
      </c>
      <c r="W18" s="5">
        <f>IF(DAY(JunDim1)=1,IF(AND(YEAR(JunDim1+6)=AnnéeCalendrier,MONTH(JunDim1+6)=6),JunDim1+6,""),IF(AND(YEAR(JunDim1+13)=AnnéeCalendrier,MONTH(JunDim1+13)=6),JunDim1+13,""))</f>
        <v>42896</v>
      </c>
      <c r="X18" s="7">
        <f>IF(DAY(JunDim1)=1,IF(AND(YEAR(JunDim1+7)=AnnéeCalendrier,MONTH(JunDim1+7)=6),JunDim1+7,""),IF(AND(YEAR(JunDim1+14)=AnnéeCalendrier,MONTH(JunDim1+14)=6),JunDim1+14,""))</f>
        <v>42897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42835</v>
      </c>
      <c r="C19" s="5">
        <f>IF(DAY(AvrDim1)=1,IF(AND(YEAR(AvrDim1+9)=AnnéeCalendrier,MONTH(AvrDim1+9)=4),AvrDim1+9,""),IF(AND(YEAR(AvrDim1+16)=AnnéeCalendrier,MONTH(AvrDim1+16)=4),AvrDim1+16,""))</f>
        <v>42836</v>
      </c>
      <c r="D19" s="5">
        <f>IF(DAY(AvrDim1)=1,IF(AND(YEAR(AvrDim1+10)=AnnéeCalendrier,MONTH(AvrDim1+10)=4),AvrDim1+10,""),IF(AND(YEAR(AvrDim1+17)=AnnéeCalendrier,MONTH(AvrDim1+17)=4),AvrDim1+17,""))</f>
        <v>42837</v>
      </c>
      <c r="E19" s="5">
        <f>IF(DAY(AvrDim1)=1,IF(AND(YEAR(AvrDim1+11)=AnnéeCalendrier,MONTH(AvrDim1+11)=4),AvrDim1+11,""),IF(AND(YEAR(AvrDim1+18)=AnnéeCalendrier,MONTH(AvrDim1+18)=4),AvrDim1+18,""))</f>
        <v>42838</v>
      </c>
      <c r="F19" s="5">
        <f>IF(DAY(AvrDim1)=1,IF(AND(YEAR(AvrDim1+12)=AnnéeCalendrier,MONTH(AvrDim1+12)=4),AvrDim1+12,""),IF(AND(YEAR(AvrDim1+19)=AnnéeCalendrier,MONTH(AvrDim1+19)=4),AvrDim1+19,""))</f>
        <v>42839</v>
      </c>
      <c r="G19" s="5">
        <f>IF(DAY(AvrDim1)=1,IF(AND(YEAR(AvrDim1+13)=AnnéeCalendrier,MONTH(AvrDim1+13)=4),AvrDim1+13,""),IF(AND(YEAR(AvrDim1+20)=AnnéeCalendrier,MONTH(AvrDim1+20)=4),AvrDim1+20,""))</f>
        <v>42840</v>
      </c>
      <c r="H19" s="7">
        <f>IF(DAY(AvrDim1)=1,IF(AND(YEAR(AvrDim1+14)=AnnéeCalendrier,MONTH(AvrDim1+14)=4),AvrDim1+14,""),IF(AND(YEAR(AvrDim1+21)=AnnéeCalendrier,MONTH(AvrDim1+21)=4),AvrDim1+21,""))</f>
        <v>42841</v>
      </c>
      <c r="I19" s="4"/>
      <c r="J19" s="6">
        <f>IF(DAY(MaiDim1)=1,IF(AND(YEAR(MaiDim1+8)=AnnéeCalendrier,MONTH(MaiDim1+8)=5),MaiDim1+8,""),IF(AND(YEAR(MaiDim1+15)=AnnéeCalendrier,MONTH(MaiDim1+15)=5),MaiDim1+15,""))</f>
        <v>42870</v>
      </c>
      <c r="K19" s="5">
        <f>IF(DAY(MaiDim1)=1,IF(AND(YEAR(MaiDim1+9)=AnnéeCalendrier,MONTH(MaiDim1+9)=5),MaiDim1+9,""),IF(AND(YEAR(MaiDim1+16)=AnnéeCalendrier,MONTH(MaiDim1+16)=5),MaiDim1+16,""))</f>
        <v>42871</v>
      </c>
      <c r="L19" s="5">
        <f>IF(DAY(MaiDim1)=1,IF(AND(YEAR(MaiDim1+10)=AnnéeCalendrier,MONTH(MaiDim1+10)=5),MaiDim1+10,""),IF(AND(YEAR(MaiDim1+17)=AnnéeCalendrier,MONTH(MaiDim1+17)=5),MaiDim1+17,""))</f>
        <v>42872</v>
      </c>
      <c r="M19" s="5">
        <f>IF(DAY(MaiDim1)=1,IF(AND(YEAR(MaiDim1+11)=AnnéeCalendrier,MONTH(MaiDim1+11)=5),MaiDim1+11,""),IF(AND(YEAR(MaiDim1+18)=AnnéeCalendrier,MONTH(MaiDim1+18)=5),MaiDim1+18,""))</f>
        <v>42873</v>
      </c>
      <c r="N19" s="5">
        <f>IF(DAY(MaiDim1)=1,IF(AND(YEAR(MaiDim1+12)=AnnéeCalendrier,MONTH(MaiDim1+12)=5),MaiDim1+12,""),IF(AND(YEAR(MaiDim1+19)=AnnéeCalendrier,MONTH(MaiDim1+19)=5),MaiDim1+19,""))</f>
        <v>42874</v>
      </c>
      <c r="O19" s="5">
        <f>IF(DAY(MaiDim1)=1,IF(AND(YEAR(MaiDim1+13)=AnnéeCalendrier,MONTH(MaiDim1+13)=5),MaiDim1+13,""),IF(AND(YEAR(MaiDim1+20)=AnnéeCalendrier,MONTH(MaiDim1+20)=5),MaiDim1+20,""))</f>
        <v>42875</v>
      </c>
      <c r="P19" s="7">
        <f>IF(DAY(MaiDim1)=1,IF(AND(YEAR(MaiDim1+14)=AnnéeCalendrier,MONTH(MaiDim1+14)=5),MaiDim1+14,""),IF(AND(YEAR(MaiDim1+21)=AnnéeCalendrier,MONTH(MaiDim1+21)=5),MaiDim1+21,""))</f>
        <v>42876</v>
      </c>
      <c r="Q19" s="4"/>
      <c r="R19" s="6">
        <f>IF(DAY(JunDim1)=1,IF(AND(YEAR(JunDim1+8)=AnnéeCalendrier,MONTH(JunDim1+8)=6),JunDim1+8,""),IF(AND(YEAR(JunDim1+15)=AnnéeCalendrier,MONTH(JunDim1+15)=6),JunDim1+15,""))</f>
        <v>42898</v>
      </c>
      <c r="S19" s="5">
        <f>IF(DAY(JunDim1)=1,IF(AND(YEAR(JunDim1+9)=AnnéeCalendrier,MONTH(JunDim1+9)=6),JunDim1+9,""),IF(AND(YEAR(JunDim1+16)=AnnéeCalendrier,MONTH(JunDim1+16)=6),JunDim1+16,""))</f>
        <v>42899</v>
      </c>
      <c r="T19" s="5">
        <f>IF(DAY(JunDim1)=1,IF(AND(YEAR(JunDim1+10)=AnnéeCalendrier,MONTH(JunDim1+10)=6),JunDim1+10,""),IF(AND(YEAR(JunDim1+17)=AnnéeCalendrier,MONTH(JunDim1+17)=6),JunDim1+17,""))</f>
        <v>42900</v>
      </c>
      <c r="U19" s="5">
        <f>IF(DAY(JunDim1)=1,IF(AND(YEAR(JunDim1+11)=AnnéeCalendrier,MONTH(JunDim1+11)=6),JunDim1+11,""),IF(AND(YEAR(JunDim1+18)=AnnéeCalendrier,MONTH(JunDim1+18)=6),JunDim1+18,""))</f>
        <v>42901</v>
      </c>
      <c r="V19" s="5">
        <f>IF(DAY(JunDim1)=1,IF(AND(YEAR(JunDim1+12)=AnnéeCalendrier,MONTH(JunDim1+12)=6),JunDim1+12,""),IF(AND(YEAR(JunDim1+19)=AnnéeCalendrier,MONTH(JunDim1+19)=6),JunDim1+19,""))</f>
        <v>42902</v>
      </c>
      <c r="W19" s="5">
        <f>IF(DAY(JunDim1)=1,IF(AND(YEAR(JunDim1+13)=AnnéeCalendrier,MONTH(JunDim1+13)=6),JunDim1+13,""),IF(AND(YEAR(JunDim1+20)=AnnéeCalendrier,MONTH(JunDim1+20)=6),JunDim1+20,""))</f>
        <v>42903</v>
      </c>
      <c r="X19" s="7">
        <f>IF(DAY(JunDim1)=1,IF(AND(YEAR(JunDim1+14)=AnnéeCalendrier,MONTH(JunDim1+14)=6),JunDim1+14,""),IF(AND(YEAR(JunDim1+21)=AnnéeCalendrier,MONTH(JunDim1+21)=6),JunDim1+21,""))</f>
        <v>42904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42842</v>
      </c>
      <c r="C20" s="5">
        <f>IF(DAY(AvrDim1)=1,IF(AND(YEAR(AvrDim1+16)=AnnéeCalendrier,MONTH(AvrDim1+16)=4),AvrDim1+16,""),IF(AND(YEAR(AvrDim1+23)=AnnéeCalendrier,MONTH(AvrDim1+23)=4),AvrDim1+23,""))</f>
        <v>42843</v>
      </c>
      <c r="D20" s="5">
        <f>IF(DAY(AvrDim1)=1,IF(AND(YEAR(AvrDim1+17)=AnnéeCalendrier,MONTH(AvrDim1+17)=4),AvrDim1+17,""),IF(AND(YEAR(AvrDim1+24)=AnnéeCalendrier,MONTH(AvrDim1+24)=4),AvrDim1+24,""))</f>
        <v>42844</v>
      </c>
      <c r="E20" s="5">
        <f>IF(DAY(AvrDim1)=1,IF(AND(YEAR(AvrDim1+18)=AnnéeCalendrier,MONTH(AvrDim1+18)=4),AvrDim1+18,""),IF(AND(YEAR(AvrDim1+25)=AnnéeCalendrier,MONTH(AvrDim1+25)=4),AvrDim1+25,""))</f>
        <v>42845</v>
      </c>
      <c r="F20" s="5">
        <f>IF(DAY(AvrDim1)=1,IF(AND(YEAR(AvrDim1+19)=AnnéeCalendrier,MONTH(AvrDim1+19)=4),AvrDim1+19,""),IF(AND(YEAR(AvrDim1+26)=AnnéeCalendrier,MONTH(AvrDim1+26)=4),AvrDim1+26,""))</f>
        <v>42846</v>
      </c>
      <c r="G20" s="5">
        <f>IF(DAY(AvrDim1)=1,IF(AND(YEAR(AvrDim1+20)=AnnéeCalendrier,MONTH(AvrDim1+20)=4),AvrDim1+20,""),IF(AND(YEAR(AvrDim1+27)=AnnéeCalendrier,MONTH(AvrDim1+27)=4),AvrDim1+27,""))</f>
        <v>42847</v>
      </c>
      <c r="H20" s="7">
        <f>IF(DAY(AvrDim1)=1,IF(AND(YEAR(AvrDim1+21)=AnnéeCalendrier,MONTH(AvrDim1+21)=4),AvrDim1+21,""),IF(AND(YEAR(AvrDim1+28)=AnnéeCalendrier,MONTH(AvrDim1+28)=4),AvrDim1+28,""))</f>
        <v>42848</v>
      </c>
      <c r="I20" s="4"/>
      <c r="J20" s="6">
        <f>IF(DAY(MaiDim1)=1,IF(AND(YEAR(MaiDim1+15)=AnnéeCalendrier,MONTH(MaiDim1+15)=5),MaiDim1+15,""),IF(AND(YEAR(MaiDim1+22)=AnnéeCalendrier,MONTH(MaiDim1+22)=5),MaiDim1+22,""))</f>
        <v>42877</v>
      </c>
      <c r="K20" s="5">
        <f>IF(DAY(MaiDim1)=1,IF(AND(YEAR(MaiDim1+16)=AnnéeCalendrier,MONTH(MaiDim1+16)=5),MaiDim1+16,""),IF(AND(YEAR(MaiDim1+23)=AnnéeCalendrier,MONTH(MaiDim1+23)=5),MaiDim1+23,""))</f>
        <v>42878</v>
      </c>
      <c r="L20" s="5">
        <f>IF(DAY(MaiDim1)=1,IF(AND(YEAR(MaiDim1+17)=AnnéeCalendrier,MONTH(MaiDim1+17)=5),MaiDim1+17,""),IF(AND(YEAR(MaiDim1+24)=AnnéeCalendrier,MONTH(MaiDim1+24)=5),MaiDim1+24,""))</f>
        <v>42879</v>
      </c>
      <c r="M20" s="5">
        <f>IF(DAY(MaiDim1)=1,IF(AND(YEAR(MaiDim1+18)=AnnéeCalendrier,MONTH(MaiDim1+18)=5),MaiDim1+18,""),IF(AND(YEAR(MaiDim1+25)=AnnéeCalendrier,MONTH(MaiDim1+25)=5),MaiDim1+25,""))</f>
        <v>42880</v>
      </c>
      <c r="N20" s="5">
        <f>IF(DAY(MaiDim1)=1,IF(AND(YEAR(MaiDim1+19)=AnnéeCalendrier,MONTH(MaiDim1+19)=5),MaiDim1+19,""),IF(AND(YEAR(MaiDim1+26)=AnnéeCalendrier,MONTH(MaiDim1+26)=5),MaiDim1+26,""))</f>
        <v>42881</v>
      </c>
      <c r="O20" s="5">
        <f>IF(DAY(MaiDim1)=1,IF(AND(YEAR(MaiDim1+20)=AnnéeCalendrier,MONTH(MaiDim1+20)=5),MaiDim1+20,""),IF(AND(YEAR(MaiDim1+27)=AnnéeCalendrier,MONTH(MaiDim1+27)=5),MaiDim1+27,""))</f>
        <v>42882</v>
      </c>
      <c r="P20" s="7">
        <f>IF(DAY(MaiDim1)=1,IF(AND(YEAR(MaiDim1+21)=AnnéeCalendrier,MONTH(MaiDim1+21)=5),MaiDim1+21,""),IF(AND(YEAR(MaiDim1+28)=AnnéeCalendrier,MONTH(MaiDim1+28)=5),MaiDim1+28,""))</f>
        <v>42883</v>
      </c>
      <c r="Q20" s="4"/>
      <c r="R20" s="6">
        <f>IF(DAY(JunDim1)=1,IF(AND(YEAR(JunDim1+15)=AnnéeCalendrier,MONTH(JunDim1+15)=6),JunDim1+15,""),IF(AND(YEAR(JunDim1+22)=AnnéeCalendrier,MONTH(JunDim1+22)=6),JunDim1+22,""))</f>
        <v>42905</v>
      </c>
      <c r="S20" s="5">
        <f>IF(DAY(JunDim1)=1,IF(AND(YEAR(JunDim1+16)=AnnéeCalendrier,MONTH(JunDim1+16)=6),JunDim1+16,""),IF(AND(YEAR(JunDim1+23)=AnnéeCalendrier,MONTH(JunDim1+23)=6),JunDim1+23,""))</f>
        <v>42906</v>
      </c>
      <c r="T20" s="5">
        <f>IF(DAY(JunDim1)=1,IF(AND(YEAR(JunDim1+17)=AnnéeCalendrier,MONTH(JunDim1+17)=6),JunDim1+17,""),IF(AND(YEAR(JunDim1+24)=AnnéeCalendrier,MONTH(JunDim1+24)=6),JunDim1+24,""))</f>
        <v>42907</v>
      </c>
      <c r="U20" s="5">
        <f>IF(DAY(JunDim1)=1,IF(AND(YEAR(JunDim1+18)=AnnéeCalendrier,MONTH(JunDim1+18)=6),JunDim1+18,""),IF(AND(YEAR(JunDim1+25)=AnnéeCalendrier,MONTH(JunDim1+25)=6),JunDim1+25,""))</f>
        <v>42908</v>
      </c>
      <c r="V20" s="5">
        <f>IF(DAY(JunDim1)=1,IF(AND(YEAR(JunDim1+19)=AnnéeCalendrier,MONTH(JunDim1+19)=6),JunDim1+19,""),IF(AND(YEAR(JunDim1+26)=AnnéeCalendrier,MONTH(JunDim1+26)=6),JunDim1+26,""))</f>
        <v>42909</v>
      </c>
      <c r="W20" s="5">
        <f>IF(DAY(JunDim1)=1,IF(AND(YEAR(JunDim1+20)=AnnéeCalendrier,MONTH(JunDim1+20)=6),JunDim1+20,""),IF(AND(YEAR(JunDim1+27)=AnnéeCalendrier,MONTH(JunDim1+27)=6),JunDim1+27,""))</f>
        <v>42910</v>
      </c>
      <c r="X20" s="7">
        <f>IF(DAY(JunDim1)=1,IF(AND(YEAR(JunDim1+21)=AnnéeCalendrier,MONTH(JunDim1+21)=6),JunDim1+21,""),IF(AND(YEAR(JunDim1+28)=AnnéeCalendrier,MONTH(JunDim1+28)=6),JunDim1+28,""))</f>
        <v>42911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42849</v>
      </c>
      <c r="C21" s="5">
        <f>IF(DAY(AvrDim1)=1,IF(AND(YEAR(AvrDim1+23)=AnnéeCalendrier,MONTH(AvrDim1+23)=4),AvrDim1+23,""),IF(AND(YEAR(AvrDim1+30)=AnnéeCalendrier,MONTH(AvrDim1+30)=4),AvrDim1+30,""))</f>
        <v>42850</v>
      </c>
      <c r="D21" s="5">
        <f>IF(DAY(AvrDim1)=1,IF(AND(YEAR(AvrDim1+24)=AnnéeCalendrier,MONTH(AvrDim1+24)=4),AvrDim1+24,""),IF(AND(YEAR(AvrDim1+31)=AnnéeCalendrier,MONTH(AvrDim1+31)=4),AvrDim1+31,""))</f>
        <v>42851</v>
      </c>
      <c r="E21" s="5">
        <f>IF(DAY(AvrDim1)=1,IF(AND(YEAR(AvrDim1+25)=AnnéeCalendrier,MONTH(AvrDim1+25)=4),AvrDim1+25,""),IF(AND(YEAR(AvrDim1+32)=AnnéeCalendrier,MONTH(AvrDim1+32)=4),AvrDim1+32,""))</f>
        <v>42852</v>
      </c>
      <c r="F21" s="5">
        <f>IF(DAY(AvrDim1)=1,IF(AND(YEAR(AvrDim1+26)=AnnéeCalendrier,MONTH(AvrDim1+26)=4),AvrDim1+26,""),IF(AND(YEAR(AvrDim1+33)=AnnéeCalendrier,MONTH(AvrDim1+33)=4),AvrDim1+33,""))</f>
        <v>42853</v>
      </c>
      <c r="G21" s="5">
        <f>IF(DAY(AvrDim1)=1,IF(AND(YEAR(AvrDim1+27)=AnnéeCalendrier,MONTH(AvrDim1+27)=4),AvrDim1+27,""),IF(AND(YEAR(AvrDim1+34)=AnnéeCalendrier,MONTH(AvrDim1+34)=4),AvrDim1+34,""))</f>
        <v>42854</v>
      </c>
      <c r="H21" s="7">
        <f>IF(DAY(AvrDim1)=1,IF(AND(YEAR(AvrDim1+28)=AnnéeCalendrier,MONTH(AvrDim1+28)=4),AvrDim1+28,""),IF(AND(YEAR(AvrDim1+35)=AnnéeCalendrier,MONTH(AvrDim1+35)=4),AvrDim1+35,""))</f>
        <v>42855</v>
      </c>
      <c r="I21" s="4"/>
      <c r="J21" s="6">
        <f>IF(DAY(MaiDim1)=1,IF(AND(YEAR(MaiDim1+22)=AnnéeCalendrier,MONTH(MaiDim1+22)=5),MaiDim1+22,""),IF(AND(YEAR(MaiDim1+29)=AnnéeCalendrier,MONTH(MaiDim1+29)=5),MaiDim1+29,""))</f>
        <v>42884</v>
      </c>
      <c r="K21" s="5">
        <f>IF(DAY(MaiDim1)=1,IF(AND(YEAR(MaiDim1+23)=AnnéeCalendrier,MONTH(MaiDim1+23)=5),MaiDim1+23,""),IF(AND(YEAR(MaiDim1+30)=AnnéeCalendrier,MONTH(MaiDim1+30)=5),MaiDim1+30,""))</f>
        <v>42885</v>
      </c>
      <c r="L21" s="5">
        <f>IF(DAY(MaiDim1)=1,IF(AND(YEAR(MaiDim1+24)=AnnéeCalendrier,MONTH(MaiDim1+24)=5),MaiDim1+24,""),IF(AND(YEAR(MaiDim1+31)=AnnéeCalendrier,MONTH(MaiDim1+31)=5),MaiDim1+31,""))</f>
        <v>42886</v>
      </c>
      <c r="M21" s="5" t="str">
        <f>IF(DAY(MaiDim1)=1,IF(AND(YEAR(MaiDim1+25)=AnnéeCalendrier,MONTH(MaiDim1+25)=5),MaiDim1+25,""),IF(AND(YEAR(MaiDim1+32)=AnnéeCalendrier,MONTH(MaiDim1+32)=5),MaiDim1+32,""))</f>
        <v/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42912</v>
      </c>
      <c r="S21" s="5">
        <f>IF(DAY(JunDim1)=1,IF(AND(YEAR(JunDim1+23)=AnnéeCalendrier,MONTH(JunDim1+23)=6),JunDim1+23,""),IF(AND(YEAR(JunDim1+30)=AnnéeCalendrier,MONTH(JunDim1+30)=6),JunDim1+30,""))</f>
        <v>42913</v>
      </c>
      <c r="T21" s="5">
        <f>IF(DAY(JunDim1)=1,IF(AND(YEAR(JunDim1+24)=AnnéeCalendrier,MONTH(JunDim1+24)=6),JunDim1+24,""),IF(AND(YEAR(JunDim1+31)=AnnéeCalendrier,MONTH(JunDim1+31)=6),JunDim1+31,""))</f>
        <v>42914</v>
      </c>
      <c r="U21" s="5">
        <f>IF(DAY(JunDim1)=1,IF(AND(YEAR(JunDim1+25)=AnnéeCalendrier,MONTH(JunDim1+25)=6),JunDim1+25,""),IF(AND(YEAR(JunDim1+32)=AnnéeCalendrier,MONTH(JunDim1+32)=6),JunDim1+32,""))</f>
        <v>42915</v>
      </c>
      <c r="V21" s="5">
        <f>IF(DAY(JunDim1)=1,IF(AND(YEAR(JunDim1+26)=AnnéeCalendrier,MONTH(JunDim1+26)=6),JunDim1+26,""),IF(AND(YEAR(JunDim1+33)=AnnéeCalendrier,MONTH(JunDim1+33)=6),JunDim1+33,""))</f>
        <v>42916</v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>
        <f>IF(DAY(JulDim1)=1,"",IF(AND(YEAR(JulDim1+6)=AnnéeCalendrier,MONTH(JulDim1+6)=7),JulDim1+6,""))</f>
        <v>42917</v>
      </c>
      <c r="H26" s="7">
        <f>IF(DAY(JulDim1)=1,IF(AND(YEAR(JulDim1)=AnnéeCalendrier,MONTH(JulDim1)=7),JulDim1,""),IF(AND(YEAR(JulDim1+7)=AnnéeCalendrier,MONTH(JulDim1+7)=7),JulDim1+7,""))</f>
        <v>42918</v>
      </c>
      <c r="J26" s="6" t="str">
        <f>IF(DAY(AouDim1)=1,"",IF(AND(YEAR(AouDim1+1)=AnnéeCalendrier,MONTH(AouDim1+1)=8),AouDim1+1,""))</f>
        <v/>
      </c>
      <c r="K26" s="5">
        <f>IF(DAY(AouDim1)=1,"",IF(AND(YEAR(AouDim1+2)=AnnéeCalendrier,MONTH(AouDim1+2)=8),AouDim1+2,""))</f>
        <v>42948</v>
      </c>
      <c r="L26" s="5">
        <f>IF(DAY(AouDim1)=1,"",IF(AND(YEAR(AouDim1+3)=AnnéeCalendrier,MONTH(AouDim1+3)=8),AouDim1+3,""))</f>
        <v>42949</v>
      </c>
      <c r="M26" s="5">
        <f>IF(DAY(AouDim1)=1,"",IF(AND(YEAR(AouDim1+4)=AnnéeCalendrier,MONTH(AouDim1+4)=8),AouDim1+4,""))</f>
        <v>42950</v>
      </c>
      <c r="N26" s="5">
        <f>IF(DAY(AouDim1)=1,"",IF(AND(YEAR(AouDim1+5)=AnnéeCalendrier,MONTH(AouDim1+5)=8),AouDim1+5,""))</f>
        <v>42951</v>
      </c>
      <c r="O26" s="5">
        <f>IF(DAY(AouDim1)=1,"",IF(AND(YEAR(AouDim1+6)=AnnéeCalendrier,MONTH(AouDim1+6)=8),AouDim1+6,""))</f>
        <v>42952</v>
      </c>
      <c r="P26" s="7">
        <f>IF(DAY(AouDim1)=1,IF(AND(YEAR(AouDim1)=AnnéeCalendrier,MONTH(AouDim1)=8),AouDim1,""),IF(AND(YEAR(AouDim1+7)=AnnéeCalendrier,MONTH(AouDim1+7)=8),AouDim1+7,""))</f>
        <v>42953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>
        <f>IF(DAY(SepDim1)=1,"",IF(AND(YEAR(SepDim1+5)=AnnéeCalendrier,MONTH(SepDim1+5)=9),SepDim1+5,""))</f>
        <v>42979</v>
      </c>
      <c r="W26" s="5">
        <f>IF(DAY(SepDim1)=1,"",IF(AND(YEAR(SepDim1+6)=AnnéeCalendrier,MONTH(SepDim1+6)=9),SepDim1+6,""))</f>
        <v>42980</v>
      </c>
      <c r="X26" s="7">
        <f>IF(DAY(SepDim1)=1,IF(AND(YEAR(SepDim1)=AnnéeCalendrier,MONTH(SepDim1)=9),SepDim1,""),IF(AND(YEAR(SepDim1+7)=AnnéeCalendrier,MONTH(SepDim1+7)=9),SepDim1+7,""))</f>
        <v>42981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42919</v>
      </c>
      <c r="C27" s="5">
        <f>IF(DAY(JulDim1)=1,IF(AND(YEAR(JulDim1+2)=AnnéeCalendrier,MONTH(JulDim1+2)=7),JulDim1+2,""),IF(AND(YEAR(JulDim1+9)=AnnéeCalendrier,MONTH(JulDim1+9)=7),JulDim1+9,""))</f>
        <v>42920</v>
      </c>
      <c r="D27" s="5">
        <f>IF(DAY(JulDim1)=1,IF(AND(YEAR(JulDim1+3)=AnnéeCalendrier,MONTH(JulDim1+3)=7),JulDim1+3,""),IF(AND(YEAR(JulDim1+10)=AnnéeCalendrier,MONTH(JulDim1+10)=7),JulDim1+10,""))</f>
        <v>42921</v>
      </c>
      <c r="E27" s="5">
        <f>IF(DAY(JulDim1)=1,IF(AND(YEAR(JulDim1+4)=AnnéeCalendrier,MONTH(JulDim1+4)=7),JulDim1+4,""),IF(AND(YEAR(JulDim1+11)=AnnéeCalendrier,MONTH(JulDim1+11)=7),JulDim1+11,""))</f>
        <v>42922</v>
      </c>
      <c r="F27" s="5">
        <f>IF(DAY(JulDim1)=1,IF(AND(YEAR(JulDim1+5)=AnnéeCalendrier,MONTH(JulDim1+5)=7),JulDim1+5,""),IF(AND(YEAR(JulDim1+12)=AnnéeCalendrier,MONTH(JulDim1+12)=7),JulDim1+12,""))</f>
        <v>42923</v>
      </c>
      <c r="G27" s="5">
        <f>IF(DAY(JulDim1)=1,IF(AND(YEAR(JulDim1+6)=AnnéeCalendrier,MONTH(JulDim1+6)=7),JulDim1+6,""),IF(AND(YEAR(JulDim1+13)=AnnéeCalendrier,MONTH(JulDim1+13)=7),JulDim1+13,""))</f>
        <v>42924</v>
      </c>
      <c r="H27" s="7">
        <f>IF(DAY(JulDim1)=1,IF(AND(YEAR(JulDim1+7)=AnnéeCalendrier,MONTH(JulDim1+7)=7),JulDim1+7,""),IF(AND(YEAR(JulDim1+14)=AnnéeCalendrier,MONTH(JulDim1+14)=7),JulDim1+14,""))</f>
        <v>42925</v>
      </c>
      <c r="J27" s="6">
        <f>IF(DAY(AouDim1)=1,IF(AND(YEAR(AouDim1+1)=AnnéeCalendrier,MONTH(AouDim1+1)=8),AouDim1+1,""),IF(AND(YEAR(AouDim1+8)=AnnéeCalendrier,MONTH(AouDim1+8)=8),AouDim1+8,""))</f>
        <v>42954</v>
      </c>
      <c r="K27" s="5">
        <f>IF(DAY(AouDim1)=1,IF(AND(YEAR(AouDim1+2)=AnnéeCalendrier,MONTH(AouDim1+2)=8),AouDim1+2,""),IF(AND(YEAR(AouDim1+9)=AnnéeCalendrier,MONTH(AouDim1+9)=8),AouDim1+9,""))</f>
        <v>42955</v>
      </c>
      <c r="L27" s="5">
        <f>IF(DAY(AouDim1)=1,IF(AND(YEAR(AouDim1+3)=AnnéeCalendrier,MONTH(AouDim1+3)=8),AouDim1+3,""),IF(AND(YEAR(AouDim1+10)=AnnéeCalendrier,MONTH(AouDim1+10)=8),AouDim1+10,""))</f>
        <v>42956</v>
      </c>
      <c r="M27" s="5">
        <f>IF(DAY(AouDim1)=1,IF(AND(YEAR(AouDim1+4)=AnnéeCalendrier,MONTH(AouDim1+4)=8),AouDim1+4,""),IF(AND(YEAR(AouDim1+11)=AnnéeCalendrier,MONTH(AouDim1+11)=8),AouDim1+11,""))</f>
        <v>42957</v>
      </c>
      <c r="N27" s="5">
        <f>IF(DAY(AouDim1)=1,IF(AND(YEAR(AouDim1+5)=AnnéeCalendrier,MONTH(AouDim1+5)=8),AouDim1+5,""),IF(AND(YEAR(AouDim1+12)=AnnéeCalendrier,MONTH(AouDim1+12)=8),AouDim1+12,""))</f>
        <v>42958</v>
      </c>
      <c r="O27" s="5">
        <f>IF(DAY(AouDim1)=1,IF(AND(YEAR(AouDim1+6)=AnnéeCalendrier,MONTH(AouDim1+6)=8),AouDim1+6,""),IF(AND(YEAR(AouDim1+13)=AnnéeCalendrier,MONTH(AouDim1+13)=8),AouDim1+13,""))</f>
        <v>42959</v>
      </c>
      <c r="P27" s="7">
        <f>IF(DAY(AouDim1)=1,IF(AND(YEAR(AouDim1+7)=AnnéeCalendrier,MONTH(AouDim1+7)=8),AouDim1+7,""),IF(AND(YEAR(AouDim1+14)=AnnéeCalendrier,MONTH(AouDim1+14)=8),AouDim1+14,""))</f>
        <v>42960</v>
      </c>
      <c r="Q27" s="1"/>
      <c r="R27" s="6">
        <f>IF(DAY(SepDim1)=1,IF(AND(YEAR(SepDim1+1)=AnnéeCalendrier,MONTH(SepDim1+1)=9),SepDim1+1,""),IF(AND(YEAR(SepDim1+8)=AnnéeCalendrier,MONTH(SepDim1+8)=9),SepDim1+8,""))</f>
        <v>42982</v>
      </c>
      <c r="S27" s="5">
        <f>IF(DAY(SepDim1)=1,IF(AND(YEAR(SepDim1+2)=AnnéeCalendrier,MONTH(SepDim1+2)=9),SepDim1+2,""),IF(AND(YEAR(SepDim1+9)=AnnéeCalendrier,MONTH(SepDim1+9)=9),SepDim1+9,""))</f>
        <v>42983</v>
      </c>
      <c r="T27" s="5">
        <f>IF(DAY(SepDim1)=1,IF(AND(YEAR(SepDim1+3)=AnnéeCalendrier,MONTH(SepDim1+3)=9),SepDim1+3,""),IF(AND(YEAR(SepDim1+10)=AnnéeCalendrier,MONTH(SepDim1+10)=9),SepDim1+10,""))</f>
        <v>42984</v>
      </c>
      <c r="U27" s="5">
        <f>IF(DAY(SepDim1)=1,IF(AND(YEAR(SepDim1+4)=AnnéeCalendrier,MONTH(SepDim1+4)=9),SepDim1+4,""),IF(AND(YEAR(SepDim1+11)=AnnéeCalendrier,MONTH(SepDim1+11)=9),SepDim1+11,""))</f>
        <v>42985</v>
      </c>
      <c r="V27" s="5">
        <f>IF(DAY(SepDim1)=1,IF(AND(YEAR(SepDim1+5)=AnnéeCalendrier,MONTH(SepDim1+5)=9),SepDim1+5,""),IF(AND(YEAR(SepDim1+12)=AnnéeCalendrier,MONTH(SepDim1+12)=9),SepDim1+12,""))</f>
        <v>42986</v>
      </c>
      <c r="W27" s="5">
        <f>IF(DAY(SepDim1)=1,IF(AND(YEAR(SepDim1+6)=AnnéeCalendrier,MONTH(SepDim1+6)=9),SepDim1+6,""),IF(AND(YEAR(SepDim1+13)=AnnéeCalendrier,MONTH(SepDim1+13)=9),SepDim1+13,""))</f>
        <v>42987</v>
      </c>
      <c r="X27" s="7">
        <f>IF(DAY(SepDim1)=1,IF(AND(YEAR(SepDim1+7)=AnnéeCalendrier,MONTH(SepDim1+7)=9),SepDim1+7,""),IF(AND(YEAR(SepDim1+14)=AnnéeCalendrier,MONTH(SepDim1+14)=9),SepDim1+14,""))</f>
        <v>42988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42926</v>
      </c>
      <c r="C28" s="5">
        <f>IF(DAY(JulDim1)=1,IF(AND(YEAR(JulDim1+9)=AnnéeCalendrier,MONTH(JulDim1+9)=7),JulDim1+9,""),IF(AND(YEAR(JulDim1+16)=AnnéeCalendrier,MONTH(JulDim1+16)=7),JulDim1+16,""))</f>
        <v>42927</v>
      </c>
      <c r="D28" s="5">
        <f>IF(DAY(JulDim1)=1,IF(AND(YEAR(JulDim1+10)=AnnéeCalendrier,MONTH(JulDim1+10)=7),JulDim1+10,""),IF(AND(YEAR(JulDim1+17)=AnnéeCalendrier,MONTH(JulDim1+17)=7),JulDim1+17,""))</f>
        <v>42928</v>
      </c>
      <c r="E28" s="5">
        <f>IF(DAY(JulDim1)=1,IF(AND(YEAR(JulDim1+11)=AnnéeCalendrier,MONTH(JulDim1+11)=7),JulDim1+11,""),IF(AND(YEAR(JulDim1+18)=AnnéeCalendrier,MONTH(JulDim1+18)=7),JulDim1+18,""))</f>
        <v>42929</v>
      </c>
      <c r="F28" s="5">
        <f>IF(DAY(JulDim1)=1,IF(AND(YEAR(JulDim1+12)=AnnéeCalendrier,MONTH(JulDim1+12)=7),JulDim1+12,""),IF(AND(YEAR(JulDim1+19)=AnnéeCalendrier,MONTH(JulDim1+19)=7),JulDim1+19,""))</f>
        <v>42930</v>
      </c>
      <c r="G28" s="5">
        <f>IF(DAY(JulDim1)=1,IF(AND(YEAR(JulDim1+13)=AnnéeCalendrier,MONTH(JulDim1+13)=7),JulDim1+13,""),IF(AND(YEAR(JulDim1+20)=AnnéeCalendrier,MONTH(JulDim1+20)=7),JulDim1+20,""))</f>
        <v>42931</v>
      </c>
      <c r="H28" s="7">
        <f>IF(DAY(JulDim1)=1,IF(AND(YEAR(JulDim1+14)=AnnéeCalendrier,MONTH(JulDim1+14)=7),JulDim1+14,""),IF(AND(YEAR(JulDim1+21)=AnnéeCalendrier,MONTH(JulDim1+21)=7),JulDim1+21,""))</f>
        <v>42932</v>
      </c>
      <c r="J28" s="6">
        <f>IF(DAY(AouDim1)=1,IF(AND(YEAR(AouDim1+8)=AnnéeCalendrier,MONTH(AouDim1+8)=8),AouDim1+8,""),IF(AND(YEAR(AouDim1+15)=AnnéeCalendrier,MONTH(AouDim1+15)=8),AouDim1+15,""))</f>
        <v>42961</v>
      </c>
      <c r="K28" s="5">
        <f>IF(DAY(AouDim1)=1,IF(AND(YEAR(AouDim1+9)=AnnéeCalendrier,MONTH(AouDim1+9)=8),AouDim1+9,""),IF(AND(YEAR(AouDim1+16)=AnnéeCalendrier,MONTH(AouDim1+16)=8),AouDim1+16,""))</f>
        <v>42962</v>
      </c>
      <c r="L28" s="5">
        <f>IF(DAY(AouDim1)=1,IF(AND(YEAR(AouDim1+10)=AnnéeCalendrier,MONTH(AouDim1+10)=8),AouDim1+10,""),IF(AND(YEAR(AouDim1+17)=AnnéeCalendrier,MONTH(AouDim1+17)=8),AouDim1+17,""))</f>
        <v>42963</v>
      </c>
      <c r="M28" s="5">
        <f>IF(DAY(AouDim1)=1,IF(AND(YEAR(AouDim1+11)=AnnéeCalendrier,MONTH(AouDim1+11)=8),AouDim1+11,""),IF(AND(YEAR(AouDim1+18)=AnnéeCalendrier,MONTH(AouDim1+18)=8),AouDim1+18,""))</f>
        <v>42964</v>
      </c>
      <c r="N28" s="5">
        <f>IF(DAY(AouDim1)=1,IF(AND(YEAR(AouDim1+12)=AnnéeCalendrier,MONTH(AouDim1+12)=8),AouDim1+12,""),IF(AND(YEAR(AouDim1+19)=AnnéeCalendrier,MONTH(AouDim1+19)=8),AouDim1+19,""))</f>
        <v>42965</v>
      </c>
      <c r="O28" s="5">
        <f>IF(DAY(AouDim1)=1,IF(AND(YEAR(AouDim1+13)=AnnéeCalendrier,MONTH(AouDim1+13)=8),AouDim1+13,""),IF(AND(YEAR(AouDim1+20)=AnnéeCalendrier,MONTH(AouDim1+20)=8),AouDim1+20,""))</f>
        <v>42966</v>
      </c>
      <c r="P28" s="7">
        <f>IF(DAY(AouDim1)=1,IF(AND(YEAR(AouDim1+14)=AnnéeCalendrier,MONTH(AouDim1+14)=8),AouDim1+14,""),IF(AND(YEAR(AouDim1+21)=AnnéeCalendrier,MONTH(AouDim1+21)=8),AouDim1+21,""))</f>
        <v>42967</v>
      </c>
      <c r="Q28" s="1"/>
      <c r="R28" s="6">
        <f>IF(DAY(SepDim1)=1,IF(AND(YEAR(SepDim1+8)=AnnéeCalendrier,MONTH(SepDim1+8)=9),SepDim1+8,""),IF(AND(YEAR(SepDim1+15)=AnnéeCalendrier,MONTH(SepDim1+15)=9),SepDim1+15,""))</f>
        <v>42989</v>
      </c>
      <c r="S28" s="5">
        <f>IF(DAY(SepDim1)=1,IF(AND(YEAR(SepDim1+9)=AnnéeCalendrier,MONTH(SepDim1+9)=9),SepDim1+9,""),IF(AND(YEAR(SepDim1+16)=AnnéeCalendrier,MONTH(SepDim1+16)=9),SepDim1+16,""))</f>
        <v>42990</v>
      </c>
      <c r="T28" s="5">
        <f>IF(DAY(SepDim1)=1,IF(AND(YEAR(SepDim1+10)=AnnéeCalendrier,MONTH(SepDim1+10)=9),SepDim1+10,""),IF(AND(YEAR(SepDim1+17)=AnnéeCalendrier,MONTH(SepDim1+17)=9),SepDim1+17,""))</f>
        <v>42991</v>
      </c>
      <c r="U28" s="5">
        <f>IF(DAY(SepDim1)=1,IF(AND(YEAR(SepDim1+11)=AnnéeCalendrier,MONTH(SepDim1+11)=9),SepDim1+11,""),IF(AND(YEAR(SepDim1+18)=AnnéeCalendrier,MONTH(SepDim1+18)=9),SepDim1+18,""))</f>
        <v>42992</v>
      </c>
      <c r="V28" s="5">
        <f>IF(DAY(SepDim1)=1,IF(AND(YEAR(SepDim1+12)=AnnéeCalendrier,MONTH(SepDim1+12)=9),SepDim1+12,""),IF(AND(YEAR(SepDim1+19)=AnnéeCalendrier,MONTH(SepDim1+19)=9),SepDim1+19,""))</f>
        <v>42993</v>
      </c>
      <c r="W28" s="5">
        <f>IF(DAY(SepDim1)=1,IF(AND(YEAR(SepDim1+13)=AnnéeCalendrier,MONTH(SepDim1+13)=9),SepDim1+13,""),IF(AND(YEAR(SepDim1+20)=AnnéeCalendrier,MONTH(SepDim1+20)=9),SepDim1+20,""))</f>
        <v>42994</v>
      </c>
      <c r="X28" s="7">
        <f>IF(DAY(SepDim1)=1,IF(AND(YEAR(SepDim1+14)=AnnéeCalendrier,MONTH(SepDim1+14)=9),SepDim1+14,""),IF(AND(YEAR(SepDim1+21)=AnnéeCalendrier,MONTH(SepDim1+21)=9),SepDim1+21,""))</f>
        <v>42995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42933</v>
      </c>
      <c r="C29" s="5">
        <f>IF(DAY(JulDim1)=1,IF(AND(YEAR(JulDim1+16)=AnnéeCalendrier,MONTH(JulDim1+16)=7),JulDim1+16,""),IF(AND(YEAR(JulDim1+23)=AnnéeCalendrier,MONTH(JulDim1+23)=7),JulDim1+23,""))</f>
        <v>42934</v>
      </c>
      <c r="D29" s="5">
        <f>IF(DAY(JulDim1)=1,IF(AND(YEAR(JulDim1+17)=AnnéeCalendrier,MONTH(JulDim1+17)=7),JulDim1+17,""),IF(AND(YEAR(JulDim1+24)=AnnéeCalendrier,MONTH(JulDim1+24)=7),JulDim1+24,""))</f>
        <v>42935</v>
      </c>
      <c r="E29" s="5">
        <f>IF(DAY(JulDim1)=1,IF(AND(YEAR(JulDim1+18)=AnnéeCalendrier,MONTH(JulDim1+18)=7),JulDim1+18,""),IF(AND(YEAR(JulDim1+25)=AnnéeCalendrier,MONTH(JulDim1+25)=7),JulDim1+25,""))</f>
        <v>42936</v>
      </c>
      <c r="F29" s="5">
        <f>IF(DAY(JulDim1)=1,IF(AND(YEAR(JulDim1+19)=AnnéeCalendrier,MONTH(JulDim1+19)=7),JulDim1+19,""),IF(AND(YEAR(JulDim1+26)=AnnéeCalendrier,MONTH(JulDim1+26)=7),JulDim1+26,""))</f>
        <v>42937</v>
      </c>
      <c r="G29" s="5">
        <f>IF(DAY(JulDim1)=1,IF(AND(YEAR(JulDim1+20)=AnnéeCalendrier,MONTH(JulDim1+20)=7),JulDim1+20,""),IF(AND(YEAR(JulDim1+27)=AnnéeCalendrier,MONTH(JulDim1+27)=7),JulDim1+27,""))</f>
        <v>42938</v>
      </c>
      <c r="H29" s="7">
        <f>IF(DAY(JulDim1)=1,IF(AND(YEAR(JulDim1+21)=AnnéeCalendrier,MONTH(JulDim1+21)=7),JulDim1+21,""),IF(AND(YEAR(JulDim1+28)=AnnéeCalendrier,MONTH(JulDim1+28)=7),JulDim1+28,""))</f>
        <v>42939</v>
      </c>
      <c r="J29" s="6">
        <f>IF(DAY(AouDim1)=1,IF(AND(YEAR(AouDim1+15)=AnnéeCalendrier,MONTH(AouDim1+15)=8),AouDim1+15,""),IF(AND(YEAR(AouDim1+22)=AnnéeCalendrier,MONTH(AouDim1+22)=8),AouDim1+22,""))</f>
        <v>42968</v>
      </c>
      <c r="K29" s="5">
        <f>IF(DAY(AouDim1)=1,IF(AND(YEAR(AouDim1+16)=AnnéeCalendrier,MONTH(AouDim1+16)=8),AouDim1+16,""),IF(AND(YEAR(AouDim1+23)=AnnéeCalendrier,MONTH(AouDim1+23)=8),AouDim1+23,""))</f>
        <v>42969</v>
      </c>
      <c r="L29" s="5">
        <f>IF(DAY(AouDim1)=1,IF(AND(YEAR(AouDim1+17)=AnnéeCalendrier,MONTH(AouDim1+17)=8),AouDim1+17,""),IF(AND(YEAR(AouDim1+24)=AnnéeCalendrier,MONTH(AouDim1+24)=8),AouDim1+24,""))</f>
        <v>42970</v>
      </c>
      <c r="M29" s="5">
        <f>IF(DAY(AouDim1)=1,IF(AND(YEAR(AouDim1+18)=AnnéeCalendrier,MONTH(AouDim1+18)=8),AouDim1+18,""),IF(AND(YEAR(AouDim1+25)=AnnéeCalendrier,MONTH(AouDim1+25)=8),AouDim1+25,""))</f>
        <v>42971</v>
      </c>
      <c r="N29" s="5">
        <f>IF(DAY(AouDim1)=1,IF(AND(YEAR(AouDim1+19)=AnnéeCalendrier,MONTH(AouDim1+19)=8),AouDim1+19,""),IF(AND(YEAR(AouDim1+26)=AnnéeCalendrier,MONTH(AouDim1+26)=8),AouDim1+26,""))</f>
        <v>42972</v>
      </c>
      <c r="O29" s="5">
        <f>IF(DAY(AouDim1)=1,IF(AND(YEAR(AouDim1+20)=AnnéeCalendrier,MONTH(AouDim1+20)=8),AouDim1+20,""),IF(AND(YEAR(AouDim1+27)=AnnéeCalendrier,MONTH(AouDim1+27)=8),AouDim1+27,""))</f>
        <v>42973</v>
      </c>
      <c r="P29" s="7">
        <f>IF(DAY(AouDim1)=1,IF(AND(YEAR(AouDim1+21)=AnnéeCalendrier,MONTH(AouDim1+21)=8),AouDim1+21,""),IF(AND(YEAR(AouDim1+28)=AnnéeCalendrier,MONTH(AouDim1+28)=8),AouDim1+28,""))</f>
        <v>42974</v>
      </c>
      <c r="Q29" s="1"/>
      <c r="R29" s="6">
        <f>IF(DAY(SepDim1)=1,IF(AND(YEAR(SepDim1+15)=AnnéeCalendrier,MONTH(SepDim1+15)=9),SepDim1+15,""),IF(AND(YEAR(SepDim1+22)=AnnéeCalendrier,MONTH(SepDim1+22)=9),SepDim1+22,""))</f>
        <v>42996</v>
      </c>
      <c r="S29" s="5">
        <f>IF(DAY(SepDim1)=1,IF(AND(YEAR(SepDim1+16)=AnnéeCalendrier,MONTH(SepDim1+16)=9),SepDim1+16,""),IF(AND(YEAR(SepDim1+23)=AnnéeCalendrier,MONTH(SepDim1+23)=9),SepDim1+23,""))</f>
        <v>42997</v>
      </c>
      <c r="T29" s="5">
        <f>IF(DAY(SepDim1)=1,IF(AND(YEAR(SepDim1+17)=AnnéeCalendrier,MONTH(SepDim1+17)=9),SepDim1+17,""),IF(AND(YEAR(SepDim1+24)=AnnéeCalendrier,MONTH(SepDim1+24)=9),SepDim1+24,""))</f>
        <v>42998</v>
      </c>
      <c r="U29" s="5">
        <f>IF(DAY(SepDim1)=1,IF(AND(YEAR(SepDim1+18)=AnnéeCalendrier,MONTH(SepDim1+18)=9),SepDim1+18,""),IF(AND(YEAR(SepDim1+25)=AnnéeCalendrier,MONTH(SepDim1+25)=9),SepDim1+25,""))</f>
        <v>42999</v>
      </c>
      <c r="V29" s="5">
        <f>IF(DAY(SepDim1)=1,IF(AND(YEAR(SepDim1+19)=AnnéeCalendrier,MONTH(SepDim1+19)=9),SepDim1+19,""),IF(AND(YEAR(SepDim1+26)=AnnéeCalendrier,MONTH(SepDim1+26)=9),SepDim1+26,""))</f>
        <v>43000</v>
      </c>
      <c r="W29" s="5">
        <f>IF(DAY(SepDim1)=1,IF(AND(YEAR(SepDim1+20)=AnnéeCalendrier,MONTH(SepDim1+20)=9),SepDim1+20,""),IF(AND(YEAR(SepDim1+27)=AnnéeCalendrier,MONTH(SepDim1+27)=9),SepDim1+27,""))</f>
        <v>43001</v>
      </c>
      <c r="X29" s="7">
        <f>IF(DAY(SepDim1)=1,IF(AND(YEAR(SepDim1+21)=AnnéeCalendrier,MONTH(SepDim1+21)=9),SepDim1+21,""),IF(AND(YEAR(SepDim1+28)=AnnéeCalendrier,MONTH(SepDim1+28)=9),SepDim1+28,""))</f>
        <v>43002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42940</v>
      </c>
      <c r="C30" s="5">
        <f>IF(DAY(JulDim1)=1,IF(AND(YEAR(JulDim1+23)=AnnéeCalendrier,MONTH(JulDim1+23)=7),JulDim1+23,""),IF(AND(YEAR(JulDim1+30)=AnnéeCalendrier,MONTH(JulDim1+30)=7),JulDim1+30,""))</f>
        <v>42941</v>
      </c>
      <c r="D30" s="5">
        <f>IF(DAY(JulDim1)=1,IF(AND(YEAR(JulDim1+24)=AnnéeCalendrier,MONTH(JulDim1+24)=7),JulDim1+24,""),IF(AND(YEAR(JulDim1+31)=AnnéeCalendrier,MONTH(JulDim1+31)=7),JulDim1+31,""))</f>
        <v>42942</v>
      </c>
      <c r="E30" s="5">
        <f>IF(DAY(JulDim1)=1,IF(AND(YEAR(JulDim1+25)=AnnéeCalendrier,MONTH(JulDim1+25)=7),JulDim1+25,""),IF(AND(YEAR(JulDim1+32)=AnnéeCalendrier,MONTH(JulDim1+32)=7),JulDim1+32,""))</f>
        <v>42943</v>
      </c>
      <c r="F30" s="5">
        <f>IF(DAY(JulDim1)=1,IF(AND(YEAR(JulDim1+26)=AnnéeCalendrier,MONTH(JulDim1+26)=7),JulDim1+26,""),IF(AND(YEAR(JulDim1+33)=AnnéeCalendrier,MONTH(JulDim1+33)=7),JulDim1+33,""))</f>
        <v>42944</v>
      </c>
      <c r="G30" s="5">
        <f>IF(DAY(JulDim1)=1,IF(AND(YEAR(JulDim1+27)=AnnéeCalendrier,MONTH(JulDim1+27)=7),JulDim1+27,""),IF(AND(YEAR(JulDim1+34)=AnnéeCalendrier,MONTH(JulDim1+34)=7),JulDim1+34,""))</f>
        <v>42945</v>
      </c>
      <c r="H30" s="7">
        <f>IF(DAY(JulDim1)=1,IF(AND(YEAR(JulDim1+28)=AnnéeCalendrier,MONTH(JulDim1+28)=7),JulDim1+28,""),IF(AND(YEAR(JulDim1+35)=AnnéeCalendrier,MONTH(JulDim1+35)=7),JulDim1+35,""))</f>
        <v>42946</v>
      </c>
      <c r="J30" s="6">
        <f>IF(DAY(AouDim1)=1,IF(AND(YEAR(AouDim1+22)=AnnéeCalendrier,MONTH(AouDim1+22)=8),AouDim1+22,""),IF(AND(YEAR(AouDim1+29)=AnnéeCalendrier,MONTH(AouDim1+29)=8),AouDim1+29,""))</f>
        <v>42975</v>
      </c>
      <c r="K30" s="5">
        <f>IF(DAY(AouDim1)=1,IF(AND(YEAR(AouDim1+23)=AnnéeCalendrier,MONTH(AouDim1+23)=8),AouDim1+23,""),IF(AND(YEAR(AouDim1+30)=AnnéeCalendrier,MONTH(AouDim1+30)=8),AouDim1+30,""))</f>
        <v>42976</v>
      </c>
      <c r="L30" s="5">
        <f>IF(DAY(AouDim1)=1,IF(AND(YEAR(AouDim1+24)=AnnéeCalendrier,MONTH(AouDim1+24)=8),AouDim1+24,""),IF(AND(YEAR(AouDim1+31)=AnnéeCalendrier,MONTH(AouDim1+31)=8),AouDim1+31,""))</f>
        <v>42977</v>
      </c>
      <c r="M30" s="5">
        <f>IF(DAY(AouDim1)=1,IF(AND(YEAR(AouDim1+25)=AnnéeCalendrier,MONTH(AouDim1+25)=8),AouDim1+25,""),IF(AND(YEAR(AouDim1+32)=AnnéeCalendrier,MONTH(AouDim1+32)=8),AouDim1+32,""))</f>
        <v>42978</v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43003</v>
      </c>
      <c r="S30" s="5">
        <f>IF(DAY(SepDim1)=1,IF(AND(YEAR(SepDim1+23)=AnnéeCalendrier,MONTH(SepDim1+23)=9),SepDim1+23,""),IF(AND(YEAR(SepDim1+30)=AnnéeCalendrier,MONTH(SepDim1+30)=9),SepDim1+30,""))</f>
        <v>43004</v>
      </c>
      <c r="T30" s="5">
        <f>IF(DAY(SepDim1)=1,IF(AND(YEAR(SepDim1+24)=AnnéeCalendrier,MONTH(SepDim1+24)=9),SepDim1+24,""),IF(AND(YEAR(SepDim1+31)=AnnéeCalendrier,MONTH(SepDim1+31)=9),SepDim1+31,""))</f>
        <v>43005</v>
      </c>
      <c r="U30" s="5">
        <f>IF(DAY(SepDim1)=1,IF(AND(YEAR(SepDim1+25)=AnnéeCalendrier,MONTH(SepDim1+25)=9),SepDim1+25,""),IF(AND(YEAR(SepDim1+32)=AnnéeCalendrier,MONTH(SepDim1+32)=9),SepDim1+32,""))</f>
        <v>43006</v>
      </c>
      <c r="V30" s="5">
        <f>IF(DAY(SepDim1)=1,IF(AND(YEAR(SepDim1+26)=AnnéeCalendrier,MONTH(SepDim1+26)=9),SepDim1+26,""),IF(AND(YEAR(SepDim1+33)=AnnéeCalendrier,MONTH(SepDim1+33)=9),SepDim1+33,""))</f>
        <v>43007</v>
      </c>
      <c r="W30" s="5">
        <f>IF(DAY(SepDim1)=1,IF(AND(YEAR(SepDim1+27)=AnnéeCalendrier,MONTH(SepDim1+27)=9),SepDim1+27,""),IF(AND(YEAR(SepDim1+34)=AnnéeCalendrier,MONTH(SepDim1+34)=9),SepDim1+34,""))</f>
        <v>43008</v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42947</v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 t="str">
        <f>IF(DAY(OctDim1)=1,"",IF(AND(YEAR(OctDim1+6)=AnnéeCalendrier,MONTH(OctDim1+6)=10),OctDim1+6,""))</f>
        <v/>
      </c>
      <c r="H35" s="7">
        <f>IF(DAY(OctDim1)=1,IF(AND(YEAR(OctDim1)=AnnéeCalendrier,MONTH(OctDim1)=10),OctDim1,""),IF(AND(YEAR(OctDim1+7)=AnnéeCalendrier,MONTH(OctDim1+7)=10),OctDim1+7,""))</f>
        <v>43009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>
        <f>IF(DAY(NovDim1)=1,"",IF(AND(YEAR(NovDim1+3)=AnnéeCalendrier,MONTH(NovDim1+3)=11),NovDim1+3,""))</f>
        <v>43040</v>
      </c>
      <c r="M35" s="5">
        <f>IF(DAY(NovDim1)=1,"",IF(AND(YEAR(NovDim1+4)=AnnéeCalendrier,MONTH(NovDim1+4)=11),NovDim1+4,""))</f>
        <v>43041</v>
      </c>
      <c r="N35" s="5">
        <f>IF(DAY(NovDim1)=1,"",IF(AND(YEAR(NovDim1+5)=AnnéeCalendrier,MONTH(NovDim1+5)=11),NovDim1+5,""))</f>
        <v>43042</v>
      </c>
      <c r="O35" s="5">
        <f>IF(DAY(NovDim1)=1,"",IF(AND(YEAR(NovDim1+6)=AnnéeCalendrier,MONTH(NovDim1+6)=11),NovDim1+6,""))</f>
        <v>43043</v>
      </c>
      <c r="P35" s="7">
        <f>IF(DAY(NovDim1)=1,IF(AND(YEAR(NovDim1)=AnnéeCalendrier,MONTH(NovDim1)=11),NovDim1,""),IF(AND(YEAR(NovDim1+7)=AnnéeCalendrier,MONTH(NovDim1+7)=11),NovDim1+7,""))</f>
        <v>43044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>
        <f>IF(DAY(DécDim1)=1,"",IF(AND(YEAR(DécDim1+5)=AnnéeCalendrier,MONTH(DécDim1+5)=12),DécDim1+5,""))</f>
        <v>43070</v>
      </c>
      <c r="W35" s="5">
        <f>IF(DAY(DécDim1)=1,"",IF(AND(YEAR(DécDim1+6)=AnnéeCalendrier,MONTH(DécDim1+6)=12),DécDim1+6,""))</f>
        <v>43071</v>
      </c>
      <c r="X35" s="7">
        <f>IF(DAY(DécDim1)=1,IF(AND(YEAR(DécDim1)=AnnéeCalendrier,MONTH(DécDim1)=12),DécDim1,""),IF(AND(YEAR(DécDim1+7)=AnnéeCalendrier,MONTH(DécDim1+7)=12),DécDim1+7,""))</f>
        <v>43072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43010</v>
      </c>
      <c r="C36" s="5">
        <f>IF(DAY(OctDim1)=1,IF(AND(YEAR(OctDim1+2)=AnnéeCalendrier,MONTH(OctDim1+2)=10),OctDim1+2,""),IF(AND(YEAR(OctDim1+9)=AnnéeCalendrier,MONTH(OctDim1+9)=10),OctDim1+9,""))</f>
        <v>43011</v>
      </c>
      <c r="D36" s="5">
        <f>IF(DAY(OctDim1)=1,IF(AND(YEAR(OctDim1+3)=AnnéeCalendrier,MONTH(OctDim1+3)=10),OctDim1+3,""),IF(AND(YEAR(OctDim1+10)=AnnéeCalendrier,MONTH(OctDim1+10)=10),OctDim1+10,""))</f>
        <v>43012</v>
      </c>
      <c r="E36" s="5">
        <f>IF(DAY(OctDim1)=1,IF(AND(YEAR(OctDim1+4)=AnnéeCalendrier,MONTH(OctDim1+4)=10),OctDim1+4,""),IF(AND(YEAR(OctDim1+11)=AnnéeCalendrier,MONTH(OctDim1+11)=10),OctDim1+11,""))</f>
        <v>43013</v>
      </c>
      <c r="F36" s="5">
        <f>IF(DAY(OctDim1)=1,IF(AND(YEAR(OctDim1+5)=AnnéeCalendrier,MONTH(OctDim1+5)=10),OctDim1+5,""),IF(AND(YEAR(OctDim1+12)=AnnéeCalendrier,MONTH(OctDim1+12)=10),OctDim1+12,""))</f>
        <v>43014</v>
      </c>
      <c r="G36" s="5">
        <f>IF(DAY(OctDim1)=1,IF(AND(YEAR(OctDim1+6)=AnnéeCalendrier,MONTH(OctDim1+6)=10),OctDim1+6,""),IF(AND(YEAR(OctDim1+13)=AnnéeCalendrier,MONTH(OctDim1+13)=10),OctDim1+13,""))</f>
        <v>43015</v>
      </c>
      <c r="H36" s="7">
        <f>IF(DAY(OctDim1)=1,IF(AND(YEAR(OctDim1+7)=AnnéeCalendrier,MONTH(OctDim1+7)=10),OctDim1+7,""),IF(AND(YEAR(OctDim1+14)=AnnéeCalendrier,MONTH(OctDim1+14)=10),OctDim1+14,""))</f>
        <v>43016</v>
      </c>
      <c r="I36" s="4"/>
      <c r="J36" s="6">
        <f>IF(DAY(NovDim1)=1,IF(AND(YEAR(NovDim1+1)=AnnéeCalendrier,MONTH(NovDim1+1)=11),NovDim1+1,""),IF(AND(YEAR(NovDim1+8)=AnnéeCalendrier,MONTH(NovDim1+8)=11),NovDim1+8,""))</f>
        <v>43045</v>
      </c>
      <c r="K36" s="5">
        <f>IF(DAY(NovDim1)=1,IF(AND(YEAR(NovDim1+2)=AnnéeCalendrier,MONTH(NovDim1+2)=11),NovDim1+2,""),IF(AND(YEAR(NovDim1+9)=AnnéeCalendrier,MONTH(NovDim1+9)=11),NovDim1+9,""))</f>
        <v>43046</v>
      </c>
      <c r="L36" s="5">
        <f>IF(DAY(NovDim1)=1,IF(AND(YEAR(NovDim1+3)=AnnéeCalendrier,MONTH(NovDim1+3)=11),NovDim1+3,""),IF(AND(YEAR(NovDim1+10)=AnnéeCalendrier,MONTH(NovDim1+10)=11),NovDim1+10,""))</f>
        <v>43047</v>
      </c>
      <c r="M36" s="5">
        <f>IF(DAY(NovDim1)=1,IF(AND(YEAR(NovDim1+4)=AnnéeCalendrier,MONTH(NovDim1+4)=11),NovDim1+4,""),IF(AND(YEAR(NovDim1+11)=AnnéeCalendrier,MONTH(NovDim1+11)=11),NovDim1+11,""))</f>
        <v>43048</v>
      </c>
      <c r="N36" s="5">
        <f>IF(DAY(NovDim1)=1,IF(AND(YEAR(NovDim1+5)=AnnéeCalendrier,MONTH(NovDim1+5)=11),NovDim1+5,""),IF(AND(YEAR(NovDim1+12)=AnnéeCalendrier,MONTH(NovDim1+12)=11),NovDim1+12,""))</f>
        <v>43049</v>
      </c>
      <c r="O36" s="5">
        <f>IF(DAY(NovDim1)=1,IF(AND(YEAR(NovDim1+6)=AnnéeCalendrier,MONTH(NovDim1+6)=11),NovDim1+6,""),IF(AND(YEAR(NovDim1+13)=AnnéeCalendrier,MONTH(NovDim1+13)=11),NovDim1+13,""))</f>
        <v>43050</v>
      </c>
      <c r="P36" s="7">
        <f>IF(DAY(NovDim1)=1,IF(AND(YEAR(NovDim1+7)=AnnéeCalendrier,MONTH(NovDim1+7)=11),NovDim1+7,""),IF(AND(YEAR(NovDim1+14)=AnnéeCalendrier,MONTH(NovDim1+14)=11),NovDim1+14,""))</f>
        <v>43051</v>
      </c>
      <c r="R36" s="6">
        <f>IF(DAY(DécDim1)=1,IF(AND(YEAR(DécDim1+1)=AnnéeCalendrier,MONTH(DécDim1+1)=12),DécDim1+1,""),IF(AND(YEAR(DécDim1+8)=AnnéeCalendrier,MONTH(DécDim1+8)=12),DécDim1+8,""))</f>
        <v>43073</v>
      </c>
      <c r="S36" s="5">
        <f>IF(DAY(DécDim1)=1,IF(AND(YEAR(DécDim1+2)=AnnéeCalendrier,MONTH(DécDim1+2)=12),DécDim1+2,""),IF(AND(YEAR(DécDim1+9)=AnnéeCalendrier,MONTH(DécDim1+9)=12),DécDim1+9,""))</f>
        <v>43074</v>
      </c>
      <c r="T36" s="5">
        <f>IF(DAY(DécDim1)=1,IF(AND(YEAR(DécDim1+3)=AnnéeCalendrier,MONTH(DécDim1+3)=12),DécDim1+3,""),IF(AND(YEAR(DécDim1+10)=AnnéeCalendrier,MONTH(DécDim1+10)=12),DécDim1+10,""))</f>
        <v>43075</v>
      </c>
      <c r="U36" s="5">
        <f>IF(DAY(DécDim1)=1,IF(AND(YEAR(DécDim1+4)=AnnéeCalendrier,MONTH(DécDim1+4)=12),DécDim1+4,""),IF(AND(YEAR(DécDim1+11)=AnnéeCalendrier,MONTH(DécDim1+11)=12),DécDim1+11,""))</f>
        <v>43076</v>
      </c>
      <c r="V36" s="5">
        <f>IF(DAY(DécDim1)=1,IF(AND(YEAR(DécDim1+5)=AnnéeCalendrier,MONTH(DécDim1+5)=12),DécDim1+5,""),IF(AND(YEAR(DécDim1+12)=AnnéeCalendrier,MONTH(DécDim1+12)=12),DécDim1+12,""))</f>
        <v>43077</v>
      </c>
      <c r="W36" s="5">
        <f>IF(DAY(DécDim1)=1,IF(AND(YEAR(DécDim1+6)=AnnéeCalendrier,MONTH(DécDim1+6)=12),DécDim1+6,""),IF(AND(YEAR(DécDim1+13)=AnnéeCalendrier,MONTH(DécDim1+13)=12),DécDim1+13,""))</f>
        <v>43078</v>
      </c>
      <c r="X36" s="7">
        <f>IF(DAY(DécDim1)=1,IF(AND(YEAR(DécDim1+7)=AnnéeCalendrier,MONTH(DécDim1+7)=12),DécDim1+7,""),IF(AND(YEAR(DécDim1+14)=AnnéeCalendrier,MONTH(DécDim1+14)=12),DécDim1+14,""))</f>
        <v>43079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43017</v>
      </c>
      <c r="C37" s="5">
        <f>IF(DAY(OctDim1)=1,IF(AND(YEAR(OctDim1+9)=AnnéeCalendrier,MONTH(OctDim1+9)=10),OctDim1+9,""),IF(AND(YEAR(OctDim1+16)=AnnéeCalendrier,MONTH(OctDim1+16)=10),OctDim1+16,""))</f>
        <v>43018</v>
      </c>
      <c r="D37" s="5">
        <f>IF(DAY(OctDim1)=1,IF(AND(YEAR(OctDim1+10)=AnnéeCalendrier,MONTH(OctDim1+10)=10),OctDim1+10,""),IF(AND(YEAR(OctDim1+17)=AnnéeCalendrier,MONTH(OctDim1+17)=10),OctDim1+17,""))</f>
        <v>43019</v>
      </c>
      <c r="E37" s="5">
        <f>IF(DAY(OctDim1)=1,IF(AND(YEAR(OctDim1+11)=AnnéeCalendrier,MONTH(OctDim1+11)=10),OctDim1+11,""),IF(AND(YEAR(OctDim1+18)=AnnéeCalendrier,MONTH(OctDim1+18)=10),OctDim1+18,""))</f>
        <v>43020</v>
      </c>
      <c r="F37" s="5">
        <f>IF(DAY(OctDim1)=1,IF(AND(YEAR(OctDim1+12)=AnnéeCalendrier,MONTH(OctDim1+12)=10),OctDim1+12,""),IF(AND(YEAR(OctDim1+19)=AnnéeCalendrier,MONTH(OctDim1+19)=10),OctDim1+19,""))</f>
        <v>43021</v>
      </c>
      <c r="G37" s="5">
        <f>IF(DAY(OctDim1)=1,IF(AND(YEAR(OctDim1+13)=AnnéeCalendrier,MONTH(OctDim1+13)=10),OctDim1+13,""),IF(AND(YEAR(OctDim1+20)=AnnéeCalendrier,MONTH(OctDim1+20)=10),OctDim1+20,""))</f>
        <v>43022</v>
      </c>
      <c r="H37" s="7">
        <f>IF(DAY(OctDim1)=1,IF(AND(YEAR(OctDim1+14)=AnnéeCalendrier,MONTH(OctDim1+14)=10),OctDim1+14,""),IF(AND(YEAR(OctDim1+21)=AnnéeCalendrier,MONTH(OctDim1+21)=10),OctDim1+21,""))</f>
        <v>43023</v>
      </c>
      <c r="I37" s="4"/>
      <c r="J37" s="6">
        <f>IF(DAY(NovDim1)=1,IF(AND(YEAR(NovDim1+8)=AnnéeCalendrier,MONTH(NovDim1+8)=11),NovDim1+8,""),IF(AND(YEAR(NovDim1+15)=AnnéeCalendrier,MONTH(NovDim1+15)=11),NovDim1+15,""))</f>
        <v>43052</v>
      </c>
      <c r="K37" s="5">
        <f>IF(DAY(NovDim1)=1,IF(AND(YEAR(NovDim1+9)=AnnéeCalendrier,MONTH(NovDim1+9)=11),NovDim1+9,""),IF(AND(YEAR(NovDim1+16)=AnnéeCalendrier,MONTH(NovDim1+16)=11),NovDim1+16,""))</f>
        <v>43053</v>
      </c>
      <c r="L37" s="5">
        <f>IF(DAY(NovDim1)=1,IF(AND(YEAR(NovDim1+10)=AnnéeCalendrier,MONTH(NovDim1+10)=11),NovDim1+10,""),IF(AND(YEAR(NovDim1+17)=AnnéeCalendrier,MONTH(NovDim1+17)=11),NovDim1+17,""))</f>
        <v>43054</v>
      </c>
      <c r="M37" s="5">
        <f>IF(DAY(NovDim1)=1,IF(AND(YEAR(NovDim1+11)=AnnéeCalendrier,MONTH(NovDim1+11)=11),NovDim1+11,""),IF(AND(YEAR(NovDim1+18)=AnnéeCalendrier,MONTH(NovDim1+18)=11),NovDim1+18,""))</f>
        <v>43055</v>
      </c>
      <c r="N37" s="5">
        <f>IF(DAY(NovDim1)=1,IF(AND(YEAR(NovDim1+12)=AnnéeCalendrier,MONTH(NovDim1+12)=11),NovDim1+12,""),IF(AND(YEAR(NovDim1+19)=AnnéeCalendrier,MONTH(NovDim1+19)=11),NovDim1+19,""))</f>
        <v>43056</v>
      </c>
      <c r="O37" s="5">
        <f>IF(DAY(NovDim1)=1,IF(AND(YEAR(NovDim1+13)=AnnéeCalendrier,MONTH(NovDim1+13)=11),NovDim1+13,""),IF(AND(YEAR(NovDim1+20)=AnnéeCalendrier,MONTH(NovDim1+20)=11),NovDim1+20,""))</f>
        <v>43057</v>
      </c>
      <c r="P37" s="7">
        <f>IF(DAY(NovDim1)=1,IF(AND(YEAR(NovDim1+14)=AnnéeCalendrier,MONTH(NovDim1+14)=11),NovDim1+14,""),IF(AND(YEAR(NovDim1+21)=AnnéeCalendrier,MONTH(NovDim1+21)=11),NovDim1+21,""))</f>
        <v>43058</v>
      </c>
      <c r="R37" s="6">
        <f>IF(DAY(DécDim1)=1,IF(AND(YEAR(DécDim1+8)=AnnéeCalendrier,MONTH(DécDim1+8)=12),DécDim1+8,""),IF(AND(YEAR(DécDim1+15)=AnnéeCalendrier,MONTH(DécDim1+15)=12),DécDim1+15,""))</f>
        <v>43080</v>
      </c>
      <c r="S37" s="5">
        <f>IF(DAY(DécDim1)=1,IF(AND(YEAR(DécDim1+9)=AnnéeCalendrier,MONTH(DécDim1+9)=12),DécDim1+9,""),IF(AND(YEAR(DécDim1+16)=AnnéeCalendrier,MONTH(DécDim1+16)=12),DécDim1+16,""))</f>
        <v>43081</v>
      </c>
      <c r="T37" s="5">
        <f>IF(DAY(DécDim1)=1,IF(AND(YEAR(DécDim1+10)=AnnéeCalendrier,MONTH(DécDim1+10)=12),DécDim1+10,""),IF(AND(YEAR(DécDim1+17)=AnnéeCalendrier,MONTH(DécDim1+17)=12),DécDim1+17,""))</f>
        <v>43082</v>
      </c>
      <c r="U37" s="5">
        <f>IF(DAY(DécDim1)=1,IF(AND(YEAR(DécDim1+11)=AnnéeCalendrier,MONTH(DécDim1+11)=12),DécDim1+11,""),IF(AND(YEAR(DécDim1+18)=AnnéeCalendrier,MONTH(DécDim1+18)=12),DécDim1+18,""))</f>
        <v>43083</v>
      </c>
      <c r="V37" s="5">
        <f>IF(DAY(DécDim1)=1,IF(AND(YEAR(DécDim1+12)=AnnéeCalendrier,MONTH(DécDim1+12)=12),DécDim1+12,""),IF(AND(YEAR(DécDim1+19)=AnnéeCalendrier,MONTH(DécDim1+19)=12),DécDim1+19,""))</f>
        <v>43084</v>
      </c>
      <c r="W37" s="5">
        <f>IF(DAY(DécDim1)=1,IF(AND(YEAR(DécDim1+13)=AnnéeCalendrier,MONTH(DécDim1+13)=12),DécDim1+13,""),IF(AND(YEAR(DécDim1+20)=AnnéeCalendrier,MONTH(DécDim1+20)=12),DécDim1+20,""))</f>
        <v>43085</v>
      </c>
      <c r="X37" s="7">
        <f>IF(DAY(DécDim1)=1,IF(AND(YEAR(DécDim1+14)=AnnéeCalendrier,MONTH(DécDim1+14)=12),DécDim1+14,""),IF(AND(YEAR(DécDim1+21)=AnnéeCalendrier,MONTH(DécDim1+21)=12),DécDim1+21,""))</f>
        <v>43086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43024</v>
      </c>
      <c r="C38" s="5">
        <f>IF(DAY(OctDim1)=1,IF(AND(YEAR(OctDim1+16)=AnnéeCalendrier,MONTH(OctDim1+16)=10),OctDim1+16,""),IF(AND(YEAR(OctDim1+23)=AnnéeCalendrier,MONTH(OctDim1+23)=10),OctDim1+23,""))</f>
        <v>43025</v>
      </c>
      <c r="D38" s="5">
        <f>IF(DAY(OctDim1)=1,IF(AND(YEAR(OctDim1+17)=AnnéeCalendrier,MONTH(OctDim1+17)=10),OctDim1+17,""),IF(AND(YEAR(OctDim1+24)=AnnéeCalendrier,MONTH(OctDim1+24)=10),OctDim1+24,""))</f>
        <v>43026</v>
      </c>
      <c r="E38" s="5">
        <f>IF(DAY(OctDim1)=1,IF(AND(YEAR(OctDim1+18)=AnnéeCalendrier,MONTH(OctDim1+18)=10),OctDim1+18,""),IF(AND(YEAR(OctDim1+25)=AnnéeCalendrier,MONTH(OctDim1+25)=10),OctDim1+25,""))</f>
        <v>43027</v>
      </c>
      <c r="F38" s="5">
        <f>IF(DAY(OctDim1)=1,IF(AND(YEAR(OctDim1+19)=AnnéeCalendrier,MONTH(OctDim1+19)=10),OctDim1+19,""),IF(AND(YEAR(OctDim1+26)=AnnéeCalendrier,MONTH(OctDim1+26)=10),OctDim1+26,""))</f>
        <v>43028</v>
      </c>
      <c r="G38" s="5">
        <f>IF(DAY(OctDim1)=1,IF(AND(YEAR(OctDim1+20)=AnnéeCalendrier,MONTH(OctDim1+20)=10),OctDim1+20,""),IF(AND(YEAR(OctDim1+27)=AnnéeCalendrier,MONTH(OctDim1+27)=10),OctDim1+27,""))</f>
        <v>43029</v>
      </c>
      <c r="H38" s="7">
        <f>IF(DAY(OctDim1)=1,IF(AND(YEAR(OctDim1+21)=AnnéeCalendrier,MONTH(OctDim1+21)=10),OctDim1+21,""),IF(AND(YEAR(OctDim1+28)=AnnéeCalendrier,MONTH(OctDim1+28)=10),OctDim1+28,""))</f>
        <v>43030</v>
      </c>
      <c r="I38" s="4"/>
      <c r="J38" s="6">
        <f>IF(DAY(NovDim1)=1,IF(AND(YEAR(NovDim1+15)=AnnéeCalendrier,MONTH(NovDim1+15)=11),NovDim1+15,""),IF(AND(YEAR(NovDim1+22)=AnnéeCalendrier,MONTH(NovDim1+22)=11),NovDim1+22,""))</f>
        <v>43059</v>
      </c>
      <c r="K38" s="5">
        <f>IF(DAY(NovDim1)=1,IF(AND(YEAR(NovDim1+16)=AnnéeCalendrier,MONTH(NovDim1+16)=11),NovDim1+16,""),IF(AND(YEAR(NovDim1+23)=AnnéeCalendrier,MONTH(NovDim1+23)=11),NovDim1+23,""))</f>
        <v>43060</v>
      </c>
      <c r="L38" s="5">
        <f>IF(DAY(NovDim1)=1,IF(AND(YEAR(NovDim1+17)=AnnéeCalendrier,MONTH(NovDim1+17)=11),NovDim1+17,""),IF(AND(YEAR(NovDim1+24)=AnnéeCalendrier,MONTH(NovDim1+24)=11),NovDim1+24,""))</f>
        <v>43061</v>
      </c>
      <c r="M38" s="5">
        <f>IF(DAY(NovDim1)=1,IF(AND(YEAR(NovDim1+18)=AnnéeCalendrier,MONTH(NovDim1+18)=11),NovDim1+18,""),IF(AND(YEAR(NovDim1+25)=AnnéeCalendrier,MONTH(NovDim1+25)=11),NovDim1+25,""))</f>
        <v>43062</v>
      </c>
      <c r="N38" s="5">
        <f>IF(DAY(NovDim1)=1,IF(AND(YEAR(NovDim1+19)=AnnéeCalendrier,MONTH(NovDim1+19)=11),NovDim1+19,""),IF(AND(YEAR(NovDim1+26)=AnnéeCalendrier,MONTH(NovDim1+26)=11),NovDim1+26,""))</f>
        <v>43063</v>
      </c>
      <c r="O38" s="5">
        <f>IF(DAY(NovDim1)=1,IF(AND(YEAR(NovDim1+20)=AnnéeCalendrier,MONTH(NovDim1+20)=11),NovDim1+20,""),IF(AND(YEAR(NovDim1+27)=AnnéeCalendrier,MONTH(NovDim1+27)=11),NovDim1+27,""))</f>
        <v>43064</v>
      </c>
      <c r="P38" s="7">
        <f>IF(DAY(NovDim1)=1,IF(AND(YEAR(NovDim1+21)=AnnéeCalendrier,MONTH(NovDim1+21)=11),NovDim1+21,""),IF(AND(YEAR(NovDim1+28)=AnnéeCalendrier,MONTH(NovDim1+28)=11),NovDim1+28,""))</f>
        <v>43065</v>
      </c>
      <c r="R38" s="6">
        <f>IF(DAY(DécDim1)=1,IF(AND(YEAR(DécDim1+15)=AnnéeCalendrier,MONTH(DécDim1+15)=12),DécDim1+15,""),IF(AND(YEAR(DécDim1+22)=AnnéeCalendrier,MONTH(DécDim1+22)=12),DécDim1+22,""))</f>
        <v>43087</v>
      </c>
      <c r="S38" s="5">
        <f>IF(DAY(DécDim1)=1,IF(AND(YEAR(DécDim1+16)=AnnéeCalendrier,MONTH(DécDim1+16)=12),DécDim1+16,""),IF(AND(YEAR(DécDim1+23)=AnnéeCalendrier,MONTH(DécDim1+23)=12),DécDim1+23,""))</f>
        <v>43088</v>
      </c>
      <c r="T38" s="5">
        <f>IF(DAY(DécDim1)=1,IF(AND(YEAR(DécDim1+17)=AnnéeCalendrier,MONTH(DécDim1+17)=12),DécDim1+17,""),IF(AND(YEAR(DécDim1+24)=AnnéeCalendrier,MONTH(DécDim1+24)=12),DécDim1+24,""))</f>
        <v>43089</v>
      </c>
      <c r="U38" s="5">
        <f>IF(DAY(DécDim1)=1,IF(AND(YEAR(DécDim1+18)=AnnéeCalendrier,MONTH(DécDim1+18)=12),DécDim1+18,""),IF(AND(YEAR(DécDim1+25)=AnnéeCalendrier,MONTH(DécDim1+25)=12),DécDim1+25,""))</f>
        <v>43090</v>
      </c>
      <c r="V38" s="5">
        <f>IF(DAY(DécDim1)=1,IF(AND(YEAR(DécDim1+19)=AnnéeCalendrier,MONTH(DécDim1+19)=12),DécDim1+19,""),IF(AND(YEAR(DécDim1+26)=AnnéeCalendrier,MONTH(DécDim1+26)=12),DécDim1+26,""))</f>
        <v>43091</v>
      </c>
      <c r="W38" s="5">
        <f>IF(DAY(DécDim1)=1,IF(AND(YEAR(DécDim1+20)=AnnéeCalendrier,MONTH(DécDim1+20)=12),DécDim1+20,""),IF(AND(YEAR(DécDim1+27)=AnnéeCalendrier,MONTH(DécDim1+27)=12),DécDim1+27,""))</f>
        <v>43092</v>
      </c>
      <c r="X38" s="7">
        <f>IF(DAY(DécDim1)=1,IF(AND(YEAR(DécDim1+21)=AnnéeCalendrier,MONTH(DécDim1+21)=12),DécDim1+21,""),IF(AND(YEAR(DécDim1+28)=AnnéeCalendrier,MONTH(DécDim1+28)=12),DécDim1+28,""))</f>
        <v>43093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43031</v>
      </c>
      <c r="C39" s="5">
        <f>IF(DAY(OctDim1)=1,IF(AND(YEAR(OctDim1+23)=AnnéeCalendrier,MONTH(OctDim1+23)=10),OctDim1+23,""),IF(AND(YEAR(OctDim1+30)=AnnéeCalendrier,MONTH(OctDim1+30)=10),OctDim1+30,""))</f>
        <v>43032</v>
      </c>
      <c r="D39" s="5">
        <f>IF(DAY(OctDim1)=1,IF(AND(YEAR(OctDim1+24)=AnnéeCalendrier,MONTH(OctDim1+24)=10),OctDim1+24,""),IF(AND(YEAR(OctDim1+31)=AnnéeCalendrier,MONTH(OctDim1+31)=10),OctDim1+31,""))</f>
        <v>43033</v>
      </c>
      <c r="E39" s="5">
        <f>IF(DAY(OctDim1)=1,IF(AND(YEAR(OctDim1+25)=AnnéeCalendrier,MONTH(OctDim1+25)=10),OctDim1+25,""),IF(AND(YEAR(OctDim1+32)=AnnéeCalendrier,MONTH(OctDim1+32)=10),OctDim1+32,""))</f>
        <v>43034</v>
      </c>
      <c r="F39" s="5">
        <f>IF(DAY(OctDim1)=1,IF(AND(YEAR(OctDim1+26)=AnnéeCalendrier,MONTH(OctDim1+26)=10),OctDim1+26,""),IF(AND(YEAR(OctDim1+33)=AnnéeCalendrier,MONTH(OctDim1+33)=10),OctDim1+33,""))</f>
        <v>43035</v>
      </c>
      <c r="G39" s="5">
        <f>IF(DAY(OctDim1)=1,IF(AND(YEAR(OctDim1+27)=AnnéeCalendrier,MONTH(OctDim1+27)=10),OctDim1+27,""),IF(AND(YEAR(OctDim1+34)=AnnéeCalendrier,MONTH(OctDim1+34)=10),OctDim1+34,""))</f>
        <v>43036</v>
      </c>
      <c r="H39" s="7">
        <f>IF(DAY(OctDim1)=1,IF(AND(YEAR(OctDim1+28)=AnnéeCalendrier,MONTH(OctDim1+28)=10),OctDim1+28,""),IF(AND(YEAR(OctDim1+35)=AnnéeCalendrier,MONTH(OctDim1+35)=10),OctDim1+35,""))</f>
        <v>43037</v>
      </c>
      <c r="I39" s="4"/>
      <c r="J39" s="6">
        <f>IF(DAY(NovDim1)=1,IF(AND(YEAR(NovDim1+22)=AnnéeCalendrier,MONTH(NovDim1+22)=11),NovDim1+22,""),IF(AND(YEAR(NovDim1+29)=AnnéeCalendrier,MONTH(NovDim1+29)=11),NovDim1+29,""))</f>
        <v>43066</v>
      </c>
      <c r="K39" s="5">
        <f>IF(DAY(NovDim1)=1,IF(AND(YEAR(NovDim1+23)=AnnéeCalendrier,MONTH(NovDim1+23)=11),NovDim1+23,""),IF(AND(YEAR(NovDim1+30)=AnnéeCalendrier,MONTH(NovDim1+30)=11),NovDim1+30,""))</f>
        <v>43067</v>
      </c>
      <c r="L39" s="5">
        <f>IF(DAY(NovDim1)=1,IF(AND(YEAR(NovDim1+24)=AnnéeCalendrier,MONTH(NovDim1+24)=11),NovDim1+24,""),IF(AND(YEAR(NovDim1+31)=AnnéeCalendrier,MONTH(NovDim1+31)=11),NovDim1+31,""))</f>
        <v>43068</v>
      </c>
      <c r="M39" s="5">
        <f>IF(DAY(NovDim1)=1,IF(AND(YEAR(NovDim1+25)=AnnéeCalendrier,MONTH(NovDim1+25)=11),NovDim1+25,""),IF(AND(YEAR(NovDim1+32)=AnnéeCalendrier,MONTH(NovDim1+32)=11),NovDim1+32,""))</f>
        <v>43069</v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43094</v>
      </c>
      <c r="S39" s="5">
        <f>IF(DAY(DécDim1)=1,IF(AND(YEAR(DécDim1+23)=AnnéeCalendrier,MONTH(DécDim1+23)=12),DécDim1+23,""),IF(AND(YEAR(DécDim1+30)=AnnéeCalendrier,MONTH(DécDim1+30)=12),DécDim1+30,""))</f>
        <v>43095</v>
      </c>
      <c r="T39" s="5">
        <f>IF(DAY(DécDim1)=1,IF(AND(YEAR(DécDim1+24)=AnnéeCalendrier,MONTH(DécDim1+24)=12),DécDim1+24,""),IF(AND(YEAR(DécDim1+31)=AnnéeCalendrier,MONTH(DécDim1+31)=12),DécDim1+31,""))</f>
        <v>43096</v>
      </c>
      <c r="U39" s="5">
        <f>IF(DAY(DécDim1)=1,IF(AND(YEAR(DécDim1+25)=AnnéeCalendrier,MONTH(DécDim1+25)=12),DécDim1+25,""),IF(AND(YEAR(DécDim1+32)=AnnéeCalendrier,MONTH(DécDim1+32)=12),DécDim1+32,""))</f>
        <v>43097</v>
      </c>
      <c r="V39" s="5">
        <f>IF(DAY(DécDim1)=1,IF(AND(YEAR(DécDim1+26)=AnnéeCalendrier,MONTH(DécDim1+26)=12),DécDim1+26,""),IF(AND(YEAR(DécDim1+33)=AnnéeCalendrier,MONTH(DécDim1+33)=12),DécDim1+33,""))</f>
        <v>43098</v>
      </c>
      <c r="W39" s="5">
        <f>IF(DAY(DécDim1)=1,IF(AND(YEAR(DécDim1+27)=AnnéeCalendrier,MONTH(DécDim1+27)=12),DécDim1+27,""),IF(AND(YEAR(DécDim1+34)=AnnéeCalendrier,MONTH(DécDim1+34)=12),DécDim1+34,""))</f>
        <v>43099</v>
      </c>
      <c r="X39" s="7">
        <f>IF(DAY(DécDim1)=1,IF(AND(YEAR(DécDim1+28)=AnnéeCalendrier,MONTH(DécDim1+28)=12),DécDim1+28,""),IF(AND(YEAR(DécDim1+35)=AnnéeCalendrier,MONTH(DécDim1+35)=12),DécDim1+35,""))</f>
        <v>43100</v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43038</v>
      </c>
      <c r="C40" s="9">
        <f>IF(DAY(OctDim1)=1,IF(AND(YEAR(OctDim1+30)=AnnéeCalendrier,MONTH(OctDim1+30)=10),OctDim1+30,""),IF(AND(YEAR(OctDim1+37)=AnnéeCalendrier,MONTH(OctDim1+37)=10),OctDim1+37,""))</f>
        <v>43039</v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732" priority="1">
      <formula>LEN(TRIM(B8))&gt;0</formula>
    </cfRule>
  </conditionalFormatting>
  <conditionalFormatting sqref="J8:P13">
    <cfRule type="notContainsBlanks" dxfId="1731" priority="2">
      <formula>LEN(TRIM(J8))&gt;0</formula>
    </cfRule>
  </conditionalFormatting>
  <conditionalFormatting sqref="R8:X13">
    <cfRule type="notContainsBlanks" dxfId="1730" priority="3">
      <formula>LEN(TRIM(R8))&gt;0</formula>
    </cfRule>
  </conditionalFormatting>
  <conditionalFormatting sqref="B17:H22">
    <cfRule type="notContainsBlanks" dxfId="1729" priority="4">
      <formula>LEN(TRIM(B17))&gt;0</formula>
    </cfRule>
  </conditionalFormatting>
  <conditionalFormatting sqref="J17:P22">
    <cfRule type="notContainsBlanks" dxfId="1728" priority="5">
      <formula>LEN(TRIM(J17))&gt;0</formula>
    </cfRule>
  </conditionalFormatting>
  <conditionalFormatting sqref="R17:X22">
    <cfRule type="notContainsBlanks" dxfId="1727" priority="6">
      <formula>LEN(TRIM(R17))&gt;0</formula>
    </cfRule>
  </conditionalFormatting>
  <conditionalFormatting sqref="R35:X40">
    <cfRule type="notContainsBlanks" dxfId="1726" priority="12">
      <formula>LEN(TRIM(R35))&gt;0</formula>
    </cfRule>
  </conditionalFormatting>
  <conditionalFormatting sqref="B26:H31">
    <cfRule type="notContainsBlanks" dxfId="1725" priority="7">
      <formula>LEN(TRIM(B26))&gt;0</formula>
    </cfRule>
  </conditionalFormatting>
  <conditionalFormatting sqref="J26:P31">
    <cfRule type="notContainsBlanks" dxfId="1724" priority="8">
      <formula>LEN(TRIM(J26))&gt;0</formula>
    </cfRule>
  </conditionalFormatting>
  <conditionalFormatting sqref="R26:X31">
    <cfRule type="notContainsBlanks" dxfId="1723" priority="9">
      <formula>LEN(TRIM(R26))&gt;0</formula>
    </cfRule>
  </conditionalFormatting>
  <conditionalFormatting sqref="B35:H40">
    <cfRule type="notContainsBlanks" dxfId="1722" priority="10">
      <formula>LEN(TRIM(B35))&gt;0</formula>
    </cfRule>
  </conditionalFormatting>
  <conditionalFormatting sqref="J35:P40">
    <cfRule type="notContainsBlanks" dxfId="1721" priority="11">
      <formula>LEN(TRIM(J35))&gt;0</formula>
    </cfRule>
  </conditionalFormatting>
  <dataValidations count="2"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000-000000000000}"/>
    <dataValidation type="list" allowBlank="1" showInputMessage="1" showErrorMessage="1" prompt="Sélectionnez une année" sqref="B3:F3" xr:uid="{00000000-0002-0000-0000-000001000000}">
      <formula1>Années_disponibles</formula1>
    </dataValidation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/>
  <dimension ref="A1:A15"/>
  <sheetViews>
    <sheetView workbookViewId="0">
      <selection activeCell="A2" sqref="A2:A15"/>
    </sheetView>
  </sheetViews>
  <sheetFormatPr baseColWidth="10" defaultColWidth="9.140625" defaultRowHeight="13.5" x14ac:dyDescent="0.25"/>
  <cols>
    <col min="1" max="1" width="16.7109375" style="35" customWidth="1"/>
  </cols>
  <sheetData>
    <row r="1" spans="1:1" x14ac:dyDescent="0.25">
      <c r="A1" s="35" t="s">
        <v>32</v>
      </c>
    </row>
    <row r="2" spans="1:1" x14ac:dyDescent="0.25">
      <c r="A2" s="35">
        <v>2017</v>
      </c>
    </row>
    <row r="3" spans="1:1" x14ac:dyDescent="0.25">
      <c r="A3" s="35">
        <v>2018</v>
      </c>
    </row>
    <row r="4" spans="1:1" x14ac:dyDescent="0.25">
      <c r="A4" s="35">
        <v>2019</v>
      </c>
    </row>
    <row r="5" spans="1:1" x14ac:dyDescent="0.25">
      <c r="A5" s="35">
        <v>2020</v>
      </c>
    </row>
    <row r="6" spans="1:1" x14ac:dyDescent="0.25">
      <c r="A6" s="35">
        <v>2021</v>
      </c>
    </row>
    <row r="7" spans="1:1" x14ac:dyDescent="0.25">
      <c r="A7" s="35">
        <v>2022</v>
      </c>
    </row>
    <row r="8" spans="1:1" x14ac:dyDescent="0.25">
      <c r="A8" s="35">
        <v>2023</v>
      </c>
    </row>
    <row r="9" spans="1:1" x14ac:dyDescent="0.25">
      <c r="A9" s="35">
        <v>2024</v>
      </c>
    </row>
    <row r="10" spans="1:1" x14ac:dyDescent="0.25">
      <c r="A10" s="35">
        <v>2025</v>
      </c>
    </row>
    <row r="11" spans="1:1" x14ac:dyDescent="0.25">
      <c r="A11" s="35">
        <v>2026</v>
      </c>
    </row>
    <row r="12" spans="1:1" x14ac:dyDescent="0.25">
      <c r="A12" s="35">
        <v>2027</v>
      </c>
    </row>
    <row r="13" spans="1:1" x14ac:dyDescent="0.25">
      <c r="A13" s="35">
        <v>2028</v>
      </c>
    </row>
    <row r="14" spans="1:1" x14ac:dyDescent="0.25">
      <c r="A14" s="35">
        <v>2029</v>
      </c>
    </row>
    <row r="15" spans="1:1" x14ac:dyDescent="0.25">
      <c r="A15" s="35">
        <v>2030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TCalendar2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2018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>
        <f>IF(DAY(JanDim1)=1,"",IF(AND(YEAR(JanDim1+1)=AnnéeCalendrier,MONTH(JanDim1+1)=1),JanDim1+1,""))</f>
        <v>43101</v>
      </c>
      <c r="C8" s="5">
        <f>IF(DAY(JanDim1)=1,"",IF(AND(YEAR(JanDim1+2)=AnnéeCalendrier,MONTH(JanDim1+2)=1),JanDim1+2,""))</f>
        <v>43102</v>
      </c>
      <c r="D8" s="5">
        <f>IF(DAY(JanDim1)=1,"",IF(AND(YEAR(JanDim1+3)=AnnéeCalendrier,MONTH(JanDim1+3)=1),JanDim1+3,""))</f>
        <v>43103</v>
      </c>
      <c r="E8" s="5">
        <f>IF(DAY(JanDim1)=1,"",IF(AND(YEAR(JanDim1+4)=AnnéeCalendrier,MONTH(JanDim1+4)=1),JanDim1+4,""))</f>
        <v>43104</v>
      </c>
      <c r="F8" s="5">
        <f>IF(DAY(JanDim1)=1,"",IF(AND(YEAR(JanDim1+5)=AnnéeCalendrier,MONTH(JanDim1+5)=1),JanDim1+5,""))</f>
        <v>43105</v>
      </c>
      <c r="G8" s="5">
        <f>IF(DAY(JanDim1)=1,"",IF(AND(YEAR(JanDim1+6)=AnnéeCalendrier,MONTH(JanDim1+6)=1),JanDim1+6,""))</f>
        <v>43106</v>
      </c>
      <c r="H8" s="5">
        <f>IF(DAY(JanDim1)=1,IF(AND(YEAR(JanDim1)=AnnéeCalendrier,MONTH(JanDim1)=1),JanDim1,""),IF(AND(YEAR(JanDim1+7)=AnnéeCalendrier,MONTH(JanDim1+7)=1),JanDim1+7,""))</f>
        <v>43107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>
        <f>IF(DAY(FévDim1)=1,"",IF(AND(YEAR(FévDim1+4)=AnnéeCalendrier,MONTH(FévDim1+4)=2),FévDim1+4,""))</f>
        <v>43132</v>
      </c>
      <c r="N8" s="5">
        <f>IF(DAY(FévDim1)=1,"",IF(AND(YEAR(FévDim1+5)=AnnéeCalendrier,MONTH(FévDim1+5)=2),FévDim1+5,""))</f>
        <v>43133</v>
      </c>
      <c r="O8" s="5">
        <f>IF(DAY(FévDim1)=1,"",IF(AND(YEAR(FévDim1+6)=AnnéeCalendrier,MONTH(FévDim1+6)=2),FévDim1+6,""))</f>
        <v>43134</v>
      </c>
      <c r="P8" s="5">
        <f>IF(DAY(FévDim1)=1,IF(AND(YEAR(FévDim1)=AnnéeCalendrier,MONTH(FévDim1)=2),FévDim1,""),IF(AND(YEAR(FévDim1+7)=AnnéeCalendrier,MONTH(FévDim1+7)=2),FévDim1+7,""))</f>
        <v>43135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>
        <f>IF(DAY(MarDim1)=1,"",IF(AND(YEAR(MarDim1+4)=AnnéeCalendrier,MONTH(MarDim1+4)=3),MarDim1+4,""))</f>
        <v>43160</v>
      </c>
      <c r="V8" s="5">
        <f>IF(DAY(MarDim1)=1,"",IF(AND(YEAR(MarDim1+5)=AnnéeCalendrier,MONTH(MarDim1+5)=3),MarDim1+5,""))</f>
        <v>43161</v>
      </c>
      <c r="W8" s="5">
        <f>IF(DAY(MarDim1)=1,"",IF(AND(YEAR(MarDim1+6)=AnnéeCalendrier,MONTH(MarDim1+6)=3),MarDim1+6,""))</f>
        <v>43162</v>
      </c>
      <c r="X8" s="5">
        <f>IF(DAY(MarDim1)=1,IF(AND(YEAR(MarDim1)=AnnéeCalendrier,MONTH(MarDim1)=3),MarDim1,""),IF(AND(YEAR(MarDim1+7)=AnnéeCalendrier,MONTH(MarDim1+7)=3),MarDim1+7,""))</f>
        <v>43163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43108</v>
      </c>
      <c r="C9" s="5">
        <f>IF(DAY(JanDim1)=1,IF(AND(YEAR(JanDim1+2)=AnnéeCalendrier,MONTH(JanDim1+2)=1),JanDim1+2,""),IF(AND(YEAR(JanDim1+9)=AnnéeCalendrier,MONTH(JanDim1+9)=1),JanDim1+9,""))</f>
        <v>43109</v>
      </c>
      <c r="D9" s="5">
        <f>IF(DAY(JanDim1)=1,IF(AND(YEAR(JanDim1+3)=AnnéeCalendrier,MONTH(JanDim1+3)=1),JanDim1+3,""),IF(AND(YEAR(JanDim1+10)=AnnéeCalendrier,MONTH(JanDim1+10)=1),JanDim1+10,""))</f>
        <v>43110</v>
      </c>
      <c r="E9" s="5">
        <f>IF(DAY(JanDim1)=1,IF(AND(YEAR(JanDim1+4)=AnnéeCalendrier,MONTH(JanDim1+4)=1),JanDim1+4,""),IF(AND(YEAR(JanDim1+11)=AnnéeCalendrier,MONTH(JanDim1+11)=1),JanDim1+11,""))</f>
        <v>43111</v>
      </c>
      <c r="F9" s="5">
        <f>IF(DAY(JanDim1)=1,IF(AND(YEAR(JanDim1+5)=AnnéeCalendrier,MONTH(JanDim1+5)=1),JanDim1+5,""),IF(AND(YEAR(JanDim1+12)=AnnéeCalendrier,MONTH(JanDim1+12)=1),JanDim1+12,""))</f>
        <v>43112</v>
      </c>
      <c r="G9" s="5">
        <f>IF(DAY(JanDim1)=1,IF(AND(YEAR(JanDim1+6)=AnnéeCalendrier,MONTH(JanDim1+6)=1),JanDim1+6,""),IF(AND(YEAR(JanDim1+13)=AnnéeCalendrier,MONTH(JanDim1+13)=1),JanDim1+13,""))</f>
        <v>43113</v>
      </c>
      <c r="H9" s="5">
        <f>IF(DAY(JanDim1)=1,IF(AND(YEAR(JanDim1+7)=AnnéeCalendrier,MONTH(JanDim1+7)=1),JanDim1+7,""),IF(AND(YEAR(JanDim1+14)=AnnéeCalendrier,MONTH(JanDim1+14)=1),JanDim1+14,""))</f>
        <v>43114</v>
      </c>
      <c r="I9" s="4"/>
      <c r="J9" s="5">
        <f>IF(DAY(FévDim1)=1,IF(AND(YEAR(FévDim1+1)=AnnéeCalendrier,MONTH(FévDim1+1)=2),FévDim1+1,""),IF(AND(YEAR(FévDim1+8)=AnnéeCalendrier,MONTH(FévDim1+8)=2),FévDim1+8,""))</f>
        <v>43136</v>
      </c>
      <c r="K9" s="5">
        <f>IF(DAY(FévDim1)=1,IF(AND(YEAR(FévDim1+2)=AnnéeCalendrier,MONTH(FévDim1+2)=2),FévDim1+2,""),IF(AND(YEAR(FévDim1+9)=AnnéeCalendrier,MONTH(FévDim1+9)=2),FévDim1+9,""))</f>
        <v>43137</v>
      </c>
      <c r="L9" s="5">
        <f>IF(DAY(FévDim1)=1,IF(AND(YEAR(FévDim1+3)=AnnéeCalendrier,MONTH(FévDim1+3)=2),FévDim1+3,""),IF(AND(YEAR(FévDim1+10)=AnnéeCalendrier,MONTH(FévDim1+10)=2),FévDim1+10,""))</f>
        <v>43138</v>
      </c>
      <c r="M9" s="5">
        <f>IF(DAY(FévDim1)=1,IF(AND(YEAR(FévDim1+4)=AnnéeCalendrier,MONTH(FévDim1+4)=2),FévDim1+4,""),IF(AND(YEAR(FévDim1+11)=AnnéeCalendrier,MONTH(FévDim1+11)=2),FévDim1+11,""))</f>
        <v>43139</v>
      </c>
      <c r="N9" s="5">
        <f>IF(DAY(FévDim1)=1,IF(AND(YEAR(FévDim1+5)=AnnéeCalendrier,MONTH(FévDim1+5)=2),FévDim1+5,""),IF(AND(YEAR(FévDim1+12)=AnnéeCalendrier,MONTH(FévDim1+12)=2),FévDim1+12,""))</f>
        <v>43140</v>
      </c>
      <c r="O9" s="5">
        <f>IF(DAY(FévDim1)=1,IF(AND(YEAR(FévDim1+6)=AnnéeCalendrier,MONTH(FévDim1+6)=2),FévDim1+6,""),IF(AND(YEAR(FévDim1+13)=AnnéeCalendrier,MONTH(FévDim1+13)=2),FévDim1+13,""))</f>
        <v>43141</v>
      </c>
      <c r="P9" s="5">
        <f>IF(DAY(FévDim1)=1,IF(AND(YEAR(FévDim1+7)=AnnéeCalendrier,MONTH(FévDim1+7)=2),FévDim1+7,""),IF(AND(YEAR(FévDim1+14)=AnnéeCalendrier,MONTH(FévDim1+14)=2),FévDim1+14,""))</f>
        <v>43142</v>
      </c>
      <c r="Q9" s="4"/>
      <c r="R9" s="5">
        <f>IF(DAY(MarDim1)=1,IF(AND(YEAR(MarDim1+1)=AnnéeCalendrier,MONTH(MarDim1+1)=3),MarDim1+1,""),IF(AND(YEAR(MarDim1+8)=AnnéeCalendrier,MONTH(MarDim1+8)=3),MarDim1+8,""))</f>
        <v>43164</v>
      </c>
      <c r="S9" s="5">
        <f>IF(DAY(MarDim1)=1,IF(AND(YEAR(MarDim1+2)=AnnéeCalendrier,MONTH(MarDim1+2)=3),MarDim1+2,""),IF(AND(YEAR(MarDim1+9)=AnnéeCalendrier,MONTH(MarDim1+9)=3),MarDim1+9,""))</f>
        <v>43165</v>
      </c>
      <c r="T9" s="5">
        <f>IF(DAY(MarDim1)=1,IF(AND(YEAR(MarDim1+3)=AnnéeCalendrier,MONTH(MarDim1+3)=3),MarDim1+3,""),IF(AND(YEAR(MarDim1+10)=AnnéeCalendrier,MONTH(MarDim1+10)=3),MarDim1+10,""))</f>
        <v>43166</v>
      </c>
      <c r="U9" s="5">
        <f>IF(DAY(MarDim1)=1,IF(AND(YEAR(MarDim1+4)=AnnéeCalendrier,MONTH(MarDim1+4)=3),MarDim1+4,""),IF(AND(YEAR(MarDim1+11)=AnnéeCalendrier,MONTH(MarDim1+11)=3),MarDim1+11,""))</f>
        <v>43167</v>
      </c>
      <c r="V9" s="5">
        <f>IF(DAY(MarDim1)=1,IF(AND(YEAR(MarDim1+5)=AnnéeCalendrier,MONTH(MarDim1+5)=3),MarDim1+5,""),IF(AND(YEAR(MarDim1+12)=AnnéeCalendrier,MONTH(MarDim1+12)=3),MarDim1+12,""))</f>
        <v>43168</v>
      </c>
      <c r="W9" s="5">
        <f>IF(DAY(MarDim1)=1,IF(AND(YEAR(MarDim1+6)=AnnéeCalendrier,MONTH(MarDim1+6)=3),MarDim1+6,""),IF(AND(YEAR(MarDim1+13)=AnnéeCalendrier,MONTH(MarDim1+13)=3),MarDim1+13,""))</f>
        <v>43169</v>
      </c>
      <c r="X9" s="5">
        <f>IF(DAY(MarDim1)=1,IF(AND(YEAR(MarDim1+7)=AnnéeCalendrier,MONTH(MarDim1+7)=3),MarDim1+7,""),IF(AND(YEAR(MarDim1+14)=AnnéeCalendrier,MONTH(MarDim1+14)=3),MarDim1+14,""))</f>
        <v>43170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43115</v>
      </c>
      <c r="C10" s="5">
        <f>IF(DAY(JanDim1)=1,IF(AND(YEAR(JanDim1+9)=AnnéeCalendrier,MONTH(JanDim1+9)=1),JanDim1+9,""),IF(AND(YEAR(JanDim1+16)=AnnéeCalendrier,MONTH(JanDim1+16)=1),JanDim1+16,""))</f>
        <v>43116</v>
      </c>
      <c r="D10" s="5">
        <f>IF(DAY(JanDim1)=1,IF(AND(YEAR(JanDim1+10)=AnnéeCalendrier,MONTH(JanDim1+10)=1),JanDim1+10,""),IF(AND(YEAR(JanDim1+17)=AnnéeCalendrier,MONTH(JanDim1+17)=1),JanDim1+17,""))</f>
        <v>43117</v>
      </c>
      <c r="E10" s="5">
        <f>IF(DAY(JanDim1)=1,IF(AND(YEAR(JanDim1+11)=AnnéeCalendrier,MONTH(JanDim1+11)=1),JanDim1+11,""),IF(AND(YEAR(JanDim1+18)=AnnéeCalendrier,MONTH(JanDim1+18)=1),JanDim1+18,""))</f>
        <v>43118</v>
      </c>
      <c r="F10" s="5">
        <f>IF(DAY(JanDim1)=1,IF(AND(YEAR(JanDim1+12)=AnnéeCalendrier,MONTH(JanDim1+12)=1),JanDim1+12,""),IF(AND(YEAR(JanDim1+19)=AnnéeCalendrier,MONTH(JanDim1+19)=1),JanDim1+19,""))</f>
        <v>43119</v>
      </c>
      <c r="G10" s="5">
        <f>IF(DAY(JanDim1)=1,IF(AND(YEAR(JanDim1+13)=AnnéeCalendrier,MONTH(JanDim1+13)=1),JanDim1+13,""),IF(AND(YEAR(JanDim1+20)=AnnéeCalendrier,MONTH(JanDim1+20)=1),JanDim1+20,""))</f>
        <v>43120</v>
      </c>
      <c r="H10" s="5">
        <f>IF(DAY(JanDim1)=1,IF(AND(YEAR(JanDim1+14)=AnnéeCalendrier,MONTH(JanDim1+14)=1),JanDim1+14,""),IF(AND(YEAR(JanDim1+21)=AnnéeCalendrier,MONTH(JanDim1+21)=1),JanDim1+21,""))</f>
        <v>43121</v>
      </c>
      <c r="I10" s="4"/>
      <c r="J10" s="5">
        <f>IF(DAY(FévDim1)=1,IF(AND(YEAR(FévDim1+8)=AnnéeCalendrier,MONTH(FévDim1+8)=2),FévDim1+8,""),IF(AND(YEAR(FévDim1+15)=AnnéeCalendrier,MONTH(FévDim1+15)=2),FévDim1+15,""))</f>
        <v>43143</v>
      </c>
      <c r="K10" s="5">
        <f>IF(DAY(FévDim1)=1,IF(AND(YEAR(FévDim1+9)=AnnéeCalendrier,MONTH(FévDim1+9)=2),FévDim1+9,""),IF(AND(YEAR(FévDim1+16)=AnnéeCalendrier,MONTH(FévDim1+16)=2),FévDim1+16,""))</f>
        <v>43144</v>
      </c>
      <c r="L10" s="5">
        <f>IF(DAY(FévDim1)=1,IF(AND(YEAR(FévDim1+10)=AnnéeCalendrier,MONTH(FévDim1+10)=2),FévDim1+10,""),IF(AND(YEAR(FévDim1+17)=AnnéeCalendrier,MONTH(FévDim1+17)=2),FévDim1+17,""))</f>
        <v>43145</v>
      </c>
      <c r="M10" s="5">
        <f>IF(DAY(FévDim1)=1,IF(AND(YEAR(FévDim1+11)=AnnéeCalendrier,MONTH(FévDim1+11)=2),FévDim1+11,""),IF(AND(YEAR(FévDim1+18)=AnnéeCalendrier,MONTH(FévDim1+18)=2),FévDim1+18,""))</f>
        <v>43146</v>
      </c>
      <c r="N10" s="5">
        <f>IF(DAY(FévDim1)=1,IF(AND(YEAR(FévDim1+12)=AnnéeCalendrier,MONTH(FévDim1+12)=2),FévDim1+12,""),IF(AND(YEAR(FévDim1+19)=AnnéeCalendrier,MONTH(FévDim1+19)=2),FévDim1+19,""))</f>
        <v>43147</v>
      </c>
      <c r="O10" s="5">
        <f>IF(DAY(FévDim1)=1,IF(AND(YEAR(FévDim1+13)=AnnéeCalendrier,MONTH(FévDim1+13)=2),FévDim1+13,""),IF(AND(YEAR(FévDim1+20)=AnnéeCalendrier,MONTH(FévDim1+20)=2),FévDim1+20,""))</f>
        <v>43148</v>
      </c>
      <c r="P10" s="5">
        <f>IF(DAY(FévDim1)=1,IF(AND(YEAR(FévDim1+14)=AnnéeCalendrier,MONTH(FévDim1+14)=2),FévDim1+14,""),IF(AND(YEAR(FévDim1+21)=AnnéeCalendrier,MONTH(FévDim1+21)=2),FévDim1+21,""))</f>
        <v>43149</v>
      </c>
      <c r="Q10" s="4"/>
      <c r="R10" s="5">
        <f>IF(DAY(MarDim1)=1,IF(AND(YEAR(MarDim1+8)=AnnéeCalendrier,MONTH(MarDim1+8)=3),MarDim1+8,""),IF(AND(YEAR(MarDim1+15)=AnnéeCalendrier,MONTH(MarDim1+15)=3),MarDim1+15,""))</f>
        <v>43171</v>
      </c>
      <c r="S10" s="5">
        <f>IF(DAY(MarDim1)=1,IF(AND(YEAR(MarDim1+9)=AnnéeCalendrier,MONTH(MarDim1+9)=3),MarDim1+9,""),IF(AND(YEAR(MarDim1+16)=AnnéeCalendrier,MONTH(MarDim1+16)=3),MarDim1+16,""))</f>
        <v>43172</v>
      </c>
      <c r="T10" s="5">
        <f>IF(DAY(MarDim1)=1,IF(AND(YEAR(MarDim1+10)=AnnéeCalendrier,MONTH(MarDim1+10)=3),MarDim1+10,""),IF(AND(YEAR(MarDim1+17)=AnnéeCalendrier,MONTH(MarDim1+17)=3),MarDim1+17,""))</f>
        <v>43173</v>
      </c>
      <c r="U10" s="5">
        <f>IF(DAY(MarDim1)=1,IF(AND(YEAR(MarDim1+11)=AnnéeCalendrier,MONTH(MarDim1+11)=3),MarDim1+11,""),IF(AND(YEAR(MarDim1+18)=AnnéeCalendrier,MONTH(MarDim1+18)=3),MarDim1+18,""))</f>
        <v>43174</v>
      </c>
      <c r="V10" s="5">
        <f>IF(DAY(MarDim1)=1,IF(AND(YEAR(MarDim1+12)=AnnéeCalendrier,MONTH(MarDim1+12)=3),MarDim1+12,""),IF(AND(YEAR(MarDim1+19)=AnnéeCalendrier,MONTH(MarDim1+19)=3),MarDim1+19,""))</f>
        <v>43175</v>
      </c>
      <c r="W10" s="5">
        <f>IF(DAY(MarDim1)=1,IF(AND(YEAR(MarDim1+13)=AnnéeCalendrier,MONTH(MarDim1+13)=3),MarDim1+13,""),IF(AND(YEAR(MarDim1+20)=AnnéeCalendrier,MONTH(MarDim1+20)=3),MarDim1+20,""))</f>
        <v>43176</v>
      </c>
      <c r="X10" s="5">
        <f>IF(DAY(MarDim1)=1,IF(AND(YEAR(MarDim1+14)=AnnéeCalendrier,MONTH(MarDim1+14)=3),MarDim1+14,""),IF(AND(YEAR(MarDim1+21)=AnnéeCalendrier,MONTH(MarDim1+21)=3),MarDim1+21,""))</f>
        <v>43177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43122</v>
      </c>
      <c r="C11" s="5">
        <f>IF(DAY(JanDim1)=1,IF(AND(YEAR(JanDim1+16)=AnnéeCalendrier,MONTH(JanDim1+16)=1),JanDim1+16,""),IF(AND(YEAR(JanDim1+23)=AnnéeCalendrier,MONTH(JanDim1+23)=1),JanDim1+23,""))</f>
        <v>43123</v>
      </c>
      <c r="D11" s="5">
        <f>IF(DAY(JanDim1)=1,IF(AND(YEAR(JanDim1+17)=AnnéeCalendrier,MONTH(JanDim1+17)=1),JanDim1+17,""),IF(AND(YEAR(JanDim1+24)=AnnéeCalendrier,MONTH(JanDim1+24)=1),JanDim1+24,""))</f>
        <v>43124</v>
      </c>
      <c r="E11" s="5">
        <f>IF(DAY(JanDim1)=1,IF(AND(YEAR(JanDim1+18)=AnnéeCalendrier,MONTH(JanDim1+18)=1),JanDim1+18,""),IF(AND(YEAR(JanDim1+25)=AnnéeCalendrier,MONTH(JanDim1+25)=1),JanDim1+25,""))</f>
        <v>43125</v>
      </c>
      <c r="F11" s="5">
        <f>IF(DAY(JanDim1)=1,IF(AND(YEAR(JanDim1+19)=AnnéeCalendrier,MONTH(JanDim1+19)=1),JanDim1+19,""),IF(AND(YEAR(JanDim1+26)=AnnéeCalendrier,MONTH(JanDim1+26)=1),JanDim1+26,""))</f>
        <v>43126</v>
      </c>
      <c r="G11" s="5">
        <f>IF(DAY(JanDim1)=1,IF(AND(YEAR(JanDim1+20)=AnnéeCalendrier,MONTH(JanDim1+20)=1),JanDim1+20,""),IF(AND(YEAR(JanDim1+27)=AnnéeCalendrier,MONTH(JanDim1+27)=1),JanDim1+27,""))</f>
        <v>43127</v>
      </c>
      <c r="H11" s="5">
        <f>IF(DAY(JanDim1)=1,IF(AND(YEAR(JanDim1+21)=AnnéeCalendrier,MONTH(JanDim1+21)=1),JanDim1+21,""),IF(AND(YEAR(JanDim1+28)=AnnéeCalendrier,MONTH(JanDim1+28)=1),JanDim1+28,""))</f>
        <v>43128</v>
      </c>
      <c r="I11" s="4"/>
      <c r="J11" s="5">
        <f>IF(DAY(FévDim1)=1,IF(AND(YEAR(FévDim1+15)=AnnéeCalendrier,MONTH(FévDim1+15)=2),FévDim1+15,""),IF(AND(YEAR(FévDim1+22)=AnnéeCalendrier,MONTH(FévDim1+22)=2),FévDim1+22,""))</f>
        <v>43150</v>
      </c>
      <c r="K11" s="5">
        <f>IF(DAY(FévDim1)=1,IF(AND(YEAR(FévDim1+16)=AnnéeCalendrier,MONTH(FévDim1+16)=2),FévDim1+16,""),IF(AND(YEAR(FévDim1+23)=AnnéeCalendrier,MONTH(FévDim1+23)=2),FévDim1+23,""))</f>
        <v>43151</v>
      </c>
      <c r="L11" s="5">
        <f>IF(DAY(FévDim1)=1,IF(AND(YEAR(FévDim1+17)=AnnéeCalendrier,MONTH(FévDim1+17)=2),FévDim1+17,""),IF(AND(YEAR(FévDim1+24)=AnnéeCalendrier,MONTH(FévDim1+24)=2),FévDim1+24,""))</f>
        <v>43152</v>
      </c>
      <c r="M11" s="5">
        <f>IF(DAY(FévDim1)=1,IF(AND(YEAR(FévDim1+18)=AnnéeCalendrier,MONTH(FévDim1+18)=2),FévDim1+18,""),IF(AND(YEAR(FévDim1+25)=AnnéeCalendrier,MONTH(FévDim1+25)=2),FévDim1+25,""))</f>
        <v>43153</v>
      </c>
      <c r="N11" s="5">
        <f>IF(DAY(FévDim1)=1,IF(AND(YEAR(FévDim1+19)=AnnéeCalendrier,MONTH(FévDim1+19)=2),FévDim1+19,""),IF(AND(YEAR(FévDim1+26)=AnnéeCalendrier,MONTH(FévDim1+26)=2),FévDim1+26,""))</f>
        <v>43154</v>
      </c>
      <c r="O11" s="5">
        <f>IF(DAY(FévDim1)=1,IF(AND(YEAR(FévDim1+20)=AnnéeCalendrier,MONTH(FévDim1+20)=2),FévDim1+20,""),IF(AND(YEAR(FévDim1+27)=AnnéeCalendrier,MONTH(FévDim1+27)=2),FévDim1+27,""))</f>
        <v>43155</v>
      </c>
      <c r="P11" s="5">
        <f>IF(DAY(FévDim1)=1,IF(AND(YEAR(FévDim1+21)=AnnéeCalendrier,MONTH(FévDim1+21)=2),FévDim1+21,""),IF(AND(YEAR(FévDim1+28)=AnnéeCalendrier,MONTH(FévDim1+28)=2),FévDim1+28,""))</f>
        <v>43156</v>
      </c>
      <c r="Q11" s="4"/>
      <c r="R11" s="5">
        <f>IF(DAY(MarDim1)=1,IF(AND(YEAR(MarDim1+15)=AnnéeCalendrier,MONTH(MarDim1+15)=3),MarDim1+15,""),IF(AND(YEAR(MarDim1+22)=AnnéeCalendrier,MONTH(MarDim1+22)=3),MarDim1+22,""))</f>
        <v>43178</v>
      </c>
      <c r="S11" s="5">
        <f>IF(DAY(MarDim1)=1,IF(AND(YEAR(MarDim1+16)=AnnéeCalendrier,MONTH(MarDim1+16)=3),MarDim1+16,""),IF(AND(YEAR(MarDim1+23)=AnnéeCalendrier,MONTH(MarDim1+23)=3),MarDim1+23,""))</f>
        <v>43179</v>
      </c>
      <c r="T11" s="5">
        <f>IF(DAY(MarDim1)=1,IF(AND(YEAR(MarDim1+17)=AnnéeCalendrier,MONTH(MarDim1+17)=3),MarDim1+17,""),IF(AND(YEAR(MarDim1+24)=AnnéeCalendrier,MONTH(MarDim1+24)=3),MarDim1+24,""))</f>
        <v>43180</v>
      </c>
      <c r="U11" s="5">
        <f>IF(DAY(MarDim1)=1,IF(AND(YEAR(MarDim1+18)=AnnéeCalendrier,MONTH(MarDim1+18)=3),MarDim1+18,""),IF(AND(YEAR(MarDim1+25)=AnnéeCalendrier,MONTH(MarDim1+25)=3),MarDim1+25,""))</f>
        <v>43181</v>
      </c>
      <c r="V11" s="5">
        <f>IF(DAY(MarDim1)=1,IF(AND(YEAR(MarDim1+19)=AnnéeCalendrier,MONTH(MarDim1+19)=3),MarDim1+19,""),IF(AND(YEAR(MarDim1+26)=AnnéeCalendrier,MONTH(MarDim1+26)=3),MarDim1+26,""))</f>
        <v>43182</v>
      </c>
      <c r="W11" s="5">
        <f>IF(DAY(MarDim1)=1,IF(AND(YEAR(MarDim1+20)=AnnéeCalendrier,MONTH(MarDim1+20)=3),MarDim1+20,""),IF(AND(YEAR(MarDim1+27)=AnnéeCalendrier,MONTH(MarDim1+27)=3),MarDim1+27,""))</f>
        <v>43183</v>
      </c>
      <c r="X11" s="5">
        <f>IF(DAY(MarDim1)=1,IF(AND(YEAR(MarDim1+21)=AnnéeCalendrier,MONTH(MarDim1+21)=3),MarDim1+21,""),IF(AND(YEAR(MarDim1+28)=AnnéeCalendrier,MONTH(MarDim1+28)=3),MarDim1+28,""))</f>
        <v>43184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43129</v>
      </c>
      <c r="C12" s="5">
        <f>IF(DAY(JanDim1)=1,IF(AND(YEAR(JanDim1+23)=AnnéeCalendrier,MONTH(JanDim1+23)=1),JanDim1+23,""),IF(AND(YEAR(JanDim1+30)=AnnéeCalendrier,MONTH(JanDim1+30)=1),JanDim1+30,""))</f>
        <v>43130</v>
      </c>
      <c r="D12" s="5">
        <f>IF(DAY(JanDim1)=1,IF(AND(YEAR(JanDim1+24)=AnnéeCalendrier,MONTH(JanDim1+24)=1),JanDim1+24,""),IF(AND(YEAR(JanDim1+31)=AnnéeCalendrier,MONTH(JanDim1+31)=1),JanDim1+31,""))</f>
        <v>43131</v>
      </c>
      <c r="E12" s="5" t="str">
        <f>IF(DAY(JanDim1)=1,IF(AND(YEAR(JanDim1+25)=AnnéeCalendrier,MONTH(JanDim1+25)=1),JanDim1+25,""),IF(AND(YEAR(JanDim1+32)=AnnéeCalendrier,MONTH(JanDim1+32)=1),JanDim1+32,""))</f>
        <v/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43157</v>
      </c>
      <c r="K12" s="5">
        <f>IF(DAY(FévDim1)=1,IF(AND(YEAR(FévDim1+23)=AnnéeCalendrier,MONTH(FévDim1+23)=2),FévDim1+23,""),IF(AND(YEAR(FévDim1+30)=AnnéeCalendrier,MONTH(FévDim1+30)=2),FévDim1+30,""))</f>
        <v>43158</v>
      </c>
      <c r="L12" s="5">
        <f>IF(DAY(FévDim1)=1,IF(AND(YEAR(FévDim1+24)=AnnéeCalendrier,MONTH(FévDim1+24)=2),FévDim1+24,""),IF(AND(YEAR(FévDim1+31)=AnnéeCalendrier,MONTH(FévDim1+31)=2),FévDim1+31,""))</f>
        <v>43159</v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43185</v>
      </c>
      <c r="S12" s="5">
        <f>IF(DAY(MarDim1)=1,IF(AND(YEAR(MarDim1+23)=AnnéeCalendrier,MONTH(MarDim1+23)=3),MarDim1+23,""),IF(AND(YEAR(MarDim1+30)=AnnéeCalendrier,MONTH(MarDim1+30)=3),MarDim1+30,""))</f>
        <v>43186</v>
      </c>
      <c r="T12" s="5">
        <f>IF(DAY(MarDim1)=1,IF(AND(YEAR(MarDim1+24)=AnnéeCalendrier,MONTH(MarDim1+24)=3),MarDim1+24,""),IF(AND(YEAR(MarDim1+31)=AnnéeCalendrier,MONTH(MarDim1+31)=3),MarDim1+31,""))</f>
        <v>43187</v>
      </c>
      <c r="U12" s="5">
        <f>IF(DAY(MarDim1)=1,IF(AND(YEAR(MarDim1+25)=AnnéeCalendrier,MONTH(MarDim1+25)=3),MarDim1+25,""),IF(AND(YEAR(MarDim1+32)=AnnéeCalendrier,MONTH(MarDim1+32)=3),MarDim1+32,""))</f>
        <v>43188</v>
      </c>
      <c r="V12" s="5">
        <f>IF(DAY(MarDim1)=1,IF(AND(YEAR(MarDim1+26)=AnnéeCalendrier,MONTH(MarDim1+26)=3),MarDim1+26,""),IF(AND(YEAR(MarDim1+33)=AnnéeCalendrier,MONTH(MarDim1+33)=3),MarDim1+33,""))</f>
        <v>43189</v>
      </c>
      <c r="W12" s="5">
        <f>IF(DAY(MarDim1)=1,IF(AND(YEAR(MarDim1+27)=AnnéeCalendrier,MONTH(MarDim1+27)=3),MarDim1+27,""),IF(AND(YEAR(MarDim1+34)=AnnéeCalendrier,MONTH(MarDim1+34)=3),MarDim1+34,""))</f>
        <v>43190</v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 t="str">
        <f>IF(DAY(AvrDim1)=1,"",IF(AND(YEAR(AvrDim1+6)=AnnéeCalendrier,MONTH(AvrDim1+6)=4),AvrDim1+6,""))</f>
        <v/>
      </c>
      <c r="H17" s="7">
        <f>IF(DAY(AvrDim1)=1,IF(AND(YEAR(AvrDim1)=AnnéeCalendrier,MONTH(AvrDim1)=4),AvrDim1,""),IF(AND(YEAR(AvrDim1+7)=AnnéeCalendrier,MONTH(AvrDim1+7)=4),AvrDim1+7,""))</f>
        <v>43191</v>
      </c>
      <c r="I17" s="4"/>
      <c r="J17" s="6" t="str">
        <f>IF(DAY(MaiDim1)=1,"",IF(AND(YEAR(MaiDim1+1)=AnnéeCalendrier,MONTH(MaiDim1+1)=5),MaiDim1+1,""))</f>
        <v/>
      </c>
      <c r="K17" s="5">
        <f>IF(DAY(MaiDim1)=1,"",IF(AND(YEAR(MaiDim1+2)=AnnéeCalendrier,MONTH(MaiDim1+2)=5),MaiDim1+2,""))</f>
        <v>43221</v>
      </c>
      <c r="L17" s="5">
        <f>IF(DAY(MaiDim1)=1,"",IF(AND(YEAR(MaiDim1+3)=AnnéeCalendrier,MONTH(MaiDim1+3)=5),MaiDim1+3,""))</f>
        <v>43222</v>
      </c>
      <c r="M17" s="5">
        <f>IF(DAY(MaiDim1)=1,"",IF(AND(YEAR(MaiDim1+4)=AnnéeCalendrier,MONTH(MaiDim1+4)=5),MaiDim1+4,""))</f>
        <v>43223</v>
      </c>
      <c r="N17" s="5">
        <f>IF(DAY(MaiDim1)=1,"",IF(AND(YEAR(MaiDim1+5)=AnnéeCalendrier,MONTH(MaiDim1+5)=5),MaiDim1+5,""))</f>
        <v>43224</v>
      </c>
      <c r="O17" s="5">
        <f>IF(DAY(MaiDim1)=1,"",IF(AND(YEAR(MaiDim1+6)=AnnéeCalendrier,MONTH(MaiDim1+6)=5),MaiDim1+6,""))</f>
        <v>43225</v>
      </c>
      <c r="P17" s="7">
        <f>IF(DAY(MaiDim1)=1,IF(AND(YEAR(MaiDim1)=AnnéeCalendrier,MONTH(MaiDim1)=5),MaiDim1,""),IF(AND(YEAR(MaiDim1+7)=AnnéeCalendrier,MONTH(MaiDim1+7)=5),MaiDim1+7,""))</f>
        <v>43226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>
        <f>IF(DAY(JunDim1)=1,"",IF(AND(YEAR(JunDim1+5)=AnnéeCalendrier,MONTH(JunDim1+5)=6),JunDim1+5,""))</f>
        <v>43252</v>
      </c>
      <c r="W17" s="5">
        <f>IF(DAY(JunDim1)=1,"",IF(AND(YEAR(JunDim1+6)=AnnéeCalendrier,MONTH(JunDim1+6)=6),JunDim1+6,""))</f>
        <v>43253</v>
      </c>
      <c r="X17" s="7">
        <f>IF(DAY(JunDim1)=1,IF(AND(YEAR(JunDim1)=AnnéeCalendrier,MONTH(JunDim1)=6),JunDim1,""),IF(AND(YEAR(JunDim1+7)=AnnéeCalendrier,MONTH(JunDim1+7)=6),JunDim1+7,""))</f>
        <v>43254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43192</v>
      </c>
      <c r="C18" s="5">
        <f>IF(DAY(AvrDim1)=1,IF(AND(YEAR(AvrDim1+2)=AnnéeCalendrier,MONTH(AvrDim1+2)=4),AvrDim1+2,""),IF(AND(YEAR(AvrDim1+9)=AnnéeCalendrier,MONTH(AvrDim1+9)=4),AvrDim1+9,""))</f>
        <v>43193</v>
      </c>
      <c r="D18" s="5">
        <f>IF(DAY(AvrDim1)=1,IF(AND(YEAR(AvrDim1+3)=AnnéeCalendrier,MONTH(AvrDim1+3)=4),AvrDim1+3,""),IF(AND(YEAR(AvrDim1+10)=AnnéeCalendrier,MONTH(AvrDim1+10)=4),AvrDim1+10,""))</f>
        <v>43194</v>
      </c>
      <c r="E18" s="5">
        <f>IF(DAY(AvrDim1)=1,IF(AND(YEAR(AvrDim1+4)=AnnéeCalendrier,MONTH(AvrDim1+4)=4),AvrDim1+4,""),IF(AND(YEAR(AvrDim1+11)=AnnéeCalendrier,MONTH(AvrDim1+11)=4),AvrDim1+11,""))</f>
        <v>43195</v>
      </c>
      <c r="F18" s="5">
        <f>IF(DAY(AvrDim1)=1,IF(AND(YEAR(AvrDim1+5)=AnnéeCalendrier,MONTH(AvrDim1+5)=4),AvrDim1+5,""),IF(AND(YEAR(AvrDim1+12)=AnnéeCalendrier,MONTH(AvrDim1+12)=4),AvrDim1+12,""))</f>
        <v>43196</v>
      </c>
      <c r="G18" s="5">
        <f>IF(DAY(AvrDim1)=1,IF(AND(YEAR(AvrDim1+6)=AnnéeCalendrier,MONTH(AvrDim1+6)=4),AvrDim1+6,""),IF(AND(YEAR(AvrDim1+13)=AnnéeCalendrier,MONTH(AvrDim1+13)=4),AvrDim1+13,""))</f>
        <v>43197</v>
      </c>
      <c r="H18" s="7">
        <f>IF(DAY(AvrDim1)=1,IF(AND(YEAR(AvrDim1+7)=AnnéeCalendrier,MONTH(AvrDim1+7)=4),AvrDim1+7,""),IF(AND(YEAR(AvrDim1+14)=AnnéeCalendrier,MONTH(AvrDim1+14)=4),AvrDim1+14,""))</f>
        <v>43198</v>
      </c>
      <c r="I18" s="4"/>
      <c r="J18" s="6">
        <f>IF(DAY(MaiDim1)=1,IF(AND(YEAR(MaiDim1+1)=AnnéeCalendrier,MONTH(MaiDim1+1)=5),MaiDim1+1,""),IF(AND(YEAR(MaiDim1+8)=AnnéeCalendrier,MONTH(MaiDim1+8)=5),MaiDim1+8,""))</f>
        <v>43227</v>
      </c>
      <c r="K18" s="5">
        <f>IF(DAY(MaiDim1)=1,IF(AND(YEAR(MaiDim1+2)=AnnéeCalendrier,MONTH(MaiDim1+2)=5),MaiDim1+2,""),IF(AND(YEAR(MaiDim1+9)=AnnéeCalendrier,MONTH(MaiDim1+9)=5),MaiDim1+9,""))</f>
        <v>43228</v>
      </c>
      <c r="L18" s="5">
        <f>IF(DAY(MaiDim1)=1,IF(AND(YEAR(MaiDim1+3)=AnnéeCalendrier,MONTH(MaiDim1+3)=5),MaiDim1+3,""),IF(AND(YEAR(MaiDim1+10)=AnnéeCalendrier,MONTH(MaiDim1+10)=5),MaiDim1+10,""))</f>
        <v>43229</v>
      </c>
      <c r="M18" s="5">
        <f>IF(DAY(MaiDim1)=1,IF(AND(YEAR(MaiDim1+4)=AnnéeCalendrier,MONTH(MaiDim1+4)=5),MaiDim1+4,""),IF(AND(YEAR(MaiDim1+11)=AnnéeCalendrier,MONTH(MaiDim1+11)=5),MaiDim1+11,""))</f>
        <v>43230</v>
      </c>
      <c r="N18" s="5">
        <f>IF(DAY(MaiDim1)=1,IF(AND(YEAR(MaiDim1+5)=AnnéeCalendrier,MONTH(MaiDim1+5)=5),MaiDim1+5,""),IF(AND(YEAR(MaiDim1+12)=AnnéeCalendrier,MONTH(MaiDim1+12)=5),MaiDim1+12,""))</f>
        <v>43231</v>
      </c>
      <c r="O18" s="5">
        <f>IF(DAY(MaiDim1)=1,IF(AND(YEAR(MaiDim1+6)=AnnéeCalendrier,MONTH(MaiDim1+6)=5),MaiDim1+6,""),IF(AND(YEAR(MaiDim1+13)=AnnéeCalendrier,MONTH(MaiDim1+13)=5),MaiDim1+13,""))</f>
        <v>43232</v>
      </c>
      <c r="P18" s="7">
        <f>IF(DAY(MaiDim1)=1,IF(AND(YEAR(MaiDim1+7)=AnnéeCalendrier,MONTH(MaiDim1+7)=5),MaiDim1+7,""),IF(AND(YEAR(MaiDim1+14)=AnnéeCalendrier,MONTH(MaiDim1+14)=5),MaiDim1+14,""))</f>
        <v>43233</v>
      </c>
      <c r="Q18" s="4"/>
      <c r="R18" s="6">
        <f>IF(DAY(JunDim1)=1,IF(AND(YEAR(JunDim1+1)=AnnéeCalendrier,MONTH(JunDim1+1)=6),JunDim1+1,""),IF(AND(YEAR(JunDim1+8)=AnnéeCalendrier,MONTH(JunDim1+8)=6),JunDim1+8,""))</f>
        <v>43255</v>
      </c>
      <c r="S18" s="5">
        <f>IF(DAY(JunDim1)=1,IF(AND(YEAR(JunDim1+2)=AnnéeCalendrier,MONTH(JunDim1+2)=6),JunDim1+2,""),IF(AND(YEAR(JunDim1+9)=AnnéeCalendrier,MONTH(JunDim1+9)=6),JunDim1+9,""))</f>
        <v>43256</v>
      </c>
      <c r="T18" s="5">
        <f>IF(DAY(JunDim1)=1,IF(AND(YEAR(JunDim1+3)=AnnéeCalendrier,MONTH(JunDim1+3)=6),JunDim1+3,""),IF(AND(YEAR(JunDim1+10)=AnnéeCalendrier,MONTH(JunDim1+10)=6),JunDim1+10,""))</f>
        <v>43257</v>
      </c>
      <c r="U18" s="5">
        <f>IF(DAY(JunDim1)=1,IF(AND(YEAR(JunDim1+4)=AnnéeCalendrier,MONTH(JunDim1+4)=6),JunDim1+4,""),IF(AND(YEAR(JunDim1+11)=AnnéeCalendrier,MONTH(JunDim1+11)=6),JunDim1+11,""))</f>
        <v>43258</v>
      </c>
      <c r="V18" s="5">
        <f>IF(DAY(JunDim1)=1,IF(AND(YEAR(JunDim1+5)=AnnéeCalendrier,MONTH(JunDim1+5)=6),JunDim1+5,""),IF(AND(YEAR(JunDim1+12)=AnnéeCalendrier,MONTH(JunDim1+12)=6),JunDim1+12,""))</f>
        <v>43259</v>
      </c>
      <c r="W18" s="5">
        <f>IF(DAY(JunDim1)=1,IF(AND(YEAR(JunDim1+6)=AnnéeCalendrier,MONTH(JunDim1+6)=6),JunDim1+6,""),IF(AND(YEAR(JunDim1+13)=AnnéeCalendrier,MONTH(JunDim1+13)=6),JunDim1+13,""))</f>
        <v>43260</v>
      </c>
      <c r="X18" s="7">
        <f>IF(DAY(JunDim1)=1,IF(AND(YEAR(JunDim1+7)=AnnéeCalendrier,MONTH(JunDim1+7)=6),JunDim1+7,""),IF(AND(YEAR(JunDim1+14)=AnnéeCalendrier,MONTH(JunDim1+14)=6),JunDim1+14,""))</f>
        <v>43261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43199</v>
      </c>
      <c r="C19" s="5">
        <f>IF(DAY(AvrDim1)=1,IF(AND(YEAR(AvrDim1+9)=AnnéeCalendrier,MONTH(AvrDim1+9)=4),AvrDim1+9,""),IF(AND(YEAR(AvrDim1+16)=AnnéeCalendrier,MONTH(AvrDim1+16)=4),AvrDim1+16,""))</f>
        <v>43200</v>
      </c>
      <c r="D19" s="5">
        <f>IF(DAY(AvrDim1)=1,IF(AND(YEAR(AvrDim1+10)=AnnéeCalendrier,MONTH(AvrDim1+10)=4),AvrDim1+10,""),IF(AND(YEAR(AvrDim1+17)=AnnéeCalendrier,MONTH(AvrDim1+17)=4),AvrDim1+17,""))</f>
        <v>43201</v>
      </c>
      <c r="E19" s="5">
        <f>IF(DAY(AvrDim1)=1,IF(AND(YEAR(AvrDim1+11)=AnnéeCalendrier,MONTH(AvrDim1+11)=4),AvrDim1+11,""),IF(AND(YEAR(AvrDim1+18)=AnnéeCalendrier,MONTH(AvrDim1+18)=4),AvrDim1+18,""))</f>
        <v>43202</v>
      </c>
      <c r="F19" s="5">
        <f>IF(DAY(AvrDim1)=1,IF(AND(YEAR(AvrDim1+12)=AnnéeCalendrier,MONTH(AvrDim1+12)=4),AvrDim1+12,""),IF(AND(YEAR(AvrDim1+19)=AnnéeCalendrier,MONTH(AvrDim1+19)=4),AvrDim1+19,""))</f>
        <v>43203</v>
      </c>
      <c r="G19" s="5">
        <f>IF(DAY(AvrDim1)=1,IF(AND(YEAR(AvrDim1+13)=AnnéeCalendrier,MONTH(AvrDim1+13)=4),AvrDim1+13,""),IF(AND(YEAR(AvrDim1+20)=AnnéeCalendrier,MONTH(AvrDim1+20)=4),AvrDim1+20,""))</f>
        <v>43204</v>
      </c>
      <c r="H19" s="7">
        <f>IF(DAY(AvrDim1)=1,IF(AND(YEAR(AvrDim1+14)=AnnéeCalendrier,MONTH(AvrDim1+14)=4),AvrDim1+14,""),IF(AND(YEAR(AvrDim1+21)=AnnéeCalendrier,MONTH(AvrDim1+21)=4),AvrDim1+21,""))</f>
        <v>43205</v>
      </c>
      <c r="I19" s="4"/>
      <c r="J19" s="6">
        <f>IF(DAY(MaiDim1)=1,IF(AND(YEAR(MaiDim1+8)=AnnéeCalendrier,MONTH(MaiDim1+8)=5),MaiDim1+8,""),IF(AND(YEAR(MaiDim1+15)=AnnéeCalendrier,MONTH(MaiDim1+15)=5),MaiDim1+15,""))</f>
        <v>43234</v>
      </c>
      <c r="K19" s="5">
        <f>IF(DAY(MaiDim1)=1,IF(AND(YEAR(MaiDim1+9)=AnnéeCalendrier,MONTH(MaiDim1+9)=5),MaiDim1+9,""),IF(AND(YEAR(MaiDim1+16)=AnnéeCalendrier,MONTH(MaiDim1+16)=5),MaiDim1+16,""))</f>
        <v>43235</v>
      </c>
      <c r="L19" s="5">
        <f>IF(DAY(MaiDim1)=1,IF(AND(YEAR(MaiDim1+10)=AnnéeCalendrier,MONTH(MaiDim1+10)=5),MaiDim1+10,""),IF(AND(YEAR(MaiDim1+17)=AnnéeCalendrier,MONTH(MaiDim1+17)=5),MaiDim1+17,""))</f>
        <v>43236</v>
      </c>
      <c r="M19" s="5">
        <f>IF(DAY(MaiDim1)=1,IF(AND(YEAR(MaiDim1+11)=AnnéeCalendrier,MONTH(MaiDim1+11)=5),MaiDim1+11,""),IF(AND(YEAR(MaiDim1+18)=AnnéeCalendrier,MONTH(MaiDim1+18)=5),MaiDim1+18,""))</f>
        <v>43237</v>
      </c>
      <c r="N19" s="5">
        <f>IF(DAY(MaiDim1)=1,IF(AND(YEAR(MaiDim1+12)=AnnéeCalendrier,MONTH(MaiDim1+12)=5),MaiDim1+12,""),IF(AND(YEAR(MaiDim1+19)=AnnéeCalendrier,MONTH(MaiDim1+19)=5),MaiDim1+19,""))</f>
        <v>43238</v>
      </c>
      <c r="O19" s="5">
        <f>IF(DAY(MaiDim1)=1,IF(AND(YEAR(MaiDim1+13)=AnnéeCalendrier,MONTH(MaiDim1+13)=5),MaiDim1+13,""),IF(AND(YEAR(MaiDim1+20)=AnnéeCalendrier,MONTH(MaiDim1+20)=5),MaiDim1+20,""))</f>
        <v>43239</v>
      </c>
      <c r="P19" s="7">
        <f>IF(DAY(MaiDim1)=1,IF(AND(YEAR(MaiDim1+14)=AnnéeCalendrier,MONTH(MaiDim1+14)=5),MaiDim1+14,""),IF(AND(YEAR(MaiDim1+21)=AnnéeCalendrier,MONTH(MaiDim1+21)=5),MaiDim1+21,""))</f>
        <v>43240</v>
      </c>
      <c r="Q19" s="4"/>
      <c r="R19" s="6">
        <f>IF(DAY(JunDim1)=1,IF(AND(YEAR(JunDim1+8)=AnnéeCalendrier,MONTH(JunDim1+8)=6),JunDim1+8,""),IF(AND(YEAR(JunDim1+15)=AnnéeCalendrier,MONTH(JunDim1+15)=6),JunDim1+15,""))</f>
        <v>43262</v>
      </c>
      <c r="S19" s="5">
        <f>IF(DAY(JunDim1)=1,IF(AND(YEAR(JunDim1+9)=AnnéeCalendrier,MONTH(JunDim1+9)=6),JunDim1+9,""),IF(AND(YEAR(JunDim1+16)=AnnéeCalendrier,MONTH(JunDim1+16)=6),JunDim1+16,""))</f>
        <v>43263</v>
      </c>
      <c r="T19" s="5">
        <f>IF(DAY(JunDim1)=1,IF(AND(YEAR(JunDim1+10)=AnnéeCalendrier,MONTH(JunDim1+10)=6),JunDim1+10,""),IF(AND(YEAR(JunDim1+17)=AnnéeCalendrier,MONTH(JunDim1+17)=6),JunDim1+17,""))</f>
        <v>43264</v>
      </c>
      <c r="U19" s="5">
        <f>IF(DAY(JunDim1)=1,IF(AND(YEAR(JunDim1+11)=AnnéeCalendrier,MONTH(JunDim1+11)=6),JunDim1+11,""),IF(AND(YEAR(JunDim1+18)=AnnéeCalendrier,MONTH(JunDim1+18)=6),JunDim1+18,""))</f>
        <v>43265</v>
      </c>
      <c r="V19" s="5">
        <f>IF(DAY(JunDim1)=1,IF(AND(YEAR(JunDim1+12)=AnnéeCalendrier,MONTH(JunDim1+12)=6),JunDim1+12,""),IF(AND(YEAR(JunDim1+19)=AnnéeCalendrier,MONTH(JunDim1+19)=6),JunDim1+19,""))</f>
        <v>43266</v>
      </c>
      <c r="W19" s="5">
        <f>IF(DAY(JunDim1)=1,IF(AND(YEAR(JunDim1+13)=AnnéeCalendrier,MONTH(JunDim1+13)=6),JunDim1+13,""),IF(AND(YEAR(JunDim1+20)=AnnéeCalendrier,MONTH(JunDim1+20)=6),JunDim1+20,""))</f>
        <v>43267</v>
      </c>
      <c r="X19" s="7">
        <f>IF(DAY(JunDim1)=1,IF(AND(YEAR(JunDim1+14)=AnnéeCalendrier,MONTH(JunDim1+14)=6),JunDim1+14,""),IF(AND(YEAR(JunDim1+21)=AnnéeCalendrier,MONTH(JunDim1+21)=6),JunDim1+21,""))</f>
        <v>43268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43206</v>
      </c>
      <c r="C20" s="5">
        <f>IF(DAY(AvrDim1)=1,IF(AND(YEAR(AvrDim1+16)=AnnéeCalendrier,MONTH(AvrDim1+16)=4),AvrDim1+16,""),IF(AND(YEAR(AvrDim1+23)=AnnéeCalendrier,MONTH(AvrDim1+23)=4),AvrDim1+23,""))</f>
        <v>43207</v>
      </c>
      <c r="D20" s="5">
        <f>IF(DAY(AvrDim1)=1,IF(AND(YEAR(AvrDim1+17)=AnnéeCalendrier,MONTH(AvrDim1+17)=4),AvrDim1+17,""),IF(AND(YEAR(AvrDim1+24)=AnnéeCalendrier,MONTH(AvrDim1+24)=4),AvrDim1+24,""))</f>
        <v>43208</v>
      </c>
      <c r="E20" s="5">
        <f>IF(DAY(AvrDim1)=1,IF(AND(YEAR(AvrDim1+18)=AnnéeCalendrier,MONTH(AvrDim1+18)=4),AvrDim1+18,""),IF(AND(YEAR(AvrDim1+25)=AnnéeCalendrier,MONTH(AvrDim1+25)=4),AvrDim1+25,""))</f>
        <v>43209</v>
      </c>
      <c r="F20" s="5">
        <f>IF(DAY(AvrDim1)=1,IF(AND(YEAR(AvrDim1+19)=AnnéeCalendrier,MONTH(AvrDim1+19)=4),AvrDim1+19,""),IF(AND(YEAR(AvrDim1+26)=AnnéeCalendrier,MONTH(AvrDim1+26)=4),AvrDim1+26,""))</f>
        <v>43210</v>
      </c>
      <c r="G20" s="5">
        <f>IF(DAY(AvrDim1)=1,IF(AND(YEAR(AvrDim1+20)=AnnéeCalendrier,MONTH(AvrDim1+20)=4),AvrDim1+20,""),IF(AND(YEAR(AvrDim1+27)=AnnéeCalendrier,MONTH(AvrDim1+27)=4),AvrDim1+27,""))</f>
        <v>43211</v>
      </c>
      <c r="H20" s="7">
        <f>IF(DAY(AvrDim1)=1,IF(AND(YEAR(AvrDim1+21)=AnnéeCalendrier,MONTH(AvrDim1+21)=4),AvrDim1+21,""),IF(AND(YEAR(AvrDim1+28)=AnnéeCalendrier,MONTH(AvrDim1+28)=4),AvrDim1+28,""))</f>
        <v>43212</v>
      </c>
      <c r="I20" s="4"/>
      <c r="J20" s="6">
        <f>IF(DAY(MaiDim1)=1,IF(AND(YEAR(MaiDim1+15)=AnnéeCalendrier,MONTH(MaiDim1+15)=5),MaiDim1+15,""),IF(AND(YEAR(MaiDim1+22)=AnnéeCalendrier,MONTH(MaiDim1+22)=5),MaiDim1+22,""))</f>
        <v>43241</v>
      </c>
      <c r="K20" s="5">
        <f>IF(DAY(MaiDim1)=1,IF(AND(YEAR(MaiDim1+16)=AnnéeCalendrier,MONTH(MaiDim1+16)=5),MaiDim1+16,""),IF(AND(YEAR(MaiDim1+23)=AnnéeCalendrier,MONTH(MaiDim1+23)=5),MaiDim1+23,""))</f>
        <v>43242</v>
      </c>
      <c r="L20" s="5">
        <f>IF(DAY(MaiDim1)=1,IF(AND(YEAR(MaiDim1+17)=AnnéeCalendrier,MONTH(MaiDim1+17)=5),MaiDim1+17,""),IF(AND(YEAR(MaiDim1+24)=AnnéeCalendrier,MONTH(MaiDim1+24)=5),MaiDim1+24,""))</f>
        <v>43243</v>
      </c>
      <c r="M20" s="5">
        <f>IF(DAY(MaiDim1)=1,IF(AND(YEAR(MaiDim1+18)=AnnéeCalendrier,MONTH(MaiDim1+18)=5),MaiDim1+18,""),IF(AND(YEAR(MaiDim1+25)=AnnéeCalendrier,MONTH(MaiDim1+25)=5),MaiDim1+25,""))</f>
        <v>43244</v>
      </c>
      <c r="N20" s="5">
        <f>IF(DAY(MaiDim1)=1,IF(AND(YEAR(MaiDim1+19)=AnnéeCalendrier,MONTH(MaiDim1+19)=5),MaiDim1+19,""),IF(AND(YEAR(MaiDim1+26)=AnnéeCalendrier,MONTH(MaiDim1+26)=5),MaiDim1+26,""))</f>
        <v>43245</v>
      </c>
      <c r="O20" s="5">
        <f>IF(DAY(MaiDim1)=1,IF(AND(YEAR(MaiDim1+20)=AnnéeCalendrier,MONTH(MaiDim1+20)=5),MaiDim1+20,""),IF(AND(YEAR(MaiDim1+27)=AnnéeCalendrier,MONTH(MaiDim1+27)=5),MaiDim1+27,""))</f>
        <v>43246</v>
      </c>
      <c r="P20" s="7">
        <f>IF(DAY(MaiDim1)=1,IF(AND(YEAR(MaiDim1+21)=AnnéeCalendrier,MONTH(MaiDim1+21)=5),MaiDim1+21,""),IF(AND(YEAR(MaiDim1+28)=AnnéeCalendrier,MONTH(MaiDim1+28)=5),MaiDim1+28,""))</f>
        <v>43247</v>
      </c>
      <c r="Q20" s="4"/>
      <c r="R20" s="6">
        <f>IF(DAY(JunDim1)=1,IF(AND(YEAR(JunDim1+15)=AnnéeCalendrier,MONTH(JunDim1+15)=6),JunDim1+15,""),IF(AND(YEAR(JunDim1+22)=AnnéeCalendrier,MONTH(JunDim1+22)=6),JunDim1+22,""))</f>
        <v>43269</v>
      </c>
      <c r="S20" s="5">
        <f>IF(DAY(JunDim1)=1,IF(AND(YEAR(JunDim1+16)=AnnéeCalendrier,MONTH(JunDim1+16)=6),JunDim1+16,""),IF(AND(YEAR(JunDim1+23)=AnnéeCalendrier,MONTH(JunDim1+23)=6),JunDim1+23,""))</f>
        <v>43270</v>
      </c>
      <c r="T20" s="5">
        <f>IF(DAY(JunDim1)=1,IF(AND(YEAR(JunDim1+17)=AnnéeCalendrier,MONTH(JunDim1+17)=6),JunDim1+17,""),IF(AND(YEAR(JunDim1+24)=AnnéeCalendrier,MONTH(JunDim1+24)=6),JunDim1+24,""))</f>
        <v>43271</v>
      </c>
      <c r="U20" s="5">
        <f>IF(DAY(JunDim1)=1,IF(AND(YEAR(JunDim1+18)=AnnéeCalendrier,MONTH(JunDim1+18)=6),JunDim1+18,""),IF(AND(YEAR(JunDim1+25)=AnnéeCalendrier,MONTH(JunDim1+25)=6),JunDim1+25,""))</f>
        <v>43272</v>
      </c>
      <c r="V20" s="5">
        <f>IF(DAY(JunDim1)=1,IF(AND(YEAR(JunDim1+19)=AnnéeCalendrier,MONTH(JunDim1+19)=6),JunDim1+19,""),IF(AND(YEAR(JunDim1+26)=AnnéeCalendrier,MONTH(JunDim1+26)=6),JunDim1+26,""))</f>
        <v>43273</v>
      </c>
      <c r="W20" s="5">
        <f>IF(DAY(JunDim1)=1,IF(AND(YEAR(JunDim1+20)=AnnéeCalendrier,MONTH(JunDim1+20)=6),JunDim1+20,""),IF(AND(YEAR(JunDim1+27)=AnnéeCalendrier,MONTH(JunDim1+27)=6),JunDim1+27,""))</f>
        <v>43274</v>
      </c>
      <c r="X20" s="7">
        <f>IF(DAY(JunDim1)=1,IF(AND(YEAR(JunDim1+21)=AnnéeCalendrier,MONTH(JunDim1+21)=6),JunDim1+21,""),IF(AND(YEAR(JunDim1+28)=AnnéeCalendrier,MONTH(JunDim1+28)=6),JunDim1+28,""))</f>
        <v>43275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43213</v>
      </c>
      <c r="C21" s="5">
        <f>IF(DAY(AvrDim1)=1,IF(AND(YEAR(AvrDim1+23)=AnnéeCalendrier,MONTH(AvrDim1+23)=4),AvrDim1+23,""),IF(AND(YEAR(AvrDim1+30)=AnnéeCalendrier,MONTH(AvrDim1+30)=4),AvrDim1+30,""))</f>
        <v>43214</v>
      </c>
      <c r="D21" s="5">
        <f>IF(DAY(AvrDim1)=1,IF(AND(YEAR(AvrDim1+24)=AnnéeCalendrier,MONTH(AvrDim1+24)=4),AvrDim1+24,""),IF(AND(YEAR(AvrDim1+31)=AnnéeCalendrier,MONTH(AvrDim1+31)=4),AvrDim1+31,""))</f>
        <v>43215</v>
      </c>
      <c r="E21" s="5">
        <f>IF(DAY(AvrDim1)=1,IF(AND(YEAR(AvrDim1+25)=AnnéeCalendrier,MONTH(AvrDim1+25)=4),AvrDim1+25,""),IF(AND(YEAR(AvrDim1+32)=AnnéeCalendrier,MONTH(AvrDim1+32)=4),AvrDim1+32,""))</f>
        <v>43216</v>
      </c>
      <c r="F21" s="5">
        <f>IF(DAY(AvrDim1)=1,IF(AND(YEAR(AvrDim1+26)=AnnéeCalendrier,MONTH(AvrDim1+26)=4),AvrDim1+26,""),IF(AND(YEAR(AvrDim1+33)=AnnéeCalendrier,MONTH(AvrDim1+33)=4),AvrDim1+33,""))</f>
        <v>43217</v>
      </c>
      <c r="G21" s="5">
        <f>IF(DAY(AvrDim1)=1,IF(AND(YEAR(AvrDim1+27)=AnnéeCalendrier,MONTH(AvrDim1+27)=4),AvrDim1+27,""),IF(AND(YEAR(AvrDim1+34)=AnnéeCalendrier,MONTH(AvrDim1+34)=4),AvrDim1+34,""))</f>
        <v>43218</v>
      </c>
      <c r="H21" s="7">
        <f>IF(DAY(AvrDim1)=1,IF(AND(YEAR(AvrDim1+28)=AnnéeCalendrier,MONTH(AvrDim1+28)=4),AvrDim1+28,""),IF(AND(YEAR(AvrDim1+35)=AnnéeCalendrier,MONTH(AvrDim1+35)=4),AvrDim1+35,""))</f>
        <v>43219</v>
      </c>
      <c r="I21" s="4"/>
      <c r="J21" s="6">
        <f>IF(DAY(MaiDim1)=1,IF(AND(YEAR(MaiDim1+22)=AnnéeCalendrier,MONTH(MaiDim1+22)=5),MaiDim1+22,""),IF(AND(YEAR(MaiDim1+29)=AnnéeCalendrier,MONTH(MaiDim1+29)=5),MaiDim1+29,""))</f>
        <v>43248</v>
      </c>
      <c r="K21" s="5">
        <f>IF(DAY(MaiDim1)=1,IF(AND(YEAR(MaiDim1+23)=AnnéeCalendrier,MONTH(MaiDim1+23)=5),MaiDim1+23,""),IF(AND(YEAR(MaiDim1+30)=AnnéeCalendrier,MONTH(MaiDim1+30)=5),MaiDim1+30,""))</f>
        <v>43249</v>
      </c>
      <c r="L21" s="5">
        <f>IF(DAY(MaiDim1)=1,IF(AND(YEAR(MaiDim1+24)=AnnéeCalendrier,MONTH(MaiDim1+24)=5),MaiDim1+24,""),IF(AND(YEAR(MaiDim1+31)=AnnéeCalendrier,MONTH(MaiDim1+31)=5),MaiDim1+31,""))</f>
        <v>43250</v>
      </c>
      <c r="M21" s="5">
        <f>IF(DAY(MaiDim1)=1,IF(AND(YEAR(MaiDim1+25)=AnnéeCalendrier,MONTH(MaiDim1+25)=5),MaiDim1+25,""),IF(AND(YEAR(MaiDim1+32)=AnnéeCalendrier,MONTH(MaiDim1+32)=5),MaiDim1+32,""))</f>
        <v>43251</v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43276</v>
      </c>
      <c r="S21" s="5">
        <f>IF(DAY(JunDim1)=1,IF(AND(YEAR(JunDim1+23)=AnnéeCalendrier,MONTH(JunDim1+23)=6),JunDim1+23,""),IF(AND(YEAR(JunDim1+30)=AnnéeCalendrier,MONTH(JunDim1+30)=6),JunDim1+30,""))</f>
        <v>43277</v>
      </c>
      <c r="T21" s="5">
        <f>IF(DAY(JunDim1)=1,IF(AND(YEAR(JunDim1+24)=AnnéeCalendrier,MONTH(JunDim1+24)=6),JunDim1+24,""),IF(AND(YEAR(JunDim1+31)=AnnéeCalendrier,MONTH(JunDim1+31)=6),JunDim1+31,""))</f>
        <v>43278</v>
      </c>
      <c r="U21" s="5">
        <f>IF(DAY(JunDim1)=1,IF(AND(YEAR(JunDim1+25)=AnnéeCalendrier,MONTH(JunDim1+25)=6),JunDim1+25,""),IF(AND(YEAR(JunDim1+32)=AnnéeCalendrier,MONTH(JunDim1+32)=6),JunDim1+32,""))</f>
        <v>43279</v>
      </c>
      <c r="V21" s="5">
        <f>IF(DAY(JunDim1)=1,IF(AND(YEAR(JunDim1+26)=AnnéeCalendrier,MONTH(JunDim1+26)=6),JunDim1+26,""),IF(AND(YEAR(JunDim1+33)=AnnéeCalendrier,MONTH(JunDim1+33)=6),JunDim1+33,""))</f>
        <v>43280</v>
      </c>
      <c r="W21" s="5">
        <f>IF(DAY(JunDim1)=1,IF(AND(YEAR(JunDim1+27)=AnnéeCalendrier,MONTH(JunDim1+27)=6),JunDim1+27,""),IF(AND(YEAR(JunDim1+34)=AnnéeCalendrier,MONTH(JunDim1+34)=6),JunDim1+34,""))</f>
        <v>43281</v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>
        <f>IF(DAY(AvrDim1)=1,IF(AND(YEAR(AvrDim1+29)=AnnéeCalendrier,MONTH(AvrDim1+29)=4),AvrDim1+29,""),IF(AND(YEAR(AvrDim1+36)=AnnéeCalendrier,MONTH(AvrDim1+36)=4),AvrDim1+36,""))</f>
        <v>43220</v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 t="str">
        <f>IF(DAY(JulDim1)=1,"",IF(AND(YEAR(JulDim1+6)=AnnéeCalendrier,MONTH(JulDim1+6)=7),JulDim1+6,""))</f>
        <v/>
      </c>
      <c r="H26" s="7">
        <f>IF(DAY(JulDim1)=1,IF(AND(YEAR(JulDim1)=AnnéeCalendrier,MONTH(JulDim1)=7),JulDim1,""),IF(AND(YEAR(JulDim1+7)=AnnéeCalendrier,MONTH(JulDim1+7)=7),JulDim1+7,""))</f>
        <v>43282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>
        <f>IF(DAY(AouDim1)=1,"",IF(AND(YEAR(AouDim1+3)=AnnéeCalendrier,MONTH(AouDim1+3)=8),AouDim1+3,""))</f>
        <v>43313</v>
      </c>
      <c r="M26" s="5">
        <f>IF(DAY(AouDim1)=1,"",IF(AND(YEAR(AouDim1+4)=AnnéeCalendrier,MONTH(AouDim1+4)=8),AouDim1+4,""))</f>
        <v>43314</v>
      </c>
      <c r="N26" s="5">
        <f>IF(DAY(AouDim1)=1,"",IF(AND(YEAR(AouDim1+5)=AnnéeCalendrier,MONTH(AouDim1+5)=8),AouDim1+5,""))</f>
        <v>43315</v>
      </c>
      <c r="O26" s="5">
        <f>IF(DAY(AouDim1)=1,"",IF(AND(YEAR(AouDim1+6)=AnnéeCalendrier,MONTH(AouDim1+6)=8),AouDim1+6,""))</f>
        <v>43316</v>
      </c>
      <c r="P26" s="7">
        <f>IF(DAY(AouDim1)=1,IF(AND(YEAR(AouDim1)=AnnéeCalendrier,MONTH(AouDim1)=8),AouDim1,""),IF(AND(YEAR(AouDim1+7)=AnnéeCalendrier,MONTH(AouDim1+7)=8),AouDim1+7,""))</f>
        <v>43317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>
        <f>IF(DAY(SepDim1)=1,"",IF(AND(YEAR(SepDim1+6)=AnnéeCalendrier,MONTH(SepDim1+6)=9),SepDim1+6,""))</f>
        <v>43344</v>
      </c>
      <c r="X26" s="7">
        <f>IF(DAY(SepDim1)=1,IF(AND(YEAR(SepDim1)=AnnéeCalendrier,MONTH(SepDim1)=9),SepDim1,""),IF(AND(YEAR(SepDim1+7)=AnnéeCalendrier,MONTH(SepDim1+7)=9),SepDim1+7,""))</f>
        <v>43345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43283</v>
      </c>
      <c r="C27" s="5">
        <f>IF(DAY(JulDim1)=1,IF(AND(YEAR(JulDim1+2)=AnnéeCalendrier,MONTH(JulDim1+2)=7),JulDim1+2,""),IF(AND(YEAR(JulDim1+9)=AnnéeCalendrier,MONTH(JulDim1+9)=7),JulDim1+9,""))</f>
        <v>43284</v>
      </c>
      <c r="D27" s="5">
        <f>IF(DAY(JulDim1)=1,IF(AND(YEAR(JulDim1+3)=AnnéeCalendrier,MONTH(JulDim1+3)=7),JulDim1+3,""),IF(AND(YEAR(JulDim1+10)=AnnéeCalendrier,MONTH(JulDim1+10)=7),JulDim1+10,""))</f>
        <v>43285</v>
      </c>
      <c r="E27" s="5">
        <f>IF(DAY(JulDim1)=1,IF(AND(YEAR(JulDim1+4)=AnnéeCalendrier,MONTH(JulDim1+4)=7),JulDim1+4,""),IF(AND(YEAR(JulDim1+11)=AnnéeCalendrier,MONTH(JulDim1+11)=7),JulDim1+11,""))</f>
        <v>43286</v>
      </c>
      <c r="F27" s="5">
        <f>IF(DAY(JulDim1)=1,IF(AND(YEAR(JulDim1+5)=AnnéeCalendrier,MONTH(JulDim1+5)=7),JulDim1+5,""),IF(AND(YEAR(JulDim1+12)=AnnéeCalendrier,MONTH(JulDim1+12)=7),JulDim1+12,""))</f>
        <v>43287</v>
      </c>
      <c r="G27" s="5">
        <f>IF(DAY(JulDim1)=1,IF(AND(YEAR(JulDim1+6)=AnnéeCalendrier,MONTH(JulDim1+6)=7),JulDim1+6,""),IF(AND(YEAR(JulDim1+13)=AnnéeCalendrier,MONTH(JulDim1+13)=7),JulDim1+13,""))</f>
        <v>43288</v>
      </c>
      <c r="H27" s="7">
        <f>IF(DAY(JulDim1)=1,IF(AND(YEAR(JulDim1+7)=AnnéeCalendrier,MONTH(JulDim1+7)=7),JulDim1+7,""),IF(AND(YEAR(JulDim1+14)=AnnéeCalendrier,MONTH(JulDim1+14)=7),JulDim1+14,""))</f>
        <v>43289</v>
      </c>
      <c r="J27" s="6">
        <f>IF(DAY(AouDim1)=1,IF(AND(YEAR(AouDim1+1)=AnnéeCalendrier,MONTH(AouDim1+1)=8),AouDim1+1,""),IF(AND(YEAR(AouDim1+8)=AnnéeCalendrier,MONTH(AouDim1+8)=8),AouDim1+8,""))</f>
        <v>43318</v>
      </c>
      <c r="K27" s="5">
        <f>IF(DAY(AouDim1)=1,IF(AND(YEAR(AouDim1+2)=AnnéeCalendrier,MONTH(AouDim1+2)=8),AouDim1+2,""),IF(AND(YEAR(AouDim1+9)=AnnéeCalendrier,MONTH(AouDim1+9)=8),AouDim1+9,""))</f>
        <v>43319</v>
      </c>
      <c r="L27" s="5">
        <f>IF(DAY(AouDim1)=1,IF(AND(YEAR(AouDim1+3)=AnnéeCalendrier,MONTH(AouDim1+3)=8),AouDim1+3,""),IF(AND(YEAR(AouDim1+10)=AnnéeCalendrier,MONTH(AouDim1+10)=8),AouDim1+10,""))</f>
        <v>43320</v>
      </c>
      <c r="M27" s="5">
        <f>IF(DAY(AouDim1)=1,IF(AND(YEAR(AouDim1+4)=AnnéeCalendrier,MONTH(AouDim1+4)=8),AouDim1+4,""),IF(AND(YEAR(AouDim1+11)=AnnéeCalendrier,MONTH(AouDim1+11)=8),AouDim1+11,""))</f>
        <v>43321</v>
      </c>
      <c r="N27" s="5">
        <f>IF(DAY(AouDim1)=1,IF(AND(YEAR(AouDim1+5)=AnnéeCalendrier,MONTH(AouDim1+5)=8),AouDim1+5,""),IF(AND(YEAR(AouDim1+12)=AnnéeCalendrier,MONTH(AouDim1+12)=8),AouDim1+12,""))</f>
        <v>43322</v>
      </c>
      <c r="O27" s="5">
        <f>IF(DAY(AouDim1)=1,IF(AND(YEAR(AouDim1+6)=AnnéeCalendrier,MONTH(AouDim1+6)=8),AouDim1+6,""),IF(AND(YEAR(AouDim1+13)=AnnéeCalendrier,MONTH(AouDim1+13)=8),AouDim1+13,""))</f>
        <v>43323</v>
      </c>
      <c r="P27" s="7">
        <f>IF(DAY(AouDim1)=1,IF(AND(YEAR(AouDim1+7)=AnnéeCalendrier,MONTH(AouDim1+7)=8),AouDim1+7,""),IF(AND(YEAR(AouDim1+14)=AnnéeCalendrier,MONTH(AouDim1+14)=8),AouDim1+14,""))</f>
        <v>43324</v>
      </c>
      <c r="Q27" s="1"/>
      <c r="R27" s="6">
        <f>IF(DAY(SepDim1)=1,IF(AND(YEAR(SepDim1+1)=AnnéeCalendrier,MONTH(SepDim1+1)=9),SepDim1+1,""),IF(AND(YEAR(SepDim1+8)=AnnéeCalendrier,MONTH(SepDim1+8)=9),SepDim1+8,""))</f>
        <v>43346</v>
      </c>
      <c r="S27" s="5">
        <f>IF(DAY(SepDim1)=1,IF(AND(YEAR(SepDim1+2)=AnnéeCalendrier,MONTH(SepDim1+2)=9),SepDim1+2,""),IF(AND(YEAR(SepDim1+9)=AnnéeCalendrier,MONTH(SepDim1+9)=9),SepDim1+9,""))</f>
        <v>43347</v>
      </c>
      <c r="T27" s="5">
        <f>IF(DAY(SepDim1)=1,IF(AND(YEAR(SepDim1+3)=AnnéeCalendrier,MONTH(SepDim1+3)=9),SepDim1+3,""),IF(AND(YEAR(SepDim1+10)=AnnéeCalendrier,MONTH(SepDim1+10)=9),SepDim1+10,""))</f>
        <v>43348</v>
      </c>
      <c r="U27" s="5">
        <f>IF(DAY(SepDim1)=1,IF(AND(YEAR(SepDim1+4)=AnnéeCalendrier,MONTH(SepDim1+4)=9),SepDim1+4,""),IF(AND(YEAR(SepDim1+11)=AnnéeCalendrier,MONTH(SepDim1+11)=9),SepDim1+11,""))</f>
        <v>43349</v>
      </c>
      <c r="V27" s="5">
        <f>IF(DAY(SepDim1)=1,IF(AND(YEAR(SepDim1+5)=AnnéeCalendrier,MONTH(SepDim1+5)=9),SepDim1+5,""),IF(AND(YEAR(SepDim1+12)=AnnéeCalendrier,MONTH(SepDim1+12)=9),SepDim1+12,""))</f>
        <v>43350</v>
      </c>
      <c r="W27" s="5">
        <f>IF(DAY(SepDim1)=1,IF(AND(YEAR(SepDim1+6)=AnnéeCalendrier,MONTH(SepDim1+6)=9),SepDim1+6,""),IF(AND(YEAR(SepDim1+13)=AnnéeCalendrier,MONTH(SepDim1+13)=9),SepDim1+13,""))</f>
        <v>43351</v>
      </c>
      <c r="X27" s="7">
        <f>IF(DAY(SepDim1)=1,IF(AND(YEAR(SepDim1+7)=AnnéeCalendrier,MONTH(SepDim1+7)=9),SepDim1+7,""),IF(AND(YEAR(SepDim1+14)=AnnéeCalendrier,MONTH(SepDim1+14)=9),SepDim1+14,""))</f>
        <v>43352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43290</v>
      </c>
      <c r="C28" s="5">
        <f>IF(DAY(JulDim1)=1,IF(AND(YEAR(JulDim1+9)=AnnéeCalendrier,MONTH(JulDim1+9)=7),JulDim1+9,""),IF(AND(YEAR(JulDim1+16)=AnnéeCalendrier,MONTH(JulDim1+16)=7),JulDim1+16,""))</f>
        <v>43291</v>
      </c>
      <c r="D28" s="5">
        <f>IF(DAY(JulDim1)=1,IF(AND(YEAR(JulDim1+10)=AnnéeCalendrier,MONTH(JulDim1+10)=7),JulDim1+10,""),IF(AND(YEAR(JulDim1+17)=AnnéeCalendrier,MONTH(JulDim1+17)=7),JulDim1+17,""))</f>
        <v>43292</v>
      </c>
      <c r="E28" s="5">
        <f>IF(DAY(JulDim1)=1,IF(AND(YEAR(JulDim1+11)=AnnéeCalendrier,MONTH(JulDim1+11)=7),JulDim1+11,""),IF(AND(YEAR(JulDim1+18)=AnnéeCalendrier,MONTH(JulDim1+18)=7),JulDim1+18,""))</f>
        <v>43293</v>
      </c>
      <c r="F28" s="5">
        <f>IF(DAY(JulDim1)=1,IF(AND(YEAR(JulDim1+12)=AnnéeCalendrier,MONTH(JulDim1+12)=7),JulDim1+12,""),IF(AND(YEAR(JulDim1+19)=AnnéeCalendrier,MONTH(JulDim1+19)=7),JulDim1+19,""))</f>
        <v>43294</v>
      </c>
      <c r="G28" s="5">
        <f>IF(DAY(JulDim1)=1,IF(AND(YEAR(JulDim1+13)=AnnéeCalendrier,MONTH(JulDim1+13)=7),JulDim1+13,""),IF(AND(YEAR(JulDim1+20)=AnnéeCalendrier,MONTH(JulDim1+20)=7),JulDim1+20,""))</f>
        <v>43295</v>
      </c>
      <c r="H28" s="7">
        <f>IF(DAY(JulDim1)=1,IF(AND(YEAR(JulDim1+14)=AnnéeCalendrier,MONTH(JulDim1+14)=7),JulDim1+14,""),IF(AND(YEAR(JulDim1+21)=AnnéeCalendrier,MONTH(JulDim1+21)=7),JulDim1+21,""))</f>
        <v>43296</v>
      </c>
      <c r="J28" s="6">
        <f>IF(DAY(AouDim1)=1,IF(AND(YEAR(AouDim1+8)=AnnéeCalendrier,MONTH(AouDim1+8)=8),AouDim1+8,""),IF(AND(YEAR(AouDim1+15)=AnnéeCalendrier,MONTH(AouDim1+15)=8),AouDim1+15,""))</f>
        <v>43325</v>
      </c>
      <c r="K28" s="5">
        <f>IF(DAY(AouDim1)=1,IF(AND(YEAR(AouDim1+9)=AnnéeCalendrier,MONTH(AouDim1+9)=8),AouDim1+9,""),IF(AND(YEAR(AouDim1+16)=AnnéeCalendrier,MONTH(AouDim1+16)=8),AouDim1+16,""))</f>
        <v>43326</v>
      </c>
      <c r="L28" s="5">
        <f>IF(DAY(AouDim1)=1,IF(AND(YEAR(AouDim1+10)=AnnéeCalendrier,MONTH(AouDim1+10)=8),AouDim1+10,""),IF(AND(YEAR(AouDim1+17)=AnnéeCalendrier,MONTH(AouDim1+17)=8),AouDim1+17,""))</f>
        <v>43327</v>
      </c>
      <c r="M28" s="5">
        <f>IF(DAY(AouDim1)=1,IF(AND(YEAR(AouDim1+11)=AnnéeCalendrier,MONTH(AouDim1+11)=8),AouDim1+11,""),IF(AND(YEAR(AouDim1+18)=AnnéeCalendrier,MONTH(AouDim1+18)=8),AouDim1+18,""))</f>
        <v>43328</v>
      </c>
      <c r="N28" s="5">
        <f>IF(DAY(AouDim1)=1,IF(AND(YEAR(AouDim1+12)=AnnéeCalendrier,MONTH(AouDim1+12)=8),AouDim1+12,""),IF(AND(YEAR(AouDim1+19)=AnnéeCalendrier,MONTH(AouDim1+19)=8),AouDim1+19,""))</f>
        <v>43329</v>
      </c>
      <c r="O28" s="5">
        <f>IF(DAY(AouDim1)=1,IF(AND(YEAR(AouDim1+13)=AnnéeCalendrier,MONTH(AouDim1+13)=8),AouDim1+13,""),IF(AND(YEAR(AouDim1+20)=AnnéeCalendrier,MONTH(AouDim1+20)=8),AouDim1+20,""))</f>
        <v>43330</v>
      </c>
      <c r="P28" s="7">
        <f>IF(DAY(AouDim1)=1,IF(AND(YEAR(AouDim1+14)=AnnéeCalendrier,MONTH(AouDim1+14)=8),AouDim1+14,""),IF(AND(YEAR(AouDim1+21)=AnnéeCalendrier,MONTH(AouDim1+21)=8),AouDim1+21,""))</f>
        <v>43331</v>
      </c>
      <c r="Q28" s="1"/>
      <c r="R28" s="6">
        <f>IF(DAY(SepDim1)=1,IF(AND(YEAR(SepDim1+8)=AnnéeCalendrier,MONTH(SepDim1+8)=9),SepDim1+8,""),IF(AND(YEAR(SepDim1+15)=AnnéeCalendrier,MONTH(SepDim1+15)=9),SepDim1+15,""))</f>
        <v>43353</v>
      </c>
      <c r="S28" s="5">
        <f>IF(DAY(SepDim1)=1,IF(AND(YEAR(SepDim1+9)=AnnéeCalendrier,MONTH(SepDim1+9)=9),SepDim1+9,""),IF(AND(YEAR(SepDim1+16)=AnnéeCalendrier,MONTH(SepDim1+16)=9),SepDim1+16,""))</f>
        <v>43354</v>
      </c>
      <c r="T28" s="5">
        <f>IF(DAY(SepDim1)=1,IF(AND(YEAR(SepDim1+10)=AnnéeCalendrier,MONTH(SepDim1+10)=9),SepDim1+10,""),IF(AND(YEAR(SepDim1+17)=AnnéeCalendrier,MONTH(SepDim1+17)=9),SepDim1+17,""))</f>
        <v>43355</v>
      </c>
      <c r="U28" s="5">
        <f>IF(DAY(SepDim1)=1,IF(AND(YEAR(SepDim1+11)=AnnéeCalendrier,MONTH(SepDim1+11)=9),SepDim1+11,""),IF(AND(YEAR(SepDim1+18)=AnnéeCalendrier,MONTH(SepDim1+18)=9),SepDim1+18,""))</f>
        <v>43356</v>
      </c>
      <c r="V28" s="5">
        <f>IF(DAY(SepDim1)=1,IF(AND(YEAR(SepDim1+12)=AnnéeCalendrier,MONTH(SepDim1+12)=9),SepDim1+12,""),IF(AND(YEAR(SepDim1+19)=AnnéeCalendrier,MONTH(SepDim1+19)=9),SepDim1+19,""))</f>
        <v>43357</v>
      </c>
      <c r="W28" s="5">
        <f>IF(DAY(SepDim1)=1,IF(AND(YEAR(SepDim1+13)=AnnéeCalendrier,MONTH(SepDim1+13)=9),SepDim1+13,""),IF(AND(YEAR(SepDim1+20)=AnnéeCalendrier,MONTH(SepDim1+20)=9),SepDim1+20,""))</f>
        <v>43358</v>
      </c>
      <c r="X28" s="7">
        <f>IF(DAY(SepDim1)=1,IF(AND(YEAR(SepDim1+14)=AnnéeCalendrier,MONTH(SepDim1+14)=9),SepDim1+14,""),IF(AND(YEAR(SepDim1+21)=AnnéeCalendrier,MONTH(SepDim1+21)=9),SepDim1+21,""))</f>
        <v>43359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43297</v>
      </c>
      <c r="C29" s="5">
        <f>IF(DAY(JulDim1)=1,IF(AND(YEAR(JulDim1+16)=AnnéeCalendrier,MONTH(JulDim1+16)=7),JulDim1+16,""),IF(AND(YEAR(JulDim1+23)=AnnéeCalendrier,MONTH(JulDim1+23)=7),JulDim1+23,""))</f>
        <v>43298</v>
      </c>
      <c r="D29" s="5">
        <f>IF(DAY(JulDim1)=1,IF(AND(YEAR(JulDim1+17)=AnnéeCalendrier,MONTH(JulDim1+17)=7),JulDim1+17,""),IF(AND(YEAR(JulDim1+24)=AnnéeCalendrier,MONTH(JulDim1+24)=7),JulDim1+24,""))</f>
        <v>43299</v>
      </c>
      <c r="E29" s="5">
        <f>IF(DAY(JulDim1)=1,IF(AND(YEAR(JulDim1+18)=AnnéeCalendrier,MONTH(JulDim1+18)=7),JulDim1+18,""),IF(AND(YEAR(JulDim1+25)=AnnéeCalendrier,MONTH(JulDim1+25)=7),JulDim1+25,""))</f>
        <v>43300</v>
      </c>
      <c r="F29" s="5">
        <f>IF(DAY(JulDim1)=1,IF(AND(YEAR(JulDim1+19)=AnnéeCalendrier,MONTH(JulDim1+19)=7),JulDim1+19,""),IF(AND(YEAR(JulDim1+26)=AnnéeCalendrier,MONTH(JulDim1+26)=7),JulDim1+26,""))</f>
        <v>43301</v>
      </c>
      <c r="G29" s="5">
        <f>IF(DAY(JulDim1)=1,IF(AND(YEAR(JulDim1+20)=AnnéeCalendrier,MONTH(JulDim1+20)=7),JulDim1+20,""),IF(AND(YEAR(JulDim1+27)=AnnéeCalendrier,MONTH(JulDim1+27)=7),JulDim1+27,""))</f>
        <v>43302</v>
      </c>
      <c r="H29" s="7">
        <f>IF(DAY(JulDim1)=1,IF(AND(YEAR(JulDim1+21)=AnnéeCalendrier,MONTH(JulDim1+21)=7),JulDim1+21,""),IF(AND(YEAR(JulDim1+28)=AnnéeCalendrier,MONTH(JulDim1+28)=7),JulDim1+28,""))</f>
        <v>43303</v>
      </c>
      <c r="J29" s="6">
        <f>IF(DAY(AouDim1)=1,IF(AND(YEAR(AouDim1+15)=AnnéeCalendrier,MONTH(AouDim1+15)=8),AouDim1+15,""),IF(AND(YEAR(AouDim1+22)=AnnéeCalendrier,MONTH(AouDim1+22)=8),AouDim1+22,""))</f>
        <v>43332</v>
      </c>
      <c r="K29" s="5">
        <f>IF(DAY(AouDim1)=1,IF(AND(YEAR(AouDim1+16)=AnnéeCalendrier,MONTH(AouDim1+16)=8),AouDim1+16,""),IF(AND(YEAR(AouDim1+23)=AnnéeCalendrier,MONTH(AouDim1+23)=8),AouDim1+23,""))</f>
        <v>43333</v>
      </c>
      <c r="L29" s="5">
        <f>IF(DAY(AouDim1)=1,IF(AND(YEAR(AouDim1+17)=AnnéeCalendrier,MONTH(AouDim1+17)=8),AouDim1+17,""),IF(AND(YEAR(AouDim1+24)=AnnéeCalendrier,MONTH(AouDim1+24)=8),AouDim1+24,""))</f>
        <v>43334</v>
      </c>
      <c r="M29" s="5">
        <f>IF(DAY(AouDim1)=1,IF(AND(YEAR(AouDim1+18)=AnnéeCalendrier,MONTH(AouDim1+18)=8),AouDim1+18,""),IF(AND(YEAR(AouDim1+25)=AnnéeCalendrier,MONTH(AouDim1+25)=8),AouDim1+25,""))</f>
        <v>43335</v>
      </c>
      <c r="N29" s="5">
        <f>IF(DAY(AouDim1)=1,IF(AND(YEAR(AouDim1+19)=AnnéeCalendrier,MONTH(AouDim1+19)=8),AouDim1+19,""),IF(AND(YEAR(AouDim1+26)=AnnéeCalendrier,MONTH(AouDim1+26)=8),AouDim1+26,""))</f>
        <v>43336</v>
      </c>
      <c r="O29" s="5">
        <f>IF(DAY(AouDim1)=1,IF(AND(YEAR(AouDim1+20)=AnnéeCalendrier,MONTH(AouDim1+20)=8),AouDim1+20,""),IF(AND(YEAR(AouDim1+27)=AnnéeCalendrier,MONTH(AouDim1+27)=8),AouDim1+27,""))</f>
        <v>43337</v>
      </c>
      <c r="P29" s="7">
        <f>IF(DAY(AouDim1)=1,IF(AND(YEAR(AouDim1+21)=AnnéeCalendrier,MONTH(AouDim1+21)=8),AouDim1+21,""),IF(AND(YEAR(AouDim1+28)=AnnéeCalendrier,MONTH(AouDim1+28)=8),AouDim1+28,""))</f>
        <v>43338</v>
      </c>
      <c r="Q29" s="1"/>
      <c r="R29" s="6">
        <f>IF(DAY(SepDim1)=1,IF(AND(YEAR(SepDim1+15)=AnnéeCalendrier,MONTH(SepDim1+15)=9),SepDim1+15,""),IF(AND(YEAR(SepDim1+22)=AnnéeCalendrier,MONTH(SepDim1+22)=9),SepDim1+22,""))</f>
        <v>43360</v>
      </c>
      <c r="S29" s="5">
        <f>IF(DAY(SepDim1)=1,IF(AND(YEAR(SepDim1+16)=AnnéeCalendrier,MONTH(SepDim1+16)=9),SepDim1+16,""),IF(AND(YEAR(SepDim1+23)=AnnéeCalendrier,MONTH(SepDim1+23)=9),SepDim1+23,""))</f>
        <v>43361</v>
      </c>
      <c r="T29" s="5">
        <f>IF(DAY(SepDim1)=1,IF(AND(YEAR(SepDim1+17)=AnnéeCalendrier,MONTH(SepDim1+17)=9),SepDim1+17,""),IF(AND(YEAR(SepDim1+24)=AnnéeCalendrier,MONTH(SepDim1+24)=9),SepDim1+24,""))</f>
        <v>43362</v>
      </c>
      <c r="U29" s="5">
        <f>IF(DAY(SepDim1)=1,IF(AND(YEAR(SepDim1+18)=AnnéeCalendrier,MONTH(SepDim1+18)=9),SepDim1+18,""),IF(AND(YEAR(SepDim1+25)=AnnéeCalendrier,MONTH(SepDim1+25)=9),SepDim1+25,""))</f>
        <v>43363</v>
      </c>
      <c r="V29" s="5">
        <f>IF(DAY(SepDim1)=1,IF(AND(YEAR(SepDim1+19)=AnnéeCalendrier,MONTH(SepDim1+19)=9),SepDim1+19,""),IF(AND(YEAR(SepDim1+26)=AnnéeCalendrier,MONTH(SepDim1+26)=9),SepDim1+26,""))</f>
        <v>43364</v>
      </c>
      <c r="W29" s="5">
        <f>IF(DAY(SepDim1)=1,IF(AND(YEAR(SepDim1+20)=AnnéeCalendrier,MONTH(SepDim1+20)=9),SepDim1+20,""),IF(AND(YEAR(SepDim1+27)=AnnéeCalendrier,MONTH(SepDim1+27)=9),SepDim1+27,""))</f>
        <v>43365</v>
      </c>
      <c r="X29" s="7">
        <f>IF(DAY(SepDim1)=1,IF(AND(YEAR(SepDim1+21)=AnnéeCalendrier,MONTH(SepDim1+21)=9),SepDim1+21,""),IF(AND(YEAR(SepDim1+28)=AnnéeCalendrier,MONTH(SepDim1+28)=9),SepDim1+28,""))</f>
        <v>43366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43304</v>
      </c>
      <c r="C30" s="5">
        <f>IF(DAY(JulDim1)=1,IF(AND(YEAR(JulDim1+23)=AnnéeCalendrier,MONTH(JulDim1+23)=7),JulDim1+23,""),IF(AND(YEAR(JulDim1+30)=AnnéeCalendrier,MONTH(JulDim1+30)=7),JulDim1+30,""))</f>
        <v>43305</v>
      </c>
      <c r="D30" s="5">
        <f>IF(DAY(JulDim1)=1,IF(AND(YEAR(JulDim1+24)=AnnéeCalendrier,MONTH(JulDim1+24)=7),JulDim1+24,""),IF(AND(YEAR(JulDim1+31)=AnnéeCalendrier,MONTH(JulDim1+31)=7),JulDim1+31,""))</f>
        <v>43306</v>
      </c>
      <c r="E30" s="5">
        <f>IF(DAY(JulDim1)=1,IF(AND(YEAR(JulDim1+25)=AnnéeCalendrier,MONTH(JulDim1+25)=7),JulDim1+25,""),IF(AND(YEAR(JulDim1+32)=AnnéeCalendrier,MONTH(JulDim1+32)=7),JulDim1+32,""))</f>
        <v>43307</v>
      </c>
      <c r="F30" s="5">
        <f>IF(DAY(JulDim1)=1,IF(AND(YEAR(JulDim1+26)=AnnéeCalendrier,MONTH(JulDim1+26)=7),JulDim1+26,""),IF(AND(YEAR(JulDim1+33)=AnnéeCalendrier,MONTH(JulDim1+33)=7),JulDim1+33,""))</f>
        <v>43308</v>
      </c>
      <c r="G30" s="5">
        <f>IF(DAY(JulDim1)=1,IF(AND(YEAR(JulDim1+27)=AnnéeCalendrier,MONTH(JulDim1+27)=7),JulDim1+27,""),IF(AND(YEAR(JulDim1+34)=AnnéeCalendrier,MONTH(JulDim1+34)=7),JulDim1+34,""))</f>
        <v>43309</v>
      </c>
      <c r="H30" s="7">
        <f>IF(DAY(JulDim1)=1,IF(AND(YEAR(JulDim1+28)=AnnéeCalendrier,MONTH(JulDim1+28)=7),JulDim1+28,""),IF(AND(YEAR(JulDim1+35)=AnnéeCalendrier,MONTH(JulDim1+35)=7),JulDim1+35,""))</f>
        <v>43310</v>
      </c>
      <c r="J30" s="6">
        <f>IF(DAY(AouDim1)=1,IF(AND(YEAR(AouDim1+22)=AnnéeCalendrier,MONTH(AouDim1+22)=8),AouDim1+22,""),IF(AND(YEAR(AouDim1+29)=AnnéeCalendrier,MONTH(AouDim1+29)=8),AouDim1+29,""))</f>
        <v>43339</v>
      </c>
      <c r="K30" s="5">
        <f>IF(DAY(AouDim1)=1,IF(AND(YEAR(AouDim1+23)=AnnéeCalendrier,MONTH(AouDim1+23)=8),AouDim1+23,""),IF(AND(YEAR(AouDim1+30)=AnnéeCalendrier,MONTH(AouDim1+30)=8),AouDim1+30,""))</f>
        <v>43340</v>
      </c>
      <c r="L30" s="5">
        <f>IF(DAY(AouDim1)=1,IF(AND(YEAR(AouDim1+24)=AnnéeCalendrier,MONTH(AouDim1+24)=8),AouDim1+24,""),IF(AND(YEAR(AouDim1+31)=AnnéeCalendrier,MONTH(AouDim1+31)=8),AouDim1+31,""))</f>
        <v>43341</v>
      </c>
      <c r="M30" s="5">
        <f>IF(DAY(AouDim1)=1,IF(AND(YEAR(AouDim1+25)=AnnéeCalendrier,MONTH(AouDim1+25)=8),AouDim1+25,""),IF(AND(YEAR(AouDim1+32)=AnnéeCalendrier,MONTH(AouDim1+32)=8),AouDim1+32,""))</f>
        <v>43342</v>
      </c>
      <c r="N30" s="5">
        <f>IF(DAY(AouDim1)=1,IF(AND(YEAR(AouDim1+26)=AnnéeCalendrier,MONTH(AouDim1+26)=8),AouDim1+26,""),IF(AND(YEAR(AouDim1+33)=AnnéeCalendrier,MONTH(AouDim1+33)=8),AouDim1+33,""))</f>
        <v>43343</v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43367</v>
      </c>
      <c r="S30" s="5">
        <f>IF(DAY(SepDim1)=1,IF(AND(YEAR(SepDim1+23)=AnnéeCalendrier,MONTH(SepDim1+23)=9),SepDim1+23,""),IF(AND(YEAR(SepDim1+30)=AnnéeCalendrier,MONTH(SepDim1+30)=9),SepDim1+30,""))</f>
        <v>43368</v>
      </c>
      <c r="T30" s="5">
        <f>IF(DAY(SepDim1)=1,IF(AND(YEAR(SepDim1+24)=AnnéeCalendrier,MONTH(SepDim1+24)=9),SepDim1+24,""),IF(AND(YEAR(SepDim1+31)=AnnéeCalendrier,MONTH(SepDim1+31)=9),SepDim1+31,""))</f>
        <v>43369</v>
      </c>
      <c r="U30" s="5">
        <f>IF(DAY(SepDim1)=1,IF(AND(YEAR(SepDim1+25)=AnnéeCalendrier,MONTH(SepDim1+25)=9),SepDim1+25,""),IF(AND(YEAR(SepDim1+32)=AnnéeCalendrier,MONTH(SepDim1+32)=9),SepDim1+32,""))</f>
        <v>43370</v>
      </c>
      <c r="V30" s="5">
        <f>IF(DAY(SepDim1)=1,IF(AND(YEAR(SepDim1+26)=AnnéeCalendrier,MONTH(SepDim1+26)=9),SepDim1+26,""),IF(AND(YEAR(SepDim1+33)=AnnéeCalendrier,MONTH(SepDim1+33)=9),SepDim1+33,""))</f>
        <v>43371</v>
      </c>
      <c r="W30" s="5">
        <f>IF(DAY(SepDim1)=1,IF(AND(YEAR(SepDim1+27)=AnnéeCalendrier,MONTH(SepDim1+27)=9),SepDim1+27,""),IF(AND(YEAR(SepDim1+34)=AnnéeCalendrier,MONTH(SepDim1+34)=9),SepDim1+34,""))</f>
        <v>43372</v>
      </c>
      <c r="X30" s="7">
        <f>IF(DAY(SepDim1)=1,IF(AND(YEAR(SepDim1+28)=AnnéeCalendrier,MONTH(SepDim1+28)=9),SepDim1+28,""),IF(AND(YEAR(SepDim1+35)=AnnéeCalendrier,MONTH(SepDim1+35)=9),SepDim1+35,""))</f>
        <v>43373</v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43311</v>
      </c>
      <c r="C31" s="9">
        <f>IF(DAY(JulDim1)=1,IF(AND(YEAR(JulDim1+30)=AnnéeCalendrier,MONTH(JulDim1+30)=7),JulDim1+30,""),IF(AND(YEAR(JulDim1+37)=AnnéeCalendrier,MONTH(JulDim1+37)=7),JulDim1+37,""))</f>
        <v>43312</v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>
        <f>IF(DAY(OctDim1)=1,"",IF(AND(YEAR(OctDim1+1)=AnnéeCalendrier,MONTH(OctDim1+1)=10),OctDim1+1,""))</f>
        <v>43374</v>
      </c>
      <c r="C35" s="5">
        <f>IF(DAY(OctDim1)=1,"",IF(AND(YEAR(OctDim1+2)=AnnéeCalendrier,MONTH(OctDim1+2)=10),OctDim1+2,""))</f>
        <v>43375</v>
      </c>
      <c r="D35" s="5">
        <f>IF(DAY(OctDim1)=1,"",IF(AND(YEAR(OctDim1+3)=AnnéeCalendrier,MONTH(OctDim1+3)=10),OctDim1+3,""))</f>
        <v>43376</v>
      </c>
      <c r="E35" s="5">
        <f>IF(DAY(OctDim1)=1,"",IF(AND(YEAR(OctDim1+4)=AnnéeCalendrier,MONTH(OctDim1+4)=10),OctDim1+4,""))</f>
        <v>43377</v>
      </c>
      <c r="F35" s="5">
        <f>IF(DAY(OctDim1)=1,"",IF(AND(YEAR(OctDim1+5)=AnnéeCalendrier,MONTH(OctDim1+5)=10),OctDim1+5,""))</f>
        <v>43378</v>
      </c>
      <c r="G35" s="5">
        <f>IF(DAY(OctDim1)=1,"",IF(AND(YEAR(OctDim1+6)=AnnéeCalendrier,MONTH(OctDim1+6)=10),OctDim1+6,""))</f>
        <v>43379</v>
      </c>
      <c r="H35" s="7">
        <f>IF(DAY(OctDim1)=1,IF(AND(YEAR(OctDim1)=AnnéeCalendrier,MONTH(OctDim1)=10),OctDim1,""),IF(AND(YEAR(OctDim1+7)=AnnéeCalendrier,MONTH(OctDim1+7)=10),OctDim1+7,""))</f>
        <v>43380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>
        <f>IF(DAY(NovDim1)=1,"",IF(AND(YEAR(NovDim1+4)=AnnéeCalendrier,MONTH(NovDim1+4)=11),NovDim1+4,""))</f>
        <v>43405</v>
      </c>
      <c r="N35" s="5">
        <f>IF(DAY(NovDim1)=1,"",IF(AND(YEAR(NovDim1+5)=AnnéeCalendrier,MONTH(NovDim1+5)=11),NovDim1+5,""))</f>
        <v>43406</v>
      </c>
      <c r="O35" s="5">
        <f>IF(DAY(NovDim1)=1,"",IF(AND(YEAR(NovDim1+6)=AnnéeCalendrier,MONTH(NovDim1+6)=11),NovDim1+6,""))</f>
        <v>43407</v>
      </c>
      <c r="P35" s="7">
        <f>IF(DAY(NovDim1)=1,IF(AND(YEAR(NovDim1)=AnnéeCalendrier,MONTH(NovDim1)=11),NovDim1,""),IF(AND(YEAR(NovDim1+7)=AnnéeCalendrier,MONTH(NovDim1+7)=11),NovDim1+7,""))</f>
        <v>43408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>
        <f>IF(DAY(DécDim1)=1,"",IF(AND(YEAR(DécDim1+6)=AnnéeCalendrier,MONTH(DécDim1+6)=12),DécDim1+6,""))</f>
        <v>43435</v>
      </c>
      <c r="X35" s="7">
        <f>IF(DAY(DécDim1)=1,IF(AND(YEAR(DécDim1)=AnnéeCalendrier,MONTH(DécDim1)=12),DécDim1,""),IF(AND(YEAR(DécDim1+7)=AnnéeCalendrier,MONTH(DécDim1+7)=12),DécDim1+7,""))</f>
        <v>43436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43381</v>
      </c>
      <c r="C36" s="5">
        <f>IF(DAY(OctDim1)=1,IF(AND(YEAR(OctDim1+2)=AnnéeCalendrier,MONTH(OctDim1+2)=10),OctDim1+2,""),IF(AND(YEAR(OctDim1+9)=AnnéeCalendrier,MONTH(OctDim1+9)=10),OctDim1+9,""))</f>
        <v>43382</v>
      </c>
      <c r="D36" s="5">
        <f>IF(DAY(OctDim1)=1,IF(AND(YEAR(OctDim1+3)=AnnéeCalendrier,MONTH(OctDim1+3)=10),OctDim1+3,""),IF(AND(YEAR(OctDim1+10)=AnnéeCalendrier,MONTH(OctDim1+10)=10),OctDim1+10,""))</f>
        <v>43383</v>
      </c>
      <c r="E36" s="5">
        <f>IF(DAY(OctDim1)=1,IF(AND(YEAR(OctDim1+4)=AnnéeCalendrier,MONTH(OctDim1+4)=10),OctDim1+4,""),IF(AND(YEAR(OctDim1+11)=AnnéeCalendrier,MONTH(OctDim1+11)=10),OctDim1+11,""))</f>
        <v>43384</v>
      </c>
      <c r="F36" s="5">
        <f>IF(DAY(OctDim1)=1,IF(AND(YEAR(OctDim1+5)=AnnéeCalendrier,MONTH(OctDim1+5)=10),OctDim1+5,""),IF(AND(YEAR(OctDim1+12)=AnnéeCalendrier,MONTH(OctDim1+12)=10),OctDim1+12,""))</f>
        <v>43385</v>
      </c>
      <c r="G36" s="5">
        <f>IF(DAY(OctDim1)=1,IF(AND(YEAR(OctDim1+6)=AnnéeCalendrier,MONTH(OctDim1+6)=10),OctDim1+6,""),IF(AND(YEAR(OctDim1+13)=AnnéeCalendrier,MONTH(OctDim1+13)=10),OctDim1+13,""))</f>
        <v>43386</v>
      </c>
      <c r="H36" s="7">
        <f>IF(DAY(OctDim1)=1,IF(AND(YEAR(OctDim1+7)=AnnéeCalendrier,MONTH(OctDim1+7)=10),OctDim1+7,""),IF(AND(YEAR(OctDim1+14)=AnnéeCalendrier,MONTH(OctDim1+14)=10),OctDim1+14,""))</f>
        <v>43387</v>
      </c>
      <c r="I36" s="4"/>
      <c r="J36" s="6">
        <f>IF(DAY(NovDim1)=1,IF(AND(YEAR(NovDim1+1)=AnnéeCalendrier,MONTH(NovDim1+1)=11),NovDim1+1,""),IF(AND(YEAR(NovDim1+8)=AnnéeCalendrier,MONTH(NovDim1+8)=11),NovDim1+8,""))</f>
        <v>43409</v>
      </c>
      <c r="K36" s="5">
        <f>IF(DAY(NovDim1)=1,IF(AND(YEAR(NovDim1+2)=AnnéeCalendrier,MONTH(NovDim1+2)=11),NovDim1+2,""),IF(AND(YEAR(NovDim1+9)=AnnéeCalendrier,MONTH(NovDim1+9)=11),NovDim1+9,""))</f>
        <v>43410</v>
      </c>
      <c r="L36" s="5">
        <f>IF(DAY(NovDim1)=1,IF(AND(YEAR(NovDim1+3)=AnnéeCalendrier,MONTH(NovDim1+3)=11),NovDim1+3,""),IF(AND(YEAR(NovDim1+10)=AnnéeCalendrier,MONTH(NovDim1+10)=11),NovDim1+10,""))</f>
        <v>43411</v>
      </c>
      <c r="M36" s="5">
        <f>IF(DAY(NovDim1)=1,IF(AND(YEAR(NovDim1+4)=AnnéeCalendrier,MONTH(NovDim1+4)=11),NovDim1+4,""),IF(AND(YEAR(NovDim1+11)=AnnéeCalendrier,MONTH(NovDim1+11)=11),NovDim1+11,""))</f>
        <v>43412</v>
      </c>
      <c r="N36" s="5">
        <f>IF(DAY(NovDim1)=1,IF(AND(YEAR(NovDim1+5)=AnnéeCalendrier,MONTH(NovDim1+5)=11),NovDim1+5,""),IF(AND(YEAR(NovDim1+12)=AnnéeCalendrier,MONTH(NovDim1+12)=11),NovDim1+12,""))</f>
        <v>43413</v>
      </c>
      <c r="O36" s="5">
        <f>IF(DAY(NovDim1)=1,IF(AND(YEAR(NovDim1+6)=AnnéeCalendrier,MONTH(NovDim1+6)=11),NovDim1+6,""),IF(AND(YEAR(NovDim1+13)=AnnéeCalendrier,MONTH(NovDim1+13)=11),NovDim1+13,""))</f>
        <v>43414</v>
      </c>
      <c r="P36" s="7">
        <f>IF(DAY(NovDim1)=1,IF(AND(YEAR(NovDim1+7)=AnnéeCalendrier,MONTH(NovDim1+7)=11),NovDim1+7,""),IF(AND(YEAR(NovDim1+14)=AnnéeCalendrier,MONTH(NovDim1+14)=11),NovDim1+14,""))</f>
        <v>43415</v>
      </c>
      <c r="R36" s="6">
        <f>IF(DAY(DécDim1)=1,IF(AND(YEAR(DécDim1+1)=AnnéeCalendrier,MONTH(DécDim1+1)=12),DécDim1+1,""),IF(AND(YEAR(DécDim1+8)=AnnéeCalendrier,MONTH(DécDim1+8)=12),DécDim1+8,""))</f>
        <v>43437</v>
      </c>
      <c r="S36" s="5">
        <f>IF(DAY(DécDim1)=1,IF(AND(YEAR(DécDim1+2)=AnnéeCalendrier,MONTH(DécDim1+2)=12),DécDim1+2,""),IF(AND(YEAR(DécDim1+9)=AnnéeCalendrier,MONTH(DécDim1+9)=12),DécDim1+9,""))</f>
        <v>43438</v>
      </c>
      <c r="T36" s="5">
        <f>IF(DAY(DécDim1)=1,IF(AND(YEAR(DécDim1+3)=AnnéeCalendrier,MONTH(DécDim1+3)=12),DécDim1+3,""),IF(AND(YEAR(DécDim1+10)=AnnéeCalendrier,MONTH(DécDim1+10)=12),DécDim1+10,""))</f>
        <v>43439</v>
      </c>
      <c r="U36" s="5">
        <f>IF(DAY(DécDim1)=1,IF(AND(YEAR(DécDim1+4)=AnnéeCalendrier,MONTH(DécDim1+4)=12),DécDim1+4,""),IF(AND(YEAR(DécDim1+11)=AnnéeCalendrier,MONTH(DécDim1+11)=12),DécDim1+11,""))</f>
        <v>43440</v>
      </c>
      <c r="V36" s="5">
        <f>IF(DAY(DécDim1)=1,IF(AND(YEAR(DécDim1+5)=AnnéeCalendrier,MONTH(DécDim1+5)=12),DécDim1+5,""),IF(AND(YEAR(DécDim1+12)=AnnéeCalendrier,MONTH(DécDim1+12)=12),DécDim1+12,""))</f>
        <v>43441</v>
      </c>
      <c r="W36" s="5">
        <f>IF(DAY(DécDim1)=1,IF(AND(YEAR(DécDim1+6)=AnnéeCalendrier,MONTH(DécDim1+6)=12),DécDim1+6,""),IF(AND(YEAR(DécDim1+13)=AnnéeCalendrier,MONTH(DécDim1+13)=12),DécDim1+13,""))</f>
        <v>43442</v>
      </c>
      <c r="X36" s="7">
        <f>IF(DAY(DécDim1)=1,IF(AND(YEAR(DécDim1+7)=AnnéeCalendrier,MONTH(DécDim1+7)=12),DécDim1+7,""),IF(AND(YEAR(DécDim1+14)=AnnéeCalendrier,MONTH(DécDim1+14)=12),DécDim1+14,""))</f>
        <v>43443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43388</v>
      </c>
      <c r="C37" s="5">
        <f>IF(DAY(OctDim1)=1,IF(AND(YEAR(OctDim1+9)=AnnéeCalendrier,MONTH(OctDim1+9)=10),OctDim1+9,""),IF(AND(YEAR(OctDim1+16)=AnnéeCalendrier,MONTH(OctDim1+16)=10),OctDim1+16,""))</f>
        <v>43389</v>
      </c>
      <c r="D37" s="5">
        <f>IF(DAY(OctDim1)=1,IF(AND(YEAR(OctDim1+10)=AnnéeCalendrier,MONTH(OctDim1+10)=10),OctDim1+10,""),IF(AND(YEAR(OctDim1+17)=AnnéeCalendrier,MONTH(OctDim1+17)=10),OctDim1+17,""))</f>
        <v>43390</v>
      </c>
      <c r="E37" s="5">
        <f>IF(DAY(OctDim1)=1,IF(AND(YEAR(OctDim1+11)=AnnéeCalendrier,MONTH(OctDim1+11)=10),OctDim1+11,""),IF(AND(YEAR(OctDim1+18)=AnnéeCalendrier,MONTH(OctDim1+18)=10),OctDim1+18,""))</f>
        <v>43391</v>
      </c>
      <c r="F37" s="5">
        <f>IF(DAY(OctDim1)=1,IF(AND(YEAR(OctDim1+12)=AnnéeCalendrier,MONTH(OctDim1+12)=10),OctDim1+12,""),IF(AND(YEAR(OctDim1+19)=AnnéeCalendrier,MONTH(OctDim1+19)=10),OctDim1+19,""))</f>
        <v>43392</v>
      </c>
      <c r="G37" s="5">
        <f>IF(DAY(OctDim1)=1,IF(AND(YEAR(OctDim1+13)=AnnéeCalendrier,MONTH(OctDim1+13)=10),OctDim1+13,""),IF(AND(YEAR(OctDim1+20)=AnnéeCalendrier,MONTH(OctDim1+20)=10),OctDim1+20,""))</f>
        <v>43393</v>
      </c>
      <c r="H37" s="7">
        <f>IF(DAY(OctDim1)=1,IF(AND(YEAR(OctDim1+14)=AnnéeCalendrier,MONTH(OctDim1+14)=10),OctDim1+14,""),IF(AND(YEAR(OctDim1+21)=AnnéeCalendrier,MONTH(OctDim1+21)=10),OctDim1+21,""))</f>
        <v>43394</v>
      </c>
      <c r="I37" s="4"/>
      <c r="J37" s="6">
        <f>IF(DAY(NovDim1)=1,IF(AND(YEAR(NovDim1+8)=AnnéeCalendrier,MONTH(NovDim1+8)=11),NovDim1+8,""),IF(AND(YEAR(NovDim1+15)=AnnéeCalendrier,MONTH(NovDim1+15)=11),NovDim1+15,""))</f>
        <v>43416</v>
      </c>
      <c r="K37" s="5">
        <f>IF(DAY(NovDim1)=1,IF(AND(YEAR(NovDim1+9)=AnnéeCalendrier,MONTH(NovDim1+9)=11),NovDim1+9,""),IF(AND(YEAR(NovDim1+16)=AnnéeCalendrier,MONTH(NovDim1+16)=11),NovDim1+16,""))</f>
        <v>43417</v>
      </c>
      <c r="L37" s="5">
        <f>IF(DAY(NovDim1)=1,IF(AND(YEAR(NovDim1+10)=AnnéeCalendrier,MONTH(NovDim1+10)=11),NovDim1+10,""),IF(AND(YEAR(NovDim1+17)=AnnéeCalendrier,MONTH(NovDim1+17)=11),NovDim1+17,""))</f>
        <v>43418</v>
      </c>
      <c r="M37" s="5">
        <f>IF(DAY(NovDim1)=1,IF(AND(YEAR(NovDim1+11)=AnnéeCalendrier,MONTH(NovDim1+11)=11),NovDim1+11,""),IF(AND(YEAR(NovDim1+18)=AnnéeCalendrier,MONTH(NovDim1+18)=11),NovDim1+18,""))</f>
        <v>43419</v>
      </c>
      <c r="N37" s="5">
        <f>IF(DAY(NovDim1)=1,IF(AND(YEAR(NovDim1+12)=AnnéeCalendrier,MONTH(NovDim1+12)=11),NovDim1+12,""),IF(AND(YEAR(NovDim1+19)=AnnéeCalendrier,MONTH(NovDim1+19)=11),NovDim1+19,""))</f>
        <v>43420</v>
      </c>
      <c r="O37" s="5">
        <f>IF(DAY(NovDim1)=1,IF(AND(YEAR(NovDim1+13)=AnnéeCalendrier,MONTH(NovDim1+13)=11),NovDim1+13,""),IF(AND(YEAR(NovDim1+20)=AnnéeCalendrier,MONTH(NovDim1+20)=11),NovDim1+20,""))</f>
        <v>43421</v>
      </c>
      <c r="P37" s="7">
        <f>IF(DAY(NovDim1)=1,IF(AND(YEAR(NovDim1+14)=AnnéeCalendrier,MONTH(NovDim1+14)=11),NovDim1+14,""),IF(AND(YEAR(NovDim1+21)=AnnéeCalendrier,MONTH(NovDim1+21)=11),NovDim1+21,""))</f>
        <v>43422</v>
      </c>
      <c r="R37" s="6">
        <f>IF(DAY(DécDim1)=1,IF(AND(YEAR(DécDim1+8)=AnnéeCalendrier,MONTH(DécDim1+8)=12),DécDim1+8,""),IF(AND(YEAR(DécDim1+15)=AnnéeCalendrier,MONTH(DécDim1+15)=12),DécDim1+15,""))</f>
        <v>43444</v>
      </c>
      <c r="S37" s="5">
        <f>IF(DAY(DécDim1)=1,IF(AND(YEAR(DécDim1+9)=AnnéeCalendrier,MONTH(DécDim1+9)=12),DécDim1+9,""),IF(AND(YEAR(DécDim1+16)=AnnéeCalendrier,MONTH(DécDim1+16)=12),DécDim1+16,""))</f>
        <v>43445</v>
      </c>
      <c r="T37" s="5">
        <f>IF(DAY(DécDim1)=1,IF(AND(YEAR(DécDim1+10)=AnnéeCalendrier,MONTH(DécDim1+10)=12),DécDim1+10,""),IF(AND(YEAR(DécDim1+17)=AnnéeCalendrier,MONTH(DécDim1+17)=12),DécDim1+17,""))</f>
        <v>43446</v>
      </c>
      <c r="U37" s="5">
        <f>IF(DAY(DécDim1)=1,IF(AND(YEAR(DécDim1+11)=AnnéeCalendrier,MONTH(DécDim1+11)=12),DécDim1+11,""),IF(AND(YEAR(DécDim1+18)=AnnéeCalendrier,MONTH(DécDim1+18)=12),DécDim1+18,""))</f>
        <v>43447</v>
      </c>
      <c r="V37" s="5">
        <f>IF(DAY(DécDim1)=1,IF(AND(YEAR(DécDim1+12)=AnnéeCalendrier,MONTH(DécDim1+12)=12),DécDim1+12,""),IF(AND(YEAR(DécDim1+19)=AnnéeCalendrier,MONTH(DécDim1+19)=12),DécDim1+19,""))</f>
        <v>43448</v>
      </c>
      <c r="W37" s="5">
        <f>IF(DAY(DécDim1)=1,IF(AND(YEAR(DécDim1+13)=AnnéeCalendrier,MONTH(DécDim1+13)=12),DécDim1+13,""),IF(AND(YEAR(DécDim1+20)=AnnéeCalendrier,MONTH(DécDim1+20)=12),DécDim1+20,""))</f>
        <v>43449</v>
      </c>
      <c r="X37" s="7">
        <f>IF(DAY(DécDim1)=1,IF(AND(YEAR(DécDim1+14)=AnnéeCalendrier,MONTH(DécDim1+14)=12),DécDim1+14,""),IF(AND(YEAR(DécDim1+21)=AnnéeCalendrier,MONTH(DécDim1+21)=12),DécDim1+21,""))</f>
        <v>43450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43395</v>
      </c>
      <c r="C38" s="5">
        <f>IF(DAY(OctDim1)=1,IF(AND(YEAR(OctDim1+16)=AnnéeCalendrier,MONTH(OctDim1+16)=10),OctDim1+16,""),IF(AND(YEAR(OctDim1+23)=AnnéeCalendrier,MONTH(OctDim1+23)=10),OctDim1+23,""))</f>
        <v>43396</v>
      </c>
      <c r="D38" s="5">
        <f>IF(DAY(OctDim1)=1,IF(AND(YEAR(OctDim1+17)=AnnéeCalendrier,MONTH(OctDim1+17)=10),OctDim1+17,""),IF(AND(YEAR(OctDim1+24)=AnnéeCalendrier,MONTH(OctDim1+24)=10),OctDim1+24,""))</f>
        <v>43397</v>
      </c>
      <c r="E38" s="5">
        <f>IF(DAY(OctDim1)=1,IF(AND(YEAR(OctDim1+18)=AnnéeCalendrier,MONTH(OctDim1+18)=10),OctDim1+18,""),IF(AND(YEAR(OctDim1+25)=AnnéeCalendrier,MONTH(OctDim1+25)=10),OctDim1+25,""))</f>
        <v>43398</v>
      </c>
      <c r="F38" s="5">
        <f>IF(DAY(OctDim1)=1,IF(AND(YEAR(OctDim1+19)=AnnéeCalendrier,MONTH(OctDim1+19)=10),OctDim1+19,""),IF(AND(YEAR(OctDim1+26)=AnnéeCalendrier,MONTH(OctDim1+26)=10),OctDim1+26,""))</f>
        <v>43399</v>
      </c>
      <c r="G38" s="5">
        <f>IF(DAY(OctDim1)=1,IF(AND(YEAR(OctDim1+20)=AnnéeCalendrier,MONTH(OctDim1+20)=10),OctDim1+20,""),IF(AND(YEAR(OctDim1+27)=AnnéeCalendrier,MONTH(OctDim1+27)=10),OctDim1+27,""))</f>
        <v>43400</v>
      </c>
      <c r="H38" s="7">
        <f>IF(DAY(OctDim1)=1,IF(AND(YEAR(OctDim1+21)=AnnéeCalendrier,MONTH(OctDim1+21)=10),OctDim1+21,""),IF(AND(YEAR(OctDim1+28)=AnnéeCalendrier,MONTH(OctDim1+28)=10),OctDim1+28,""))</f>
        <v>43401</v>
      </c>
      <c r="I38" s="4"/>
      <c r="J38" s="6">
        <f>IF(DAY(NovDim1)=1,IF(AND(YEAR(NovDim1+15)=AnnéeCalendrier,MONTH(NovDim1+15)=11),NovDim1+15,""),IF(AND(YEAR(NovDim1+22)=AnnéeCalendrier,MONTH(NovDim1+22)=11),NovDim1+22,""))</f>
        <v>43423</v>
      </c>
      <c r="K38" s="5">
        <f>IF(DAY(NovDim1)=1,IF(AND(YEAR(NovDim1+16)=AnnéeCalendrier,MONTH(NovDim1+16)=11),NovDim1+16,""),IF(AND(YEAR(NovDim1+23)=AnnéeCalendrier,MONTH(NovDim1+23)=11),NovDim1+23,""))</f>
        <v>43424</v>
      </c>
      <c r="L38" s="5">
        <f>IF(DAY(NovDim1)=1,IF(AND(YEAR(NovDim1+17)=AnnéeCalendrier,MONTH(NovDim1+17)=11),NovDim1+17,""),IF(AND(YEAR(NovDim1+24)=AnnéeCalendrier,MONTH(NovDim1+24)=11),NovDim1+24,""))</f>
        <v>43425</v>
      </c>
      <c r="M38" s="5">
        <f>IF(DAY(NovDim1)=1,IF(AND(YEAR(NovDim1+18)=AnnéeCalendrier,MONTH(NovDim1+18)=11),NovDim1+18,""),IF(AND(YEAR(NovDim1+25)=AnnéeCalendrier,MONTH(NovDim1+25)=11),NovDim1+25,""))</f>
        <v>43426</v>
      </c>
      <c r="N38" s="5">
        <f>IF(DAY(NovDim1)=1,IF(AND(YEAR(NovDim1+19)=AnnéeCalendrier,MONTH(NovDim1+19)=11),NovDim1+19,""),IF(AND(YEAR(NovDim1+26)=AnnéeCalendrier,MONTH(NovDim1+26)=11),NovDim1+26,""))</f>
        <v>43427</v>
      </c>
      <c r="O38" s="5">
        <f>IF(DAY(NovDim1)=1,IF(AND(YEAR(NovDim1+20)=AnnéeCalendrier,MONTH(NovDim1+20)=11),NovDim1+20,""),IF(AND(YEAR(NovDim1+27)=AnnéeCalendrier,MONTH(NovDim1+27)=11),NovDim1+27,""))</f>
        <v>43428</v>
      </c>
      <c r="P38" s="7">
        <f>IF(DAY(NovDim1)=1,IF(AND(YEAR(NovDim1+21)=AnnéeCalendrier,MONTH(NovDim1+21)=11),NovDim1+21,""),IF(AND(YEAR(NovDim1+28)=AnnéeCalendrier,MONTH(NovDim1+28)=11),NovDim1+28,""))</f>
        <v>43429</v>
      </c>
      <c r="R38" s="6">
        <f>IF(DAY(DécDim1)=1,IF(AND(YEAR(DécDim1+15)=AnnéeCalendrier,MONTH(DécDim1+15)=12),DécDim1+15,""),IF(AND(YEAR(DécDim1+22)=AnnéeCalendrier,MONTH(DécDim1+22)=12),DécDim1+22,""))</f>
        <v>43451</v>
      </c>
      <c r="S38" s="5">
        <f>IF(DAY(DécDim1)=1,IF(AND(YEAR(DécDim1+16)=AnnéeCalendrier,MONTH(DécDim1+16)=12),DécDim1+16,""),IF(AND(YEAR(DécDim1+23)=AnnéeCalendrier,MONTH(DécDim1+23)=12),DécDim1+23,""))</f>
        <v>43452</v>
      </c>
      <c r="T38" s="5">
        <f>IF(DAY(DécDim1)=1,IF(AND(YEAR(DécDim1+17)=AnnéeCalendrier,MONTH(DécDim1+17)=12),DécDim1+17,""),IF(AND(YEAR(DécDim1+24)=AnnéeCalendrier,MONTH(DécDim1+24)=12),DécDim1+24,""))</f>
        <v>43453</v>
      </c>
      <c r="U38" s="5">
        <f>IF(DAY(DécDim1)=1,IF(AND(YEAR(DécDim1+18)=AnnéeCalendrier,MONTH(DécDim1+18)=12),DécDim1+18,""),IF(AND(YEAR(DécDim1+25)=AnnéeCalendrier,MONTH(DécDim1+25)=12),DécDim1+25,""))</f>
        <v>43454</v>
      </c>
      <c r="V38" s="5">
        <f>IF(DAY(DécDim1)=1,IF(AND(YEAR(DécDim1+19)=AnnéeCalendrier,MONTH(DécDim1+19)=12),DécDim1+19,""),IF(AND(YEAR(DécDim1+26)=AnnéeCalendrier,MONTH(DécDim1+26)=12),DécDim1+26,""))</f>
        <v>43455</v>
      </c>
      <c r="W38" s="5">
        <f>IF(DAY(DécDim1)=1,IF(AND(YEAR(DécDim1+20)=AnnéeCalendrier,MONTH(DécDim1+20)=12),DécDim1+20,""),IF(AND(YEAR(DécDim1+27)=AnnéeCalendrier,MONTH(DécDim1+27)=12),DécDim1+27,""))</f>
        <v>43456</v>
      </c>
      <c r="X38" s="7">
        <f>IF(DAY(DécDim1)=1,IF(AND(YEAR(DécDim1+21)=AnnéeCalendrier,MONTH(DécDim1+21)=12),DécDim1+21,""),IF(AND(YEAR(DécDim1+28)=AnnéeCalendrier,MONTH(DécDim1+28)=12),DécDim1+28,""))</f>
        <v>43457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43402</v>
      </c>
      <c r="C39" s="5">
        <f>IF(DAY(OctDim1)=1,IF(AND(YEAR(OctDim1+23)=AnnéeCalendrier,MONTH(OctDim1+23)=10),OctDim1+23,""),IF(AND(YEAR(OctDim1+30)=AnnéeCalendrier,MONTH(OctDim1+30)=10),OctDim1+30,""))</f>
        <v>43403</v>
      </c>
      <c r="D39" s="5">
        <f>IF(DAY(OctDim1)=1,IF(AND(YEAR(OctDim1+24)=AnnéeCalendrier,MONTH(OctDim1+24)=10),OctDim1+24,""),IF(AND(YEAR(OctDim1+31)=AnnéeCalendrier,MONTH(OctDim1+31)=10),OctDim1+31,""))</f>
        <v>43404</v>
      </c>
      <c r="E39" s="5" t="str">
        <f>IF(DAY(OctDim1)=1,IF(AND(YEAR(OctDim1+25)=AnnéeCalendrier,MONTH(OctDim1+25)=10),OctDim1+25,""),IF(AND(YEAR(OctDim1+32)=AnnéeCalendrier,MONTH(OctDim1+32)=10),OctDim1+32,""))</f>
        <v/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43430</v>
      </c>
      <c r="K39" s="5">
        <f>IF(DAY(NovDim1)=1,IF(AND(YEAR(NovDim1+23)=AnnéeCalendrier,MONTH(NovDim1+23)=11),NovDim1+23,""),IF(AND(YEAR(NovDim1+30)=AnnéeCalendrier,MONTH(NovDim1+30)=11),NovDim1+30,""))</f>
        <v>43431</v>
      </c>
      <c r="L39" s="5">
        <f>IF(DAY(NovDim1)=1,IF(AND(YEAR(NovDim1+24)=AnnéeCalendrier,MONTH(NovDim1+24)=11),NovDim1+24,""),IF(AND(YEAR(NovDim1+31)=AnnéeCalendrier,MONTH(NovDim1+31)=11),NovDim1+31,""))</f>
        <v>43432</v>
      </c>
      <c r="M39" s="5">
        <f>IF(DAY(NovDim1)=1,IF(AND(YEAR(NovDim1+25)=AnnéeCalendrier,MONTH(NovDim1+25)=11),NovDim1+25,""),IF(AND(YEAR(NovDim1+32)=AnnéeCalendrier,MONTH(NovDim1+32)=11),NovDim1+32,""))</f>
        <v>43433</v>
      </c>
      <c r="N39" s="5">
        <f>IF(DAY(NovDim1)=1,IF(AND(YEAR(NovDim1+26)=AnnéeCalendrier,MONTH(NovDim1+26)=11),NovDim1+26,""),IF(AND(YEAR(NovDim1+33)=AnnéeCalendrier,MONTH(NovDim1+33)=11),NovDim1+33,""))</f>
        <v>43434</v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43458</v>
      </c>
      <c r="S39" s="5">
        <f>IF(DAY(DécDim1)=1,IF(AND(YEAR(DécDim1+23)=AnnéeCalendrier,MONTH(DécDim1+23)=12),DécDim1+23,""),IF(AND(YEAR(DécDim1+30)=AnnéeCalendrier,MONTH(DécDim1+30)=12),DécDim1+30,""))</f>
        <v>43459</v>
      </c>
      <c r="T39" s="5">
        <f>IF(DAY(DécDim1)=1,IF(AND(YEAR(DécDim1+24)=AnnéeCalendrier,MONTH(DécDim1+24)=12),DécDim1+24,""),IF(AND(YEAR(DécDim1+31)=AnnéeCalendrier,MONTH(DécDim1+31)=12),DécDim1+31,""))</f>
        <v>43460</v>
      </c>
      <c r="U39" s="5">
        <f>IF(DAY(DécDim1)=1,IF(AND(YEAR(DécDim1+25)=AnnéeCalendrier,MONTH(DécDim1+25)=12),DécDim1+25,""),IF(AND(YEAR(DécDim1+32)=AnnéeCalendrier,MONTH(DécDim1+32)=12),DécDim1+32,""))</f>
        <v>43461</v>
      </c>
      <c r="V39" s="5">
        <f>IF(DAY(DécDim1)=1,IF(AND(YEAR(DécDim1+26)=AnnéeCalendrier,MONTH(DécDim1+26)=12),DécDim1+26,""),IF(AND(YEAR(DécDim1+33)=AnnéeCalendrier,MONTH(DécDim1+33)=12),DécDim1+33,""))</f>
        <v>43462</v>
      </c>
      <c r="W39" s="5">
        <f>IF(DAY(DécDim1)=1,IF(AND(YEAR(DécDim1+27)=AnnéeCalendrier,MONTH(DécDim1+27)=12),DécDim1+27,""),IF(AND(YEAR(DécDim1+34)=AnnéeCalendrier,MONTH(DécDim1+34)=12),DécDim1+34,""))</f>
        <v>43463</v>
      </c>
      <c r="X39" s="7">
        <f>IF(DAY(DécDim1)=1,IF(AND(YEAR(DécDim1+28)=AnnéeCalendrier,MONTH(DécDim1+28)=12),DécDim1+28,""),IF(AND(YEAR(DécDim1+35)=AnnéeCalendrier,MONTH(DécDim1+35)=12),DécDim1+35,""))</f>
        <v>43464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43465</v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609" priority="1">
      <formula>LEN(TRIM(B8))&gt;0</formula>
    </cfRule>
  </conditionalFormatting>
  <conditionalFormatting sqref="J8:P13">
    <cfRule type="notContainsBlanks" dxfId="1608" priority="2">
      <formula>LEN(TRIM(J8))&gt;0</formula>
    </cfRule>
  </conditionalFormatting>
  <conditionalFormatting sqref="R8:X13">
    <cfRule type="notContainsBlanks" dxfId="1607" priority="3">
      <formula>LEN(TRIM(R8))&gt;0</formula>
    </cfRule>
  </conditionalFormatting>
  <conditionalFormatting sqref="B17:H22">
    <cfRule type="notContainsBlanks" dxfId="1606" priority="4">
      <formula>LEN(TRIM(B17))&gt;0</formula>
    </cfRule>
  </conditionalFormatting>
  <conditionalFormatting sqref="J17:P22">
    <cfRule type="notContainsBlanks" dxfId="1605" priority="5">
      <formula>LEN(TRIM(J17))&gt;0</formula>
    </cfRule>
  </conditionalFormatting>
  <conditionalFormatting sqref="R17:X22">
    <cfRule type="notContainsBlanks" dxfId="1604" priority="6">
      <formula>LEN(TRIM(R17))&gt;0</formula>
    </cfRule>
  </conditionalFormatting>
  <conditionalFormatting sqref="R35:X40">
    <cfRule type="notContainsBlanks" dxfId="1603" priority="12">
      <formula>LEN(TRIM(R35))&gt;0</formula>
    </cfRule>
  </conditionalFormatting>
  <conditionalFormatting sqref="B26:H31">
    <cfRule type="notContainsBlanks" dxfId="1602" priority="7">
      <formula>LEN(TRIM(B26))&gt;0</formula>
    </cfRule>
  </conditionalFormatting>
  <conditionalFormatting sqref="J26:P31">
    <cfRule type="notContainsBlanks" dxfId="1601" priority="8">
      <formula>LEN(TRIM(J26))&gt;0</formula>
    </cfRule>
  </conditionalFormatting>
  <conditionalFormatting sqref="R26:X31">
    <cfRule type="notContainsBlanks" dxfId="1600" priority="9">
      <formula>LEN(TRIM(R26))&gt;0</formula>
    </cfRule>
  </conditionalFormatting>
  <conditionalFormatting sqref="B35:H40">
    <cfRule type="notContainsBlanks" dxfId="1599" priority="10">
      <formula>LEN(TRIM(B35))&gt;0</formula>
    </cfRule>
  </conditionalFormatting>
  <conditionalFormatting sqref="J35:P40">
    <cfRule type="notContainsBlanks" dxfId="1598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1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1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sTCalendar3">
    <pageSetUpPr autoPageBreaks="0" fitToPage="1"/>
  </sheetPr>
  <dimension ref="A1:AC40"/>
  <sheetViews>
    <sheetView showGridLine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6" customWidth="1"/>
    <col min="10" max="16" width="7.28515625" style="3" customWidth="1"/>
    <col min="17" max="17" width="10.7109375" style="36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I1" s="3"/>
      <c r="Q1" s="3"/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2019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I5" s="3"/>
      <c r="Q5" s="3"/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9" t="s">
        <v>1</v>
      </c>
      <c r="C6" s="49"/>
      <c r="D6" s="49"/>
      <c r="E6" s="49"/>
      <c r="F6" s="49"/>
      <c r="G6" s="49"/>
      <c r="H6" s="49"/>
      <c r="J6" s="49" t="s">
        <v>12</v>
      </c>
      <c r="K6" s="49"/>
      <c r="L6" s="49"/>
      <c r="M6" s="49"/>
      <c r="N6" s="49"/>
      <c r="O6" s="49"/>
      <c r="P6" s="49"/>
      <c r="R6" s="49" t="s">
        <v>16</v>
      </c>
      <c r="S6" s="49"/>
      <c r="T6" s="49"/>
      <c r="U6" s="49"/>
      <c r="V6" s="49"/>
      <c r="W6" s="49"/>
      <c r="X6" s="49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Q7" s="38"/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>
        <f>IF(DAY(JanDim1)=1,"",IF(AND(YEAR(JanDim1+2)=AnnéeCalendrier,MONTH(JanDim1+2)=1),JanDim1+2,""))</f>
        <v>43466</v>
      </c>
      <c r="D8" s="5">
        <f>IF(DAY(JanDim1)=1,"",IF(AND(YEAR(JanDim1+3)=AnnéeCalendrier,MONTH(JanDim1+3)=1),JanDim1+3,""))</f>
        <v>43467</v>
      </c>
      <c r="E8" s="5">
        <f>IF(DAY(JanDim1)=1,"",IF(AND(YEAR(JanDim1+4)=AnnéeCalendrier,MONTH(JanDim1+4)=1),JanDim1+4,""))</f>
        <v>43468</v>
      </c>
      <c r="F8" s="5">
        <f>IF(DAY(JanDim1)=1,"",IF(AND(YEAR(JanDim1+5)=AnnéeCalendrier,MONTH(JanDim1+5)=1),JanDim1+5,""))</f>
        <v>43469</v>
      </c>
      <c r="G8" s="5">
        <f>IF(DAY(JanDim1)=1,"",IF(AND(YEAR(JanDim1+6)=AnnéeCalendrier,MONTH(JanDim1+6)=1),JanDim1+6,""))</f>
        <v>43470</v>
      </c>
      <c r="H8" s="5">
        <f>IF(DAY(JanDim1)=1,IF(AND(YEAR(JanDim1)=AnnéeCalendrier,MONTH(JanDim1)=1),JanDim1,""),IF(AND(YEAR(JanDim1+7)=AnnéeCalendrier,MONTH(JanDim1+7)=1),JanDim1+7,""))</f>
        <v>43471</v>
      </c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>
        <f>IF(DAY(FévDim1)=1,"",IF(AND(YEAR(FévDim1+5)=AnnéeCalendrier,MONTH(FévDim1+5)=2),FévDim1+5,""))</f>
        <v>43497</v>
      </c>
      <c r="O8" s="5">
        <f>IF(DAY(FévDim1)=1,"",IF(AND(YEAR(FévDim1+6)=AnnéeCalendrier,MONTH(FévDim1+6)=2),FévDim1+6,""))</f>
        <v>43498</v>
      </c>
      <c r="P8" s="5">
        <f>IF(DAY(FévDim1)=1,IF(AND(YEAR(FévDim1)=AnnéeCalendrier,MONTH(FévDim1)=2),FévDim1,""),IF(AND(YEAR(FévDim1+7)=AnnéeCalendrier,MONTH(FévDim1+7)=2),FévDim1+7,""))</f>
        <v>43499</v>
      </c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>
        <f>IF(DAY(MarDim1)=1,"",IF(AND(YEAR(MarDim1+5)=AnnéeCalendrier,MONTH(MarDim1+5)=3),MarDim1+5,""))</f>
        <v>43525</v>
      </c>
      <c r="W8" s="5">
        <f>IF(DAY(MarDim1)=1,"",IF(AND(YEAR(MarDim1+6)=AnnéeCalendrier,MONTH(MarDim1+6)=3),MarDim1+6,""))</f>
        <v>43526</v>
      </c>
      <c r="X8" s="5">
        <f>IF(DAY(MarDim1)=1,IF(AND(YEAR(MarDim1)=AnnéeCalendrier,MONTH(MarDim1)=3),MarDim1,""),IF(AND(YEAR(MarDim1+7)=AnnéeCalendrier,MONTH(MarDim1+7)=3),MarDim1+7,""))</f>
        <v>43527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43472</v>
      </c>
      <c r="C9" s="5">
        <f>IF(DAY(JanDim1)=1,IF(AND(YEAR(JanDim1+2)=AnnéeCalendrier,MONTH(JanDim1+2)=1),JanDim1+2,""),IF(AND(YEAR(JanDim1+9)=AnnéeCalendrier,MONTH(JanDim1+9)=1),JanDim1+9,""))</f>
        <v>43473</v>
      </c>
      <c r="D9" s="5">
        <f>IF(DAY(JanDim1)=1,IF(AND(YEAR(JanDim1+3)=AnnéeCalendrier,MONTH(JanDim1+3)=1),JanDim1+3,""),IF(AND(YEAR(JanDim1+10)=AnnéeCalendrier,MONTH(JanDim1+10)=1),JanDim1+10,""))</f>
        <v>43474</v>
      </c>
      <c r="E9" s="5">
        <f>IF(DAY(JanDim1)=1,IF(AND(YEAR(JanDim1+4)=AnnéeCalendrier,MONTH(JanDim1+4)=1),JanDim1+4,""),IF(AND(YEAR(JanDim1+11)=AnnéeCalendrier,MONTH(JanDim1+11)=1),JanDim1+11,""))</f>
        <v>43475</v>
      </c>
      <c r="F9" s="5">
        <f>IF(DAY(JanDim1)=1,IF(AND(YEAR(JanDim1+5)=AnnéeCalendrier,MONTH(JanDim1+5)=1),JanDim1+5,""),IF(AND(YEAR(JanDim1+12)=AnnéeCalendrier,MONTH(JanDim1+12)=1),JanDim1+12,""))</f>
        <v>43476</v>
      </c>
      <c r="G9" s="5">
        <f>IF(DAY(JanDim1)=1,IF(AND(YEAR(JanDim1+6)=AnnéeCalendrier,MONTH(JanDim1+6)=1),JanDim1+6,""),IF(AND(YEAR(JanDim1+13)=AnnéeCalendrier,MONTH(JanDim1+13)=1),JanDim1+13,""))</f>
        <v>43477</v>
      </c>
      <c r="H9" s="5">
        <f>IF(DAY(JanDim1)=1,IF(AND(YEAR(JanDim1+7)=AnnéeCalendrier,MONTH(JanDim1+7)=1),JanDim1+7,""),IF(AND(YEAR(JanDim1+14)=AnnéeCalendrier,MONTH(JanDim1+14)=1),JanDim1+14,""))</f>
        <v>43478</v>
      </c>
      <c r="J9" s="5">
        <f>IF(DAY(FévDim1)=1,IF(AND(YEAR(FévDim1+1)=AnnéeCalendrier,MONTH(FévDim1+1)=2),FévDim1+1,""),IF(AND(YEAR(FévDim1+8)=AnnéeCalendrier,MONTH(FévDim1+8)=2),FévDim1+8,""))</f>
        <v>43500</v>
      </c>
      <c r="K9" s="5">
        <f>IF(DAY(FévDim1)=1,IF(AND(YEAR(FévDim1+2)=AnnéeCalendrier,MONTH(FévDim1+2)=2),FévDim1+2,""),IF(AND(YEAR(FévDim1+9)=AnnéeCalendrier,MONTH(FévDim1+9)=2),FévDim1+9,""))</f>
        <v>43501</v>
      </c>
      <c r="L9" s="5">
        <f>IF(DAY(FévDim1)=1,IF(AND(YEAR(FévDim1+3)=AnnéeCalendrier,MONTH(FévDim1+3)=2),FévDim1+3,""),IF(AND(YEAR(FévDim1+10)=AnnéeCalendrier,MONTH(FévDim1+10)=2),FévDim1+10,""))</f>
        <v>43502</v>
      </c>
      <c r="M9" s="5">
        <f>IF(DAY(FévDim1)=1,IF(AND(YEAR(FévDim1+4)=AnnéeCalendrier,MONTH(FévDim1+4)=2),FévDim1+4,""),IF(AND(YEAR(FévDim1+11)=AnnéeCalendrier,MONTH(FévDim1+11)=2),FévDim1+11,""))</f>
        <v>43503</v>
      </c>
      <c r="N9" s="5">
        <f>IF(DAY(FévDim1)=1,IF(AND(YEAR(FévDim1+5)=AnnéeCalendrier,MONTH(FévDim1+5)=2),FévDim1+5,""),IF(AND(YEAR(FévDim1+12)=AnnéeCalendrier,MONTH(FévDim1+12)=2),FévDim1+12,""))</f>
        <v>43504</v>
      </c>
      <c r="O9" s="5">
        <f>IF(DAY(FévDim1)=1,IF(AND(YEAR(FévDim1+6)=AnnéeCalendrier,MONTH(FévDim1+6)=2),FévDim1+6,""),IF(AND(YEAR(FévDim1+13)=AnnéeCalendrier,MONTH(FévDim1+13)=2),FévDim1+13,""))</f>
        <v>43505</v>
      </c>
      <c r="P9" s="5">
        <f>IF(DAY(FévDim1)=1,IF(AND(YEAR(FévDim1+7)=AnnéeCalendrier,MONTH(FévDim1+7)=2),FévDim1+7,""),IF(AND(YEAR(FévDim1+14)=AnnéeCalendrier,MONTH(FévDim1+14)=2),FévDim1+14,""))</f>
        <v>43506</v>
      </c>
      <c r="R9" s="5">
        <f>IF(DAY(MarDim1)=1,IF(AND(YEAR(MarDim1+1)=AnnéeCalendrier,MONTH(MarDim1+1)=3),MarDim1+1,""),IF(AND(YEAR(MarDim1+8)=AnnéeCalendrier,MONTH(MarDim1+8)=3),MarDim1+8,""))</f>
        <v>43528</v>
      </c>
      <c r="S9" s="5">
        <f>IF(DAY(MarDim1)=1,IF(AND(YEAR(MarDim1+2)=AnnéeCalendrier,MONTH(MarDim1+2)=3),MarDim1+2,""),IF(AND(YEAR(MarDim1+9)=AnnéeCalendrier,MONTH(MarDim1+9)=3),MarDim1+9,""))</f>
        <v>43529</v>
      </c>
      <c r="T9" s="5">
        <f>IF(DAY(MarDim1)=1,IF(AND(YEAR(MarDim1+3)=AnnéeCalendrier,MONTH(MarDim1+3)=3),MarDim1+3,""),IF(AND(YEAR(MarDim1+10)=AnnéeCalendrier,MONTH(MarDim1+10)=3),MarDim1+10,""))</f>
        <v>43530</v>
      </c>
      <c r="U9" s="5">
        <f>IF(DAY(MarDim1)=1,IF(AND(YEAR(MarDim1+4)=AnnéeCalendrier,MONTH(MarDim1+4)=3),MarDim1+4,""),IF(AND(YEAR(MarDim1+11)=AnnéeCalendrier,MONTH(MarDim1+11)=3),MarDim1+11,""))</f>
        <v>43531</v>
      </c>
      <c r="V9" s="5">
        <f>IF(DAY(MarDim1)=1,IF(AND(YEAR(MarDim1+5)=AnnéeCalendrier,MONTH(MarDim1+5)=3),MarDim1+5,""),IF(AND(YEAR(MarDim1+12)=AnnéeCalendrier,MONTH(MarDim1+12)=3),MarDim1+12,""))</f>
        <v>43532</v>
      </c>
      <c r="W9" s="5">
        <f>IF(DAY(MarDim1)=1,IF(AND(YEAR(MarDim1+6)=AnnéeCalendrier,MONTH(MarDim1+6)=3),MarDim1+6,""),IF(AND(YEAR(MarDim1+13)=AnnéeCalendrier,MONTH(MarDim1+13)=3),MarDim1+13,""))</f>
        <v>43533</v>
      </c>
      <c r="X9" s="5">
        <f>IF(DAY(MarDim1)=1,IF(AND(YEAR(MarDim1+7)=AnnéeCalendrier,MONTH(MarDim1+7)=3),MarDim1+7,""),IF(AND(YEAR(MarDim1+14)=AnnéeCalendrier,MONTH(MarDim1+14)=3),MarDim1+14,""))</f>
        <v>43534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43479</v>
      </c>
      <c r="C10" s="5">
        <f>IF(DAY(JanDim1)=1,IF(AND(YEAR(JanDim1+9)=AnnéeCalendrier,MONTH(JanDim1+9)=1),JanDim1+9,""),IF(AND(YEAR(JanDim1+16)=AnnéeCalendrier,MONTH(JanDim1+16)=1),JanDim1+16,""))</f>
        <v>43480</v>
      </c>
      <c r="D10" s="5">
        <f>IF(DAY(JanDim1)=1,IF(AND(YEAR(JanDim1+10)=AnnéeCalendrier,MONTH(JanDim1+10)=1),JanDim1+10,""),IF(AND(YEAR(JanDim1+17)=AnnéeCalendrier,MONTH(JanDim1+17)=1),JanDim1+17,""))</f>
        <v>43481</v>
      </c>
      <c r="E10" s="5">
        <f>IF(DAY(JanDim1)=1,IF(AND(YEAR(JanDim1+11)=AnnéeCalendrier,MONTH(JanDim1+11)=1),JanDim1+11,""),IF(AND(YEAR(JanDim1+18)=AnnéeCalendrier,MONTH(JanDim1+18)=1),JanDim1+18,""))</f>
        <v>43482</v>
      </c>
      <c r="F10" s="5">
        <f>IF(DAY(JanDim1)=1,IF(AND(YEAR(JanDim1+12)=AnnéeCalendrier,MONTH(JanDim1+12)=1),JanDim1+12,""),IF(AND(YEAR(JanDim1+19)=AnnéeCalendrier,MONTH(JanDim1+19)=1),JanDim1+19,""))</f>
        <v>43483</v>
      </c>
      <c r="G10" s="5">
        <f>IF(DAY(JanDim1)=1,IF(AND(YEAR(JanDim1+13)=AnnéeCalendrier,MONTH(JanDim1+13)=1),JanDim1+13,""),IF(AND(YEAR(JanDim1+20)=AnnéeCalendrier,MONTH(JanDim1+20)=1),JanDim1+20,""))</f>
        <v>43484</v>
      </c>
      <c r="H10" s="5">
        <f>IF(DAY(JanDim1)=1,IF(AND(YEAR(JanDim1+14)=AnnéeCalendrier,MONTH(JanDim1+14)=1),JanDim1+14,""),IF(AND(YEAR(JanDim1+21)=AnnéeCalendrier,MONTH(JanDim1+21)=1),JanDim1+21,""))</f>
        <v>43485</v>
      </c>
      <c r="J10" s="5">
        <f>IF(DAY(FévDim1)=1,IF(AND(YEAR(FévDim1+8)=AnnéeCalendrier,MONTH(FévDim1+8)=2),FévDim1+8,""),IF(AND(YEAR(FévDim1+15)=AnnéeCalendrier,MONTH(FévDim1+15)=2),FévDim1+15,""))</f>
        <v>43507</v>
      </c>
      <c r="K10" s="5">
        <f>IF(DAY(FévDim1)=1,IF(AND(YEAR(FévDim1+9)=AnnéeCalendrier,MONTH(FévDim1+9)=2),FévDim1+9,""),IF(AND(YEAR(FévDim1+16)=AnnéeCalendrier,MONTH(FévDim1+16)=2),FévDim1+16,""))</f>
        <v>43508</v>
      </c>
      <c r="L10" s="5">
        <f>IF(DAY(FévDim1)=1,IF(AND(YEAR(FévDim1+10)=AnnéeCalendrier,MONTH(FévDim1+10)=2),FévDim1+10,""),IF(AND(YEAR(FévDim1+17)=AnnéeCalendrier,MONTH(FévDim1+17)=2),FévDim1+17,""))</f>
        <v>43509</v>
      </c>
      <c r="M10" s="5">
        <f>IF(DAY(FévDim1)=1,IF(AND(YEAR(FévDim1+11)=AnnéeCalendrier,MONTH(FévDim1+11)=2),FévDim1+11,""),IF(AND(YEAR(FévDim1+18)=AnnéeCalendrier,MONTH(FévDim1+18)=2),FévDim1+18,""))</f>
        <v>43510</v>
      </c>
      <c r="N10" s="5">
        <f>IF(DAY(FévDim1)=1,IF(AND(YEAR(FévDim1+12)=AnnéeCalendrier,MONTH(FévDim1+12)=2),FévDim1+12,""),IF(AND(YEAR(FévDim1+19)=AnnéeCalendrier,MONTH(FévDim1+19)=2),FévDim1+19,""))</f>
        <v>43511</v>
      </c>
      <c r="O10" s="5">
        <f>IF(DAY(FévDim1)=1,IF(AND(YEAR(FévDim1+13)=AnnéeCalendrier,MONTH(FévDim1+13)=2),FévDim1+13,""),IF(AND(YEAR(FévDim1+20)=AnnéeCalendrier,MONTH(FévDim1+20)=2),FévDim1+20,""))</f>
        <v>43512</v>
      </c>
      <c r="P10" s="5">
        <f>IF(DAY(FévDim1)=1,IF(AND(YEAR(FévDim1+14)=AnnéeCalendrier,MONTH(FévDim1+14)=2),FévDim1+14,""),IF(AND(YEAR(FévDim1+21)=AnnéeCalendrier,MONTH(FévDim1+21)=2),FévDim1+21,""))</f>
        <v>43513</v>
      </c>
      <c r="R10" s="5">
        <f>IF(DAY(MarDim1)=1,IF(AND(YEAR(MarDim1+8)=AnnéeCalendrier,MONTH(MarDim1+8)=3),MarDim1+8,""),IF(AND(YEAR(MarDim1+15)=AnnéeCalendrier,MONTH(MarDim1+15)=3),MarDim1+15,""))</f>
        <v>43535</v>
      </c>
      <c r="S10" s="5">
        <f>IF(DAY(MarDim1)=1,IF(AND(YEAR(MarDim1+9)=AnnéeCalendrier,MONTH(MarDim1+9)=3),MarDim1+9,""),IF(AND(YEAR(MarDim1+16)=AnnéeCalendrier,MONTH(MarDim1+16)=3),MarDim1+16,""))</f>
        <v>43536</v>
      </c>
      <c r="T10" s="5">
        <f>IF(DAY(MarDim1)=1,IF(AND(YEAR(MarDim1+10)=AnnéeCalendrier,MONTH(MarDim1+10)=3),MarDim1+10,""),IF(AND(YEAR(MarDim1+17)=AnnéeCalendrier,MONTH(MarDim1+17)=3),MarDim1+17,""))</f>
        <v>43537</v>
      </c>
      <c r="U10" s="5">
        <f>IF(DAY(MarDim1)=1,IF(AND(YEAR(MarDim1+11)=AnnéeCalendrier,MONTH(MarDim1+11)=3),MarDim1+11,""),IF(AND(YEAR(MarDim1+18)=AnnéeCalendrier,MONTH(MarDim1+18)=3),MarDim1+18,""))</f>
        <v>43538</v>
      </c>
      <c r="V10" s="5">
        <f>IF(DAY(MarDim1)=1,IF(AND(YEAR(MarDim1+12)=AnnéeCalendrier,MONTH(MarDim1+12)=3),MarDim1+12,""),IF(AND(YEAR(MarDim1+19)=AnnéeCalendrier,MONTH(MarDim1+19)=3),MarDim1+19,""))</f>
        <v>43539</v>
      </c>
      <c r="W10" s="5">
        <f>IF(DAY(MarDim1)=1,IF(AND(YEAR(MarDim1+13)=AnnéeCalendrier,MONTH(MarDim1+13)=3),MarDim1+13,""),IF(AND(YEAR(MarDim1+20)=AnnéeCalendrier,MONTH(MarDim1+20)=3),MarDim1+20,""))</f>
        <v>43540</v>
      </c>
      <c r="X10" s="5">
        <f>IF(DAY(MarDim1)=1,IF(AND(YEAR(MarDim1+14)=AnnéeCalendrier,MONTH(MarDim1+14)=3),MarDim1+14,""),IF(AND(YEAR(MarDim1+21)=AnnéeCalendrier,MONTH(MarDim1+21)=3),MarDim1+21,""))</f>
        <v>43541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43486</v>
      </c>
      <c r="C11" s="5">
        <f>IF(DAY(JanDim1)=1,IF(AND(YEAR(JanDim1+16)=AnnéeCalendrier,MONTH(JanDim1+16)=1),JanDim1+16,""),IF(AND(YEAR(JanDim1+23)=AnnéeCalendrier,MONTH(JanDim1+23)=1),JanDim1+23,""))</f>
        <v>43487</v>
      </c>
      <c r="D11" s="5">
        <f>IF(DAY(JanDim1)=1,IF(AND(YEAR(JanDim1+17)=AnnéeCalendrier,MONTH(JanDim1+17)=1),JanDim1+17,""),IF(AND(YEAR(JanDim1+24)=AnnéeCalendrier,MONTH(JanDim1+24)=1),JanDim1+24,""))</f>
        <v>43488</v>
      </c>
      <c r="E11" s="5">
        <f>IF(DAY(JanDim1)=1,IF(AND(YEAR(JanDim1+18)=AnnéeCalendrier,MONTH(JanDim1+18)=1),JanDim1+18,""),IF(AND(YEAR(JanDim1+25)=AnnéeCalendrier,MONTH(JanDim1+25)=1),JanDim1+25,""))</f>
        <v>43489</v>
      </c>
      <c r="F11" s="5">
        <f>IF(DAY(JanDim1)=1,IF(AND(YEAR(JanDim1+19)=AnnéeCalendrier,MONTH(JanDim1+19)=1),JanDim1+19,""),IF(AND(YEAR(JanDim1+26)=AnnéeCalendrier,MONTH(JanDim1+26)=1),JanDim1+26,""))</f>
        <v>43490</v>
      </c>
      <c r="G11" s="5">
        <f>IF(DAY(JanDim1)=1,IF(AND(YEAR(JanDim1+20)=AnnéeCalendrier,MONTH(JanDim1+20)=1),JanDim1+20,""),IF(AND(YEAR(JanDim1+27)=AnnéeCalendrier,MONTH(JanDim1+27)=1),JanDim1+27,""))</f>
        <v>43491</v>
      </c>
      <c r="H11" s="5">
        <f>IF(DAY(JanDim1)=1,IF(AND(YEAR(JanDim1+21)=AnnéeCalendrier,MONTH(JanDim1+21)=1),JanDim1+21,""),IF(AND(YEAR(JanDim1+28)=AnnéeCalendrier,MONTH(JanDim1+28)=1),JanDim1+28,""))</f>
        <v>43492</v>
      </c>
      <c r="J11" s="5">
        <f>IF(DAY(FévDim1)=1,IF(AND(YEAR(FévDim1+15)=AnnéeCalendrier,MONTH(FévDim1+15)=2),FévDim1+15,""),IF(AND(YEAR(FévDim1+22)=AnnéeCalendrier,MONTH(FévDim1+22)=2),FévDim1+22,""))</f>
        <v>43514</v>
      </c>
      <c r="K11" s="5">
        <f>IF(DAY(FévDim1)=1,IF(AND(YEAR(FévDim1+16)=AnnéeCalendrier,MONTH(FévDim1+16)=2),FévDim1+16,""),IF(AND(YEAR(FévDim1+23)=AnnéeCalendrier,MONTH(FévDim1+23)=2),FévDim1+23,""))</f>
        <v>43515</v>
      </c>
      <c r="L11" s="5">
        <f>IF(DAY(FévDim1)=1,IF(AND(YEAR(FévDim1+17)=AnnéeCalendrier,MONTH(FévDim1+17)=2),FévDim1+17,""),IF(AND(YEAR(FévDim1+24)=AnnéeCalendrier,MONTH(FévDim1+24)=2),FévDim1+24,""))</f>
        <v>43516</v>
      </c>
      <c r="M11" s="5">
        <f>IF(DAY(FévDim1)=1,IF(AND(YEAR(FévDim1+18)=AnnéeCalendrier,MONTH(FévDim1+18)=2),FévDim1+18,""),IF(AND(YEAR(FévDim1+25)=AnnéeCalendrier,MONTH(FévDim1+25)=2),FévDim1+25,""))</f>
        <v>43517</v>
      </c>
      <c r="N11" s="5">
        <f>IF(DAY(FévDim1)=1,IF(AND(YEAR(FévDim1+19)=AnnéeCalendrier,MONTH(FévDim1+19)=2),FévDim1+19,""),IF(AND(YEAR(FévDim1+26)=AnnéeCalendrier,MONTH(FévDim1+26)=2),FévDim1+26,""))</f>
        <v>43518</v>
      </c>
      <c r="O11" s="5">
        <f>IF(DAY(FévDim1)=1,IF(AND(YEAR(FévDim1+20)=AnnéeCalendrier,MONTH(FévDim1+20)=2),FévDim1+20,""),IF(AND(YEAR(FévDim1+27)=AnnéeCalendrier,MONTH(FévDim1+27)=2),FévDim1+27,""))</f>
        <v>43519</v>
      </c>
      <c r="P11" s="5">
        <f>IF(DAY(FévDim1)=1,IF(AND(YEAR(FévDim1+21)=AnnéeCalendrier,MONTH(FévDim1+21)=2),FévDim1+21,""),IF(AND(YEAR(FévDim1+28)=AnnéeCalendrier,MONTH(FévDim1+28)=2),FévDim1+28,""))</f>
        <v>43520</v>
      </c>
      <c r="R11" s="5">
        <f>IF(DAY(MarDim1)=1,IF(AND(YEAR(MarDim1+15)=AnnéeCalendrier,MONTH(MarDim1+15)=3),MarDim1+15,""),IF(AND(YEAR(MarDim1+22)=AnnéeCalendrier,MONTH(MarDim1+22)=3),MarDim1+22,""))</f>
        <v>43542</v>
      </c>
      <c r="S11" s="5">
        <f>IF(DAY(MarDim1)=1,IF(AND(YEAR(MarDim1+16)=AnnéeCalendrier,MONTH(MarDim1+16)=3),MarDim1+16,""),IF(AND(YEAR(MarDim1+23)=AnnéeCalendrier,MONTH(MarDim1+23)=3),MarDim1+23,""))</f>
        <v>43543</v>
      </c>
      <c r="T11" s="5">
        <f>IF(DAY(MarDim1)=1,IF(AND(YEAR(MarDim1+17)=AnnéeCalendrier,MONTH(MarDim1+17)=3),MarDim1+17,""),IF(AND(YEAR(MarDim1+24)=AnnéeCalendrier,MONTH(MarDim1+24)=3),MarDim1+24,""))</f>
        <v>43544</v>
      </c>
      <c r="U11" s="5">
        <f>IF(DAY(MarDim1)=1,IF(AND(YEAR(MarDim1+18)=AnnéeCalendrier,MONTH(MarDim1+18)=3),MarDim1+18,""),IF(AND(YEAR(MarDim1+25)=AnnéeCalendrier,MONTH(MarDim1+25)=3),MarDim1+25,""))</f>
        <v>43545</v>
      </c>
      <c r="V11" s="5">
        <f>IF(DAY(MarDim1)=1,IF(AND(YEAR(MarDim1+19)=AnnéeCalendrier,MONTH(MarDim1+19)=3),MarDim1+19,""),IF(AND(YEAR(MarDim1+26)=AnnéeCalendrier,MONTH(MarDim1+26)=3),MarDim1+26,""))</f>
        <v>43546</v>
      </c>
      <c r="W11" s="5">
        <f>IF(DAY(MarDim1)=1,IF(AND(YEAR(MarDim1+20)=AnnéeCalendrier,MONTH(MarDim1+20)=3),MarDim1+20,""),IF(AND(YEAR(MarDim1+27)=AnnéeCalendrier,MONTH(MarDim1+27)=3),MarDim1+27,""))</f>
        <v>43547</v>
      </c>
      <c r="X11" s="5">
        <f>IF(DAY(MarDim1)=1,IF(AND(YEAR(MarDim1+21)=AnnéeCalendrier,MONTH(MarDim1+21)=3),MarDim1+21,""),IF(AND(YEAR(MarDim1+28)=AnnéeCalendrier,MONTH(MarDim1+28)=3),MarDim1+28,""))</f>
        <v>43548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43493</v>
      </c>
      <c r="C12" s="5">
        <f>IF(DAY(JanDim1)=1,IF(AND(YEAR(JanDim1+23)=AnnéeCalendrier,MONTH(JanDim1+23)=1),JanDim1+23,""),IF(AND(YEAR(JanDim1+30)=AnnéeCalendrier,MONTH(JanDim1+30)=1),JanDim1+30,""))</f>
        <v>43494</v>
      </c>
      <c r="D12" s="5">
        <f>IF(DAY(JanDim1)=1,IF(AND(YEAR(JanDim1+24)=AnnéeCalendrier,MONTH(JanDim1+24)=1),JanDim1+24,""),IF(AND(YEAR(JanDim1+31)=AnnéeCalendrier,MONTH(JanDim1+31)=1),JanDim1+31,""))</f>
        <v>43495</v>
      </c>
      <c r="E12" s="5">
        <f>IF(DAY(JanDim1)=1,IF(AND(YEAR(JanDim1+25)=AnnéeCalendrier,MONTH(JanDim1+25)=1),JanDim1+25,""),IF(AND(YEAR(JanDim1+32)=AnnéeCalendrier,MONTH(JanDim1+32)=1),JanDim1+32,""))</f>
        <v>43496</v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J12" s="5">
        <f>IF(DAY(FévDim1)=1,IF(AND(YEAR(FévDim1+22)=AnnéeCalendrier,MONTH(FévDim1+22)=2),FévDim1+22,""),IF(AND(YEAR(FévDim1+29)=AnnéeCalendrier,MONTH(FévDim1+29)=2),FévDim1+29,""))</f>
        <v>43521</v>
      </c>
      <c r="K12" s="5">
        <f>IF(DAY(FévDim1)=1,IF(AND(YEAR(FévDim1+23)=AnnéeCalendrier,MONTH(FévDim1+23)=2),FévDim1+23,""),IF(AND(YEAR(FévDim1+30)=AnnéeCalendrier,MONTH(FévDim1+30)=2),FévDim1+30,""))</f>
        <v>43522</v>
      </c>
      <c r="L12" s="5">
        <f>IF(DAY(FévDim1)=1,IF(AND(YEAR(FévDim1+24)=AnnéeCalendrier,MONTH(FévDim1+24)=2),FévDim1+24,""),IF(AND(YEAR(FévDim1+31)=AnnéeCalendrier,MONTH(FévDim1+31)=2),FévDim1+31,""))</f>
        <v>43523</v>
      </c>
      <c r="M12" s="5">
        <f>IF(DAY(FévDim1)=1,IF(AND(YEAR(FévDim1+25)=AnnéeCalendrier,MONTH(FévDim1+25)=2),FévDim1+25,""),IF(AND(YEAR(FévDim1+32)=AnnéeCalendrier,MONTH(FévDim1+32)=2),FévDim1+32,""))</f>
        <v>43524</v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R12" s="5">
        <f>IF(DAY(MarDim1)=1,IF(AND(YEAR(MarDim1+22)=AnnéeCalendrier,MONTH(MarDim1+22)=3),MarDim1+22,""),IF(AND(YEAR(MarDim1+29)=AnnéeCalendrier,MONTH(MarDim1+29)=3),MarDim1+29,""))</f>
        <v>43549</v>
      </c>
      <c r="S12" s="5">
        <f>IF(DAY(MarDim1)=1,IF(AND(YEAR(MarDim1+23)=AnnéeCalendrier,MONTH(MarDim1+23)=3),MarDim1+23,""),IF(AND(YEAR(MarDim1+30)=AnnéeCalendrier,MONTH(MarDim1+30)=3),MarDim1+30,""))</f>
        <v>43550</v>
      </c>
      <c r="T12" s="5">
        <f>IF(DAY(MarDim1)=1,IF(AND(YEAR(MarDim1+24)=AnnéeCalendrier,MONTH(MarDim1+24)=3),MarDim1+24,""),IF(AND(YEAR(MarDim1+31)=AnnéeCalendrier,MONTH(MarDim1+31)=3),MarDim1+31,""))</f>
        <v>43551</v>
      </c>
      <c r="U12" s="5">
        <f>IF(DAY(MarDim1)=1,IF(AND(YEAR(MarDim1+25)=AnnéeCalendrier,MONTH(MarDim1+25)=3),MarDim1+25,""),IF(AND(YEAR(MarDim1+32)=AnnéeCalendrier,MONTH(MarDim1+32)=3),MarDim1+32,""))</f>
        <v>43552</v>
      </c>
      <c r="V12" s="5">
        <f>IF(DAY(MarDim1)=1,IF(AND(YEAR(MarDim1+26)=AnnéeCalendrier,MONTH(MarDim1+26)=3),MarDim1+26,""),IF(AND(YEAR(MarDim1+33)=AnnéeCalendrier,MONTH(MarDim1+33)=3),MarDim1+33,""))</f>
        <v>43553</v>
      </c>
      <c r="W12" s="5">
        <f>IF(DAY(MarDim1)=1,IF(AND(YEAR(MarDim1+27)=AnnéeCalendrier,MONTH(MarDim1+27)=3),MarDim1+27,""),IF(AND(YEAR(MarDim1+34)=AnnéeCalendrier,MONTH(MarDim1+34)=3),MarDim1+34,""))</f>
        <v>43554</v>
      </c>
      <c r="X12" s="5">
        <f>IF(DAY(MarDim1)=1,IF(AND(YEAR(MarDim1+28)=AnnéeCalendrier,MONTH(MarDim1+28)=3),MarDim1+28,""),IF(AND(YEAR(MarDim1+35)=AnnéeCalendrier,MONTH(MarDim1+35)=3),MarDim1+35,""))</f>
        <v>43555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J14" s="4"/>
      <c r="K14" s="4"/>
      <c r="L14" s="4"/>
      <c r="M14" s="4"/>
      <c r="N14" s="4"/>
      <c r="O14" s="4"/>
      <c r="P14" s="4"/>
    </row>
    <row r="15" spans="1:29" s="26" customFormat="1" ht="42" customHeight="1" x14ac:dyDescent="0.25">
      <c r="A15" s="25"/>
      <c r="B15" s="49" t="s">
        <v>3</v>
      </c>
      <c r="C15" s="49"/>
      <c r="D15" s="49"/>
      <c r="E15" s="49"/>
      <c r="F15" s="49"/>
      <c r="G15" s="49"/>
      <c r="H15" s="49"/>
      <c r="I15" s="37"/>
      <c r="J15" s="49" t="s">
        <v>13</v>
      </c>
      <c r="K15" s="49"/>
      <c r="L15" s="49"/>
      <c r="M15" s="49"/>
      <c r="N15" s="49"/>
      <c r="O15" s="49"/>
      <c r="P15" s="49"/>
      <c r="Q15" s="37"/>
      <c r="R15" s="49" t="s">
        <v>17</v>
      </c>
      <c r="S15" s="49"/>
      <c r="T15" s="49"/>
      <c r="U15" s="49"/>
      <c r="V15" s="49"/>
      <c r="W15" s="49"/>
      <c r="X15" s="49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I16" s="38"/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Q16" s="38"/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>
        <f>IF(DAY(AvrDim1)=1,"",IF(AND(YEAR(AvrDim1+1)=AnnéeCalendrier,MONTH(AvrDim1+1)=4),AvrDim1+1,""))</f>
        <v>43556</v>
      </c>
      <c r="C17" s="5">
        <f>IF(DAY(AvrDim1)=1,"",IF(AND(YEAR(AvrDim1+2)=AnnéeCalendrier,MONTH(AvrDim1+2)=4),AvrDim1+2,""))</f>
        <v>43557</v>
      </c>
      <c r="D17" s="5">
        <f>IF(DAY(AvrDim1)=1,"",IF(AND(YEAR(AvrDim1+3)=AnnéeCalendrier,MONTH(AvrDim1+3)=4),AvrDim1+3,""))</f>
        <v>43558</v>
      </c>
      <c r="E17" s="5">
        <f>IF(DAY(AvrDim1)=1,"",IF(AND(YEAR(AvrDim1+4)=AnnéeCalendrier,MONTH(AvrDim1+4)=4),AvrDim1+4,""))</f>
        <v>43559</v>
      </c>
      <c r="F17" s="5">
        <f>IF(DAY(AvrDim1)=1,"",IF(AND(YEAR(AvrDim1+5)=AnnéeCalendrier,MONTH(AvrDim1+5)=4),AvrDim1+5,""))</f>
        <v>43560</v>
      </c>
      <c r="G17" s="5">
        <f>IF(DAY(AvrDim1)=1,"",IF(AND(YEAR(AvrDim1+6)=AnnéeCalendrier,MONTH(AvrDim1+6)=4),AvrDim1+6,""))</f>
        <v>43561</v>
      </c>
      <c r="H17" s="7">
        <f>IF(DAY(AvrDim1)=1,IF(AND(YEAR(AvrDim1)=AnnéeCalendrier,MONTH(AvrDim1)=4),AvrDim1,""),IF(AND(YEAR(AvrDim1+7)=AnnéeCalendrier,MONTH(AvrDim1+7)=4),AvrDim1+7,""))</f>
        <v>43562</v>
      </c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>
        <f>IF(DAY(MaiDim1)=1,"",IF(AND(YEAR(MaiDim1+3)=AnnéeCalendrier,MONTH(MaiDim1+3)=5),MaiDim1+3,""))</f>
        <v>43586</v>
      </c>
      <c r="M17" s="5">
        <f>IF(DAY(MaiDim1)=1,"",IF(AND(YEAR(MaiDim1+4)=AnnéeCalendrier,MONTH(MaiDim1+4)=5),MaiDim1+4,""))</f>
        <v>43587</v>
      </c>
      <c r="N17" s="5">
        <f>IF(DAY(MaiDim1)=1,"",IF(AND(YEAR(MaiDim1+5)=AnnéeCalendrier,MONTH(MaiDim1+5)=5),MaiDim1+5,""))</f>
        <v>43588</v>
      </c>
      <c r="O17" s="5">
        <f>IF(DAY(MaiDim1)=1,"",IF(AND(YEAR(MaiDim1+6)=AnnéeCalendrier,MONTH(MaiDim1+6)=5),MaiDim1+6,""))</f>
        <v>43589</v>
      </c>
      <c r="P17" s="7">
        <f>IF(DAY(MaiDim1)=1,IF(AND(YEAR(MaiDim1)=AnnéeCalendrier,MONTH(MaiDim1)=5),MaiDim1,""),IF(AND(YEAR(MaiDim1+7)=AnnéeCalendrier,MONTH(MaiDim1+7)=5),MaiDim1+7,""))</f>
        <v>43590</v>
      </c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>
        <f>IF(DAY(JunDim1)=1,"",IF(AND(YEAR(JunDim1+6)=AnnéeCalendrier,MONTH(JunDim1+6)=6),JunDim1+6,""))</f>
        <v>43617</v>
      </c>
      <c r="X17" s="7">
        <f>IF(DAY(JunDim1)=1,IF(AND(YEAR(JunDim1)=AnnéeCalendrier,MONTH(JunDim1)=6),JunDim1,""),IF(AND(YEAR(JunDim1+7)=AnnéeCalendrier,MONTH(JunDim1+7)=6),JunDim1+7,""))</f>
        <v>43618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43563</v>
      </c>
      <c r="C18" s="5">
        <f>IF(DAY(AvrDim1)=1,IF(AND(YEAR(AvrDim1+2)=AnnéeCalendrier,MONTH(AvrDim1+2)=4),AvrDim1+2,""),IF(AND(YEAR(AvrDim1+9)=AnnéeCalendrier,MONTH(AvrDim1+9)=4),AvrDim1+9,""))</f>
        <v>43564</v>
      </c>
      <c r="D18" s="5">
        <f>IF(DAY(AvrDim1)=1,IF(AND(YEAR(AvrDim1+3)=AnnéeCalendrier,MONTH(AvrDim1+3)=4),AvrDim1+3,""),IF(AND(YEAR(AvrDim1+10)=AnnéeCalendrier,MONTH(AvrDim1+10)=4),AvrDim1+10,""))</f>
        <v>43565</v>
      </c>
      <c r="E18" s="5">
        <f>IF(DAY(AvrDim1)=1,IF(AND(YEAR(AvrDim1+4)=AnnéeCalendrier,MONTH(AvrDim1+4)=4),AvrDim1+4,""),IF(AND(YEAR(AvrDim1+11)=AnnéeCalendrier,MONTH(AvrDim1+11)=4),AvrDim1+11,""))</f>
        <v>43566</v>
      </c>
      <c r="F18" s="5">
        <f>IF(DAY(AvrDim1)=1,IF(AND(YEAR(AvrDim1+5)=AnnéeCalendrier,MONTH(AvrDim1+5)=4),AvrDim1+5,""),IF(AND(YEAR(AvrDim1+12)=AnnéeCalendrier,MONTH(AvrDim1+12)=4),AvrDim1+12,""))</f>
        <v>43567</v>
      </c>
      <c r="G18" s="5">
        <f>IF(DAY(AvrDim1)=1,IF(AND(YEAR(AvrDim1+6)=AnnéeCalendrier,MONTH(AvrDim1+6)=4),AvrDim1+6,""),IF(AND(YEAR(AvrDim1+13)=AnnéeCalendrier,MONTH(AvrDim1+13)=4),AvrDim1+13,""))</f>
        <v>43568</v>
      </c>
      <c r="H18" s="7">
        <f>IF(DAY(AvrDim1)=1,IF(AND(YEAR(AvrDim1+7)=AnnéeCalendrier,MONTH(AvrDim1+7)=4),AvrDim1+7,""),IF(AND(YEAR(AvrDim1+14)=AnnéeCalendrier,MONTH(AvrDim1+14)=4),AvrDim1+14,""))</f>
        <v>43569</v>
      </c>
      <c r="J18" s="6">
        <f>IF(DAY(MaiDim1)=1,IF(AND(YEAR(MaiDim1+1)=AnnéeCalendrier,MONTH(MaiDim1+1)=5),MaiDim1+1,""),IF(AND(YEAR(MaiDim1+8)=AnnéeCalendrier,MONTH(MaiDim1+8)=5),MaiDim1+8,""))</f>
        <v>43591</v>
      </c>
      <c r="K18" s="5">
        <f>IF(DAY(MaiDim1)=1,IF(AND(YEAR(MaiDim1+2)=AnnéeCalendrier,MONTH(MaiDim1+2)=5),MaiDim1+2,""),IF(AND(YEAR(MaiDim1+9)=AnnéeCalendrier,MONTH(MaiDim1+9)=5),MaiDim1+9,""))</f>
        <v>43592</v>
      </c>
      <c r="L18" s="5">
        <f>IF(DAY(MaiDim1)=1,IF(AND(YEAR(MaiDim1+3)=AnnéeCalendrier,MONTH(MaiDim1+3)=5),MaiDim1+3,""),IF(AND(YEAR(MaiDim1+10)=AnnéeCalendrier,MONTH(MaiDim1+10)=5),MaiDim1+10,""))</f>
        <v>43593</v>
      </c>
      <c r="M18" s="5">
        <f>IF(DAY(MaiDim1)=1,IF(AND(YEAR(MaiDim1+4)=AnnéeCalendrier,MONTH(MaiDim1+4)=5),MaiDim1+4,""),IF(AND(YEAR(MaiDim1+11)=AnnéeCalendrier,MONTH(MaiDim1+11)=5),MaiDim1+11,""))</f>
        <v>43594</v>
      </c>
      <c r="N18" s="5">
        <f>IF(DAY(MaiDim1)=1,IF(AND(YEAR(MaiDim1+5)=AnnéeCalendrier,MONTH(MaiDim1+5)=5),MaiDim1+5,""),IF(AND(YEAR(MaiDim1+12)=AnnéeCalendrier,MONTH(MaiDim1+12)=5),MaiDim1+12,""))</f>
        <v>43595</v>
      </c>
      <c r="O18" s="5">
        <f>IF(DAY(MaiDim1)=1,IF(AND(YEAR(MaiDim1+6)=AnnéeCalendrier,MONTH(MaiDim1+6)=5),MaiDim1+6,""),IF(AND(YEAR(MaiDim1+13)=AnnéeCalendrier,MONTH(MaiDim1+13)=5),MaiDim1+13,""))</f>
        <v>43596</v>
      </c>
      <c r="P18" s="7">
        <f>IF(DAY(MaiDim1)=1,IF(AND(YEAR(MaiDim1+7)=AnnéeCalendrier,MONTH(MaiDim1+7)=5),MaiDim1+7,""),IF(AND(YEAR(MaiDim1+14)=AnnéeCalendrier,MONTH(MaiDim1+14)=5),MaiDim1+14,""))</f>
        <v>43597</v>
      </c>
      <c r="R18" s="6">
        <f>IF(DAY(JunDim1)=1,IF(AND(YEAR(JunDim1+1)=AnnéeCalendrier,MONTH(JunDim1+1)=6),JunDim1+1,""),IF(AND(YEAR(JunDim1+8)=AnnéeCalendrier,MONTH(JunDim1+8)=6),JunDim1+8,""))</f>
        <v>43619</v>
      </c>
      <c r="S18" s="5">
        <f>IF(DAY(JunDim1)=1,IF(AND(YEAR(JunDim1+2)=AnnéeCalendrier,MONTH(JunDim1+2)=6),JunDim1+2,""),IF(AND(YEAR(JunDim1+9)=AnnéeCalendrier,MONTH(JunDim1+9)=6),JunDim1+9,""))</f>
        <v>43620</v>
      </c>
      <c r="T18" s="5">
        <f>IF(DAY(JunDim1)=1,IF(AND(YEAR(JunDim1+3)=AnnéeCalendrier,MONTH(JunDim1+3)=6),JunDim1+3,""),IF(AND(YEAR(JunDim1+10)=AnnéeCalendrier,MONTH(JunDim1+10)=6),JunDim1+10,""))</f>
        <v>43621</v>
      </c>
      <c r="U18" s="5">
        <f>IF(DAY(JunDim1)=1,IF(AND(YEAR(JunDim1+4)=AnnéeCalendrier,MONTH(JunDim1+4)=6),JunDim1+4,""),IF(AND(YEAR(JunDim1+11)=AnnéeCalendrier,MONTH(JunDim1+11)=6),JunDim1+11,""))</f>
        <v>43622</v>
      </c>
      <c r="V18" s="5">
        <f>IF(DAY(JunDim1)=1,IF(AND(YEAR(JunDim1+5)=AnnéeCalendrier,MONTH(JunDim1+5)=6),JunDim1+5,""),IF(AND(YEAR(JunDim1+12)=AnnéeCalendrier,MONTH(JunDim1+12)=6),JunDim1+12,""))</f>
        <v>43623</v>
      </c>
      <c r="W18" s="5">
        <f>IF(DAY(JunDim1)=1,IF(AND(YEAR(JunDim1+6)=AnnéeCalendrier,MONTH(JunDim1+6)=6),JunDim1+6,""),IF(AND(YEAR(JunDim1+13)=AnnéeCalendrier,MONTH(JunDim1+13)=6),JunDim1+13,""))</f>
        <v>43624</v>
      </c>
      <c r="X18" s="7">
        <f>IF(DAY(JunDim1)=1,IF(AND(YEAR(JunDim1+7)=AnnéeCalendrier,MONTH(JunDim1+7)=6),JunDim1+7,""),IF(AND(YEAR(JunDim1+14)=AnnéeCalendrier,MONTH(JunDim1+14)=6),JunDim1+14,""))</f>
        <v>43625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43570</v>
      </c>
      <c r="C19" s="5">
        <f>IF(DAY(AvrDim1)=1,IF(AND(YEAR(AvrDim1+9)=AnnéeCalendrier,MONTH(AvrDim1+9)=4),AvrDim1+9,""),IF(AND(YEAR(AvrDim1+16)=AnnéeCalendrier,MONTH(AvrDim1+16)=4),AvrDim1+16,""))</f>
        <v>43571</v>
      </c>
      <c r="D19" s="5">
        <f>IF(DAY(AvrDim1)=1,IF(AND(YEAR(AvrDim1+10)=AnnéeCalendrier,MONTH(AvrDim1+10)=4),AvrDim1+10,""),IF(AND(YEAR(AvrDim1+17)=AnnéeCalendrier,MONTH(AvrDim1+17)=4),AvrDim1+17,""))</f>
        <v>43572</v>
      </c>
      <c r="E19" s="5">
        <f>IF(DAY(AvrDim1)=1,IF(AND(YEAR(AvrDim1+11)=AnnéeCalendrier,MONTH(AvrDim1+11)=4),AvrDim1+11,""),IF(AND(YEAR(AvrDim1+18)=AnnéeCalendrier,MONTH(AvrDim1+18)=4),AvrDim1+18,""))</f>
        <v>43573</v>
      </c>
      <c r="F19" s="5">
        <f>IF(DAY(AvrDim1)=1,IF(AND(YEAR(AvrDim1+12)=AnnéeCalendrier,MONTH(AvrDim1+12)=4),AvrDim1+12,""),IF(AND(YEAR(AvrDim1+19)=AnnéeCalendrier,MONTH(AvrDim1+19)=4),AvrDim1+19,""))</f>
        <v>43574</v>
      </c>
      <c r="G19" s="5">
        <f>IF(DAY(AvrDim1)=1,IF(AND(YEAR(AvrDim1+13)=AnnéeCalendrier,MONTH(AvrDim1+13)=4),AvrDim1+13,""),IF(AND(YEAR(AvrDim1+20)=AnnéeCalendrier,MONTH(AvrDim1+20)=4),AvrDim1+20,""))</f>
        <v>43575</v>
      </c>
      <c r="H19" s="7">
        <f>IF(DAY(AvrDim1)=1,IF(AND(YEAR(AvrDim1+14)=AnnéeCalendrier,MONTH(AvrDim1+14)=4),AvrDim1+14,""),IF(AND(YEAR(AvrDim1+21)=AnnéeCalendrier,MONTH(AvrDim1+21)=4),AvrDim1+21,""))</f>
        <v>43576</v>
      </c>
      <c r="J19" s="6">
        <f>IF(DAY(MaiDim1)=1,IF(AND(YEAR(MaiDim1+8)=AnnéeCalendrier,MONTH(MaiDim1+8)=5),MaiDim1+8,""),IF(AND(YEAR(MaiDim1+15)=AnnéeCalendrier,MONTH(MaiDim1+15)=5),MaiDim1+15,""))</f>
        <v>43598</v>
      </c>
      <c r="K19" s="5">
        <f>IF(DAY(MaiDim1)=1,IF(AND(YEAR(MaiDim1+9)=AnnéeCalendrier,MONTH(MaiDim1+9)=5),MaiDim1+9,""),IF(AND(YEAR(MaiDim1+16)=AnnéeCalendrier,MONTH(MaiDim1+16)=5),MaiDim1+16,""))</f>
        <v>43599</v>
      </c>
      <c r="L19" s="5">
        <f>IF(DAY(MaiDim1)=1,IF(AND(YEAR(MaiDim1+10)=AnnéeCalendrier,MONTH(MaiDim1+10)=5),MaiDim1+10,""),IF(AND(YEAR(MaiDim1+17)=AnnéeCalendrier,MONTH(MaiDim1+17)=5),MaiDim1+17,""))</f>
        <v>43600</v>
      </c>
      <c r="M19" s="5">
        <f>IF(DAY(MaiDim1)=1,IF(AND(YEAR(MaiDim1+11)=AnnéeCalendrier,MONTH(MaiDim1+11)=5),MaiDim1+11,""),IF(AND(YEAR(MaiDim1+18)=AnnéeCalendrier,MONTH(MaiDim1+18)=5),MaiDim1+18,""))</f>
        <v>43601</v>
      </c>
      <c r="N19" s="5">
        <f>IF(DAY(MaiDim1)=1,IF(AND(YEAR(MaiDim1+12)=AnnéeCalendrier,MONTH(MaiDim1+12)=5),MaiDim1+12,""),IF(AND(YEAR(MaiDim1+19)=AnnéeCalendrier,MONTH(MaiDim1+19)=5),MaiDim1+19,""))</f>
        <v>43602</v>
      </c>
      <c r="O19" s="5">
        <f>IF(DAY(MaiDim1)=1,IF(AND(YEAR(MaiDim1+13)=AnnéeCalendrier,MONTH(MaiDim1+13)=5),MaiDim1+13,""),IF(AND(YEAR(MaiDim1+20)=AnnéeCalendrier,MONTH(MaiDim1+20)=5),MaiDim1+20,""))</f>
        <v>43603</v>
      </c>
      <c r="P19" s="7">
        <f>IF(DAY(MaiDim1)=1,IF(AND(YEAR(MaiDim1+14)=AnnéeCalendrier,MONTH(MaiDim1+14)=5),MaiDim1+14,""),IF(AND(YEAR(MaiDim1+21)=AnnéeCalendrier,MONTH(MaiDim1+21)=5),MaiDim1+21,""))</f>
        <v>43604</v>
      </c>
      <c r="R19" s="6">
        <f>IF(DAY(JunDim1)=1,IF(AND(YEAR(JunDim1+8)=AnnéeCalendrier,MONTH(JunDim1+8)=6),JunDim1+8,""),IF(AND(YEAR(JunDim1+15)=AnnéeCalendrier,MONTH(JunDim1+15)=6),JunDim1+15,""))</f>
        <v>43626</v>
      </c>
      <c r="S19" s="5">
        <f>IF(DAY(JunDim1)=1,IF(AND(YEAR(JunDim1+9)=AnnéeCalendrier,MONTH(JunDim1+9)=6),JunDim1+9,""),IF(AND(YEAR(JunDim1+16)=AnnéeCalendrier,MONTH(JunDim1+16)=6),JunDim1+16,""))</f>
        <v>43627</v>
      </c>
      <c r="T19" s="5">
        <f>IF(DAY(JunDim1)=1,IF(AND(YEAR(JunDim1+10)=AnnéeCalendrier,MONTH(JunDim1+10)=6),JunDim1+10,""),IF(AND(YEAR(JunDim1+17)=AnnéeCalendrier,MONTH(JunDim1+17)=6),JunDim1+17,""))</f>
        <v>43628</v>
      </c>
      <c r="U19" s="5">
        <f>IF(DAY(JunDim1)=1,IF(AND(YEAR(JunDim1+11)=AnnéeCalendrier,MONTH(JunDim1+11)=6),JunDim1+11,""),IF(AND(YEAR(JunDim1+18)=AnnéeCalendrier,MONTH(JunDim1+18)=6),JunDim1+18,""))</f>
        <v>43629</v>
      </c>
      <c r="V19" s="5">
        <f>IF(DAY(JunDim1)=1,IF(AND(YEAR(JunDim1+12)=AnnéeCalendrier,MONTH(JunDim1+12)=6),JunDim1+12,""),IF(AND(YEAR(JunDim1+19)=AnnéeCalendrier,MONTH(JunDim1+19)=6),JunDim1+19,""))</f>
        <v>43630</v>
      </c>
      <c r="W19" s="5">
        <f>IF(DAY(JunDim1)=1,IF(AND(YEAR(JunDim1+13)=AnnéeCalendrier,MONTH(JunDim1+13)=6),JunDim1+13,""),IF(AND(YEAR(JunDim1+20)=AnnéeCalendrier,MONTH(JunDim1+20)=6),JunDim1+20,""))</f>
        <v>43631</v>
      </c>
      <c r="X19" s="7">
        <f>IF(DAY(JunDim1)=1,IF(AND(YEAR(JunDim1+14)=AnnéeCalendrier,MONTH(JunDim1+14)=6),JunDim1+14,""),IF(AND(YEAR(JunDim1+21)=AnnéeCalendrier,MONTH(JunDim1+21)=6),JunDim1+21,""))</f>
        <v>43632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43577</v>
      </c>
      <c r="C20" s="5">
        <f>IF(DAY(AvrDim1)=1,IF(AND(YEAR(AvrDim1+16)=AnnéeCalendrier,MONTH(AvrDim1+16)=4),AvrDim1+16,""),IF(AND(YEAR(AvrDim1+23)=AnnéeCalendrier,MONTH(AvrDim1+23)=4),AvrDim1+23,""))</f>
        <v>43578</v>
      </c>
      <c r="D20" s="5">
        <f>IF(DAY(AvrDim1)=1,IF(AND(YEAR(AvrDim1+17)=AnnéeCalendrier,MONTH(AvrDim1+17)=4),AvrDim1+17,""),IF(AND(YEAR(AvrDim1+24)=AnnéeCalendrier,MONTH(AvrDim1+24)=4),AvrDim1+24,""))</f>
        <v>43579</v>
      </c>
      <c r="E20" s="5">
        <f>IF(DAY(AvrDim1)=1,IF(AND(YEAR(AvrDim1+18)=AnnéeCalendrier,MONTH(AvrDim1+18)=4),AvrDim1+18,""),IF(AND(YEAR(AvrDim1+25)=AnnéeCalendrier,MONTH(AvrDim1+25)=4),AvrDim1+25,""))</f>
        <v>43580</v>
      </c>
      <c r="F20" s="5">
        <f>IF(DAY(AvrDim1)=1,IF(AND(YEAR(AvrDim1+19)=AnnéeCalendrier,MONTH(AvrDim1+19)=4),AvrDim1+19,""),IF(AND(YEAR(AvrDim1+26)=AnnéeCalendrier,MONTH(AvrDim1+26)=4),AvrDim1+26,""))</f>
        <v>43581</v>
      </c>
      <c r="G20" s="5">
        <f>IF(DAY(AvrDim1)=1,IF(AND(YEAR(AvrDim1+20)=AnnéeCalendrier,MONTH(AvrDim1+20)=4),AvrDim1+20,""),IF(AND(YEAR(AvrDim1+27)=AnnéeCalendrier,MONTH(AvrDim1+27)=4),AvrDim1+27,""))</f>
        <v>43582</v>
      </c>
      <c r="H20" s="7">
        <f>IF(DAY(AvrDim1)=1,IF(AND(YEAR(AvrDim1+21)=AnnéeCalendrier,MONTH(AvrDim1+21)=4),AvrDim1+21,""),IF(AND(YEAR(AvrDim1+28)=AnnéeCalendrier,MONTH(AvrDim1+28)=4),AvrDim1+28,""))</f>
        <v>43583</v>
      </c>
      <c r="J20" s="6">
        <f>IF(DAY(MaiDim1)=1,IF(AND(YEAR(MaiDim1+15)=AnnéeCalendrier,MONTH(MaiDim1+15)=5),MaiDim1+15,""),IF(AND(YEAR(MaiDim1+22)=AnnéeCalendrier,MONTH(MaiDim1+22)=5),MaiDim1+22,""))</f>
        <v>43605</v>
      </c>
      <c r="K20" s="5">
        <f>IF(DAY(MaiDim1)=1,IF(AND(YEAR(MaiDim1+16)=AnnéeCalendrier,MONTH(MaiDim1+16)=5),MaiDim1+16,""),IF(AND(YEAR(MaiDim1+23)=AnnéeCalendrier,MONTH(MaiDim1+23)=5),MaiDim1+23,""))</f>
        <v>43606</v>
      </c>
      <c r="L20" s="5">
        <f>IF(DAY(MaiDim1)=1,IF(AND(YEAR(MaiDim1+17)=AnnéeCalendrier,MONTH(MaiDim1+17)=5),MaiDim1+17,""),IF(AND(YEAR(MaiDim1+24)=AnnéeCalendrier,MONTH(MaiDim1+24)=5),MaiDim1+24,""))</f>
        <v>43607</v>
      </c>
      <c r="M20" s="5">
        <f>IF(DAY(MaiDim1)=1,IF(AND(YEAR(MaiDim1+18)=AnnéeCalendrier,MONTH(MaiDim1+18)=5),MaiDim1+18,""),IF(AND(YEAR(MaiDim1+25)=AnnéeCalendrier,MONTH(MaiDim1+25)=5),MaiDim1+25,""))</f>
        <v>43608</v>
      </c>
      <c r="N20" s="5">
        <f>IF(DAY(MaiDim1)=1,IF(AND(YEAR(MaiDim1+19)=AnnéeCalendrier,MONTH(MaiDim1+19)=5),MaiDim1+19,""),IF(AND(YEAR(MaiDim1+26)=AnnéeCalendrier,MONTH(MaiDim1+26)=5),MaiDim1+26,""))</f>
        <v>43609</v>
      </c>
      <c r="O20" s="5">
        <f>IF(DAY(MaiDim1)=1,IF(AND(YEAR(MaiDim1+20)=AnnéeCalendrier,MONTH(MaiDim1+20)=5),MaiDim1+20,""),IF(AND(YEAR(MaiDim1+27)=AnnéeCalendrier,MONTH(MaiDim1+27)=5),MaiDim1+27,""))</f>
        <v>43610</v>
      </c>
      <c r="P20" s="7">
        <f>IF(DAY(MaiDim1)=1,IF(AND(YEAR(MaiDim1+21)=AnnéeCalendrier,MONTH(MaiDim1+21)=5),MaiDim1+21,""),IF(AND(YEAR(MaiDim1+28)=AnnéeCalendrier,MONTH(MaiDim1+28)=5),MaiDim1+28,""))</f>
        <v>43611</v>
      </c>
      <c r="R20" s="6">
        <f>IF(DAY(JunDim1)=1,IF(AND(YEAR(JunDim1+15)=AnnéeCalendrier,MONTH(JunDim1+15)=6),JunDim1+15,""),IF(AND(YEAR(JunDim1+22)=AnnéeCalendrier,MONTH(JunDim1+22)=6),JunDim1+22,""))</f>
        <v>43633</v>
      </c>
      <c r="S20" s="5">
        <f>IF(DAY(JunDim1)=1,IF(AND(YEAR(JunDim1+16)=AnnéeCalendrier,MONTH(JunDim1+16)=6),JunDim1+16,""),IF(AND(YEAR(JunDim1+23)=AnnéeCalendrier,MONTH(JunDim1+23)=6),JunDim1+23,""))</f>
        <v>43634</v>
      </c>
      <c r="T20" s="5">
        <f>IF(DAY(JunDim1)=1,IF(AND(YEAR(JunDim1+17)=AnnéeCalendrier,MONTH(JunDim1+17)=6),JunDim1+17,""),IF(AND(YEAR(JunDim1+24)=AnnéeCalendrier,MONTH(JunDim1+24)=6),JunDim1+24,""))</f>
        <v>43635</v>
      </c>
      <c r="U20" s="5">
        <f>IF(DAY(JunDim1)=1,IF(AND(YEAR(JunDim1+18)=AnnéeCalendrier,MONTH(JunDim1+18)=6),JunDim1+18,""),IF(AND(YEAR(JunDim1+25)=AnnéeCalendrier,MONTH(JunDim1+25)=6),JunDim1+25,""))</f>
        <v>43636</v>
      </c>
      <c r="V20" s="5">
        <f>IF(DAY(JunDim1)=1,IF(AND(YEAR(JunDim1+19)=AnnéeCalendrier,MONTH(JunDim1+19)=6),JunDim1+19,""),IF(AND(YEAR(JunDim1+26)=AnnéeCalendrier,MONTH(JunDim1+26)=6),JunDim1+26,""))</f>
        <v>43637</v>
      </c>
      <c r="W20" s="5">
        <f>IF(DAY(JunDim1)=1,IF(AND(YEAR(JunDim1+20)=AnnéeCalendrier,MONTH(JunDim1+20)=6),JunDim1+20,""),IF(AND(YEAR(JunDim1+27)=AnnéeCalendrier,MONTH(JunDim1+27)=6),JunDim1+27,""))</f>
        <v>43638</v>
      </c>
      <c r="X20" s="7">
        <f>IF(DAY(JunDim1)=1,IF(AND(YEAR(JunDim1+21)=AnnéeCalendrier,MONTH(JunDim1+21)=6),JunDim1+21,""),IF(AND(YEAR(JunDim1+28)=AnnéeCalendrier,MONTH(JunDim1+28)=6),JunDim1+28,""))</f>
        <v>43639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43584</v>
      </c>
      <c r="C21" s="5">
        <f>IF(DAY(AvrDim1)=1,IF(AND(YEAR(AvrDim1+23)=AnnéeCalendrier,MONTH(AvrDim1+23)=4),AvrDim1+23,""),IF(AND(YEAR(AvrDim1+30)=AnnéeCalendrier,MONTH(AvrDim1+30)=4),AvrDim1+30,""))</f>
        <v>43585</v>
      </c>
      <c r="D21" s="5" t="str">
        <f>IF(DAY(AvrDim1)=1,IF(AND(YEAR(AvrDim1+24)=AnnéeCalendrier,MONTH(AvrDim1+24)=4),AvrDim1+24,""),IF(AND(YEAR(AvrDim1+31)=AnnéeCalendrier,MONTH(AvrDim1+31)=4),AvrDim1+31,""))</f>
        <v/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J21" s="6">
        <f>IF(DAY(MaiDim1)=1,IF(AND(YEAR(MaiDim1+22)=AnnéeCalendrier,MONTH(MaiDim1+22)=5),MaiDim1+22,""),IF(AND(YEAR(MaiDim1+29)=AnnéeCalendrier,MONTH(MaiDim1+29)=5),MaiDim1+29,""))</f>
        <v>43612</v>
      </c>
      <c r="K21" s="5">
        <f>IF(DAY(MaiDim1)=1,IF(AND(YEAR(MaiDim1+23)=AnnéeCalendrier,MONTH(MaiDim1+23)=5),MaiDim1+23,""),IF(AND(YEAR(MaiDim1+30)=AnnéeCalendrier,MONTH(MaiDim1+30)=5),MaiDim1+30,""))</f>
        <v>43613</v>
      </c>
      <c r="L21" s="5">
        <f>IF(DAY(MaiDim1)=1,IF(AND(YEAR(MaiDim1+24)=AnnéeCalendrier,MONTH(MaiDim1+24)=5),MaiDim1+24,""),IF(AND(YEAR(MaiDim1+31)=AnnéeCalendrier,MONTH(MaiDim1+31)=5),MaiDim1+31,""))</f>
        <v>43614</v>
      </c>
      <c r="M21" s="5">
        <f>IF(DAY(MaiDim1)=1,IF(AND(YEAR(MaiDim1+25)=AnnéeCalendrier,MONTH(MaiDim1+25)=5),MaiDim1+25,""),IF(AND(YEAR(MaiDim1+32)=AnnéeCalendrier,MONTH(MaiDim1+32)=5),MaiDim1+32,""))</f>
        <v>43615</v>
      </c>
      <c r="N21" s="5">
        <f>IF(DAY(MaiDim1)=1,IF(AND(YEAR(MaiDim1+26)=AnnéeCalendrier,MONTH(MaiDim1+26)=5),MaiDim1+26,""),IF(AND(YEAR(MaiDim1+33)=AnnéeCalendrier,MONTH(MaiDim1+33)=5),MaiDim1+33,""))</f>
        <v>43616</v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R21" s="6">
        <f>IF(DAY(JunDim1)=1,IF(AND(YEAR(JunDim1+22)=AnnéeCalendrier,MONTH(JunDim1+22)=6),JunDim1+22,""),IF(AND(YEAR(JunDim1+29)=AnnéeCalendrier,MONTH(JunDim1+29)=6),JunDim1+29,""))</f>
        <v>43640</v>
      </c>
      <c r="S21" s="5">
        <f>IF(DAY(JunDim1)=1,IF(AND(YEAR(JunDim1+23)=AnnéeCalendrier,MONTH(JunDim1+23)=6),JunDim1+23,""),IF(AND(YEAR(JunDim1+30)=AnnéeCalendrier,MONTH(JunDim1+30)=6),JunDim1+30,""))</f>
        <v>43641</v>
      </c>
      <c r="T21" s="5">
        <f>IF(DAY(JunDim1)=1,IF(AND(YEAR(JunDim1+24)=AnnéeCalendrier,MONTH(JunDim1+24)=6),JunDim1+24,""),IF(AND(YEAR(JunDim1+31)=AnnéeCalendrier,MONTH(JunDim1+31)=6),JunDim1+31,""))</f>
        <v>43642</v>
      </c>
      <c r="U21" s="5">
        <f>IF(DAY(JunDim1)=1,IF(AND(YEAR(JunDim1+25)=AnnéeCalendrier,MONTH(JunDim1+25)=6),JunDim1+25,""),IF(AND(YEAR(JunDim1+32)=AnnéeCalendrier,MONTH(JunDim1+32)=6),JunDim1+32,""))</f>
        <v>43643</v>
      </c>
      <c r="V21" s="5">
        <f>IF(DAY(JunDim1)=1,IF(AND(YEAR(JunDim1+26)=AnnéeCalendrier,MONTH(JunDim1+26)=6),JunDim1+26,""),IF(AND(YEAR(JunDim1+33)=AnnéeCalendrier,MONTH(JunDim1+33)=6),JunDim1+33,""))</f>
        <v>43644</v>
      </c>
      <c r="W21" s="5">
        <f>IF(DAY(JunDim1)=1,IF(AND(YEAR(JunDim1+27)=AnnéeCalendrier,MONTH(JunDim1+27)=6),JunDim1+27,""),IF(AND(YEAR(JunDim1+34)=AnnéeCalendrier,MONTH(JunDim1+34)=6),JunDim1+34,""))</f>
        <v>43645</v>
      </c>
      <c r="X21" s="7">
        <f>IF(DAY(JunDim1)=1,IF(AND(YEAR(JunDim1+28)=AnnéeCalendrier,MONTH(JunDim1+28)=6),JunDim1+28,""),IF(AND(YEAR(JunDim1+35)=AnnéeCalendrier,MONTH(JunDim1+35)=6),JunDim1+35,""))</f>
        <v>43646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9" t="s">
        <v>4</v>
      </c>
      <c r="C24" s="49"/>
      <c r="D24" s="49"/>
      <c r="E24" s="49"/>
      <c r="F24" s="49"/>
      <c r="G24" s="49"/>
      <c r="H24" s="49"/>
      <c r="I24" s="37"/>
      <c r="J24" s="49" t="s">
        <v>14</v>
      </c>
      <c r="K24" s="49"/>
      <c r="L24" s="49"/>
      <c r="M24" s="49"/>
      <c r="N24" s="49"/>
      <c r="O24" s="49"/>
      <c r="P24" s="49"/>
      <c r="Q24" s="37"/>
      <c r="R24" s="49" t="s">
        <v>18</v>
      </c>
      <c r="S24" s="49"/>
      <c r="T24" s="49"/>
      <c r="U24" s="49"/>
      <c r="V24" s="49"/>
      <c r="W24" s="49"/>
      <c r="X24" s="49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I25" s="38"/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Q25" s="38"/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>
        <f>IF(DAY(JulDim1)=1,"",IF(AND(YEAR(JulDim1+1)=AnnéeCalendrier,MONTH(JulDim1+1)=7),JulDim1+1,""))</f>
        <v>43647</v>
      </c>
      <c r="C26" s="5">
        <f>IF(DAY(JulDim1)=1,"",IF(AND(YEAR(JulDim1+2)=AnnéeCalendrier,MONTH(JulDim1+2)=7),JulDim1+2,""))</f>
        <v>43648</v>
      </c>
      <c r="D26" s="5">
        <f>IF(DAY(JulDim1)=1,"",IF(AND(YEAR(JulDim1+3)=AnnéeCalendrier,MONTH(JulDim1+3)=7),JulDim1+3,""))</f>
        <v>43649</v>
      </c>
      <c r="E26" s="5">
        <f>IF(DAY(JulDim1)=1,"",IF(AND(YEAR(JulDim1+4)=AnnéeCalendrier,MONTH(JulDim1+4)=7),JulDim1+4,""))</f>
        <v>43650</v>
      </c>
      <c r="F26" s="5">
        <f>IF(DAY(JulDim1)=1,"",IF(AND(YEAR(JulDim1+5)=AnnéeCalendrier,MONTH(JulDim1+5)=7),JulDim1+5,""))</f>
        <v>43651</v>
      </c>
      <c r="G26" s="5">
        <f>IF(DAY(JulDim1)=1,"",IF(AND(YEAR(JulDim1+6)=AnnéeCalendrier,MONTH(JulDim1+6)=7),JulDim1+6,""))</f>
        <v>43652</v>
      </c>
      <c r="H26" s="7">
        <f>IF(DAY(JulDim1)=1,IF(AND(YEAR(JulDim1)=AnnéeCalendrier,MONTH(JulDim1)=7),JulDim1,""),IF(AND(YEAR(JulDim1+7)=AnnéeCalendrier,MONTH(JulDim1+7)=7),JulDim1+7,""))</f>
        <v>43653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>
        <f>IF(DAY(AouDim1)=1,"",IF(AND(YEAR(AouDim1+4)=AnnéeCalendrier,MONTH(AouDim1+4)=8),AouDim1+4,""))</f>
        <v>43678</v>
      </c>
      <c r="N26" s="5">
        <f>IF(DAY(AouDim1)=1,"",IF(AND(YEAR(AouDim1+5)=AnnéeCalendrier,MONTH(AouDim1+5)=8),AouDim1+5,""))</f>
        <v>43679</v>
      </c>
      <c r="O26" s="5">
        <f>IF(DAY(AouDim1)=1,"",IF(AND(YEAR(AouDim1+6)=AnnéeCalendrier,MONTH(AouDim1+6)=8),AouDim1+6,""))</f>
        <v>43680</v>
      </c>
      <c r="P26" s="7">
        <f>IF(DAY(AouDim1)=1,IF(AND(YEAR(AouDim1)=AnnéeCalendrier,MONTH(AouDim1)=8),AouDim1,""),IF(AND(YEAR(AouDim1+7)=AnnéeCalendrier,MONTH(AouDim1+7)=8),AouDim1+7,""))</f>
        <v>43681</v>
      </c>
      <c r="Q26" s="39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 t="str">
        <f>IF(DAY(SepDim1)=1,"",IF(AND(YEAR(SepDim1+6)=AnnéeCalendrier,MONTH(SepDim1+6)=9),SepDim1+6,""))</f>
        <v/>
      </c>
      <c r="X26" s="7">
        <f>IF(DAY(SepDim1)=1,IF(AND(YEAR(SepDim1)=AnnéeCalendrier,MONTH(SepDim1)=9),SepDim1,""),IF(AND(YEAR(SepDim1+7)=AnnéeCalendrier,MONTH(SepDim1+7)=9),SepDim1+7,""))</f>
        <v>43709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43654</v>
      </c>
      <c r="C27" s="5">
        <f>IF(DAY(JulDim1)=1,IF(AND(YEAR(JulDim1+2)=AnnéeCalendrier,MONTH(JulDim1+2)=7),JulDim1+2,""),IF(AND(YEAR(JulDim1+9)=AnnéeCalendrier,MONTH(JulDim1+9)=7),JulDim1+9,""))</f>
        <v>43655</v>
      </c>
      <c r="D27" s="5">
        <f>IF(DAY(JulDim1)=1,IF(AND(YEAR(JulDim1+3)=AnnéeCalendrier,MONTH(JulDim1+3)=7),JulDim1+3,""),IF(AND(YEAR(JulDim1+10)=AnnéeCalendrier,MONTH(JulDim1+10)=7),JulDim1+10,""))</f>
        <v>43656</v>
      </c>
      <c r="E27" s="5">
        <f>IF(DAY(JulDim1)=1,IF(AND(YEAR(JulDim1+4)=AnnéeCalendrier,MONTH(JulDim1+4)=7),JulDim1+4,""),IF(AND(YEAR(JulDim1+11)=AnnéeCalendrier,MONTH(JulDim1+11)=7),JulDim1+11,""))</f>
        <v>43657</v>
      </c>
      <c r="F27" s="5">
        <f>IF(DAY(JulDim1)=1,IF(AND(YEAR(JulDim1+5)=AnnéeCalendrier,MONTH(JulDim1+5)=7),JulDim1+5,""),IF(AND(YEAR(JulDim1+12)=AnnéeCalendrier,MONTH(JulDim1+12)=7),JulDim1+12,""))</f>
        <v>43658</v>
      </c>
      <c r="G27" s="5">
        <f>IF(DAY(JulDim1)=1,IF(AND(YEAR(JulDim1+6)=AnnéeCalendrier,MONTH(JulDim1+6)=7),JulDim1+6,""),IF(AND(YEAR(JulDim1+13)=AnnéeCalendrier,MONTH(JulDim1+13)=7),JulDim1+13,""))</f>
        <v>43659</v>
      </c>
      <c r="H27" s="7">
        <f>IF(DAY(JulDim1)=1,IF(AND(YEAR(JulDim1+7)=AnnéeCalendrier,MONTH(JulDim1+7)=7),JulDim1+7,""),IF(AND(YEAR(JulDim1+14)=AnnéeCalendrier,MONTH(JulDim1+14)=7),JulDim1+14,""))</f>
        <v>43660</v>
      </c>
      <c r="J27" s="6">
        <f>IF(DAY(AouDim1)=1,IF(AND(YEAR(AouDim1+1)=AnnéeCalendrier,MONTH(AouDim1+1)=8),AouDim1+1,""),IF(AND(YEAR(AouDim1+8)=AnnéeCalendrier,MONTH(AouDim1+8)=8),AouDim1+8,""))</f>
        <v>43682</v>
      </c>
      <c r="K27" s="5">
        <f>IF(DAY(AouDim1)=1,IF(AND(YEAR(AouDim1+2)=AnnéeCalendrier,MONTH(AouDim1+2)=8),AouDim1+2,""),IF(AND(YEAR(AouDim1+9)=AnnéeCalendrier,MONTH(AouDim1+9)=8),AouDim1+9,""))</f>
        <v>43683</v>
      </c>
      <c r="L27" s="5">
        <f>IF(DAY(AouDim1)=1,IF(AND(YEAR(AouDim1+3)=AnnéeCalendrier,MONTH(AouDim1+3)=8),AouDim1+3,""),IF(AND(YEAR(AouDim1+10)=AnnéeCalendrier,MONTH(AouDim1+10)=8),AouDim1+10,""))</f>
        <v>43684</v>
      </c>
      <c r="M27" s="5">
        <f>IF(DAY(AouDim1)=1,IF(AND(YEAR(AouDim1+4)=AnnéeCalendrier,MONTH(AouDim1+4)=8),AouDim1+4,""),IF(AND(YEAR(AouDim1+11)=AnnéeCalendrier,MONTH(AouDim1+11)=8),AouDim1+11,""))</f>
        <v>43685</v>
      </c>
      <c r="N27" s="5">
        <f>IF(DAY(AouDim1)=1,IF(AND(YEAR(AouDim1+5)=AnnéeCalendrier,MONTH(AouDim1+5)=8),AouDim1+5,""),IF(AND(YEAR(AouDim1+12)=AnnéeCalendrier,MONTH(AouDim1+12)=8),AouDim1+12,""))</f>
        <v>43686</v>
      </c>
      <c r="O27" s="5">
        <f>IF(DAY(AouDim1)=1,IF(AND(YEAR(AouDim1+6)=AnnéeCalendrier,MONTH(AouDim1+6)=8),AouDim1+6,""),IF(AND(YEAR(AouDim1+13)=AnnéeCalendrier,MONTH(AouDim1+13)=8),AouDim1+13,""))</f>
        <v>43687</v>
      </c>
      <c r="P27" s="7">
        <f>IF(DAY(AouDim1)=1,IF(AND(YEAR(AouDim1+7)=AnnéeCalendrier,MONTH(AouDim1+7)=8),AouDim1+7,""),IF(AND(YEAR(AouDim1+14)=AnnéeCalendrier,MONTH(AouDim1+14)=8),AouDim1+14,""))</f>
        <v>43688</v>
      </c>
      <c r="Q27" s="39"/>
      <c r="R27" s="6">
        <f>IF(DAY(SepDim1)=1,IF(AND(YEAR(SepDim1+1)=AnnéeCalendrier,MONTH(SepDim1+1)=9),SepDim1+1,""),IF(AND(YEAR(SepDim1+8)=AnnéeCalendrier,MONTH(SepDim1+8)=9),SepDim1+8,""))</f>
        <v>43710</v>
      </c>
      <c r="S27" s="5">
        <f>IF(DAY(SepDim1)=1,IF(AND(YEAR(SepDim1+2)=AnnéeCalendrier,MONTH(SepDim1+2)=9),SepDim1+2,""),IF(AND(YEAR(SepDim1+9)=AnnéeCalendrier,MONTH(SepDim1+9)=9),SepDim1+9,""))</f>
        <v>43711</v>
      </c>
      <c r="T27" s="5">
        <f>IF(DAY(SepDim1)=1,IF(AND(YEAR(SepDim1+3)=AnnéeCalendrier,MONTH(SepDim1+3)=9),SepDim1+3,""),IF(AND(YEAR(SepDim1+10)=AnnéeCalendrier,MONTH(SepDim1+10)=9),SepDim1+10,""))</f>
        <v>43712</v>
      </c>
      <c r="U27" s="5">
        <f>IF(DAY(SepDim1)=1,IF(AND(YEAR(SepDim1+4)=AnnéeCalendrier,MONTH(SepDim1+4)=9),SepDim1+4,""),IF(AND(YEAR(SepDim1+11)=AnnéeCalendrier,MONTH(SepDim1+11)=9),SepDim1+11,""))</f>
        <v>43713</v>
      </c>
      <c r="V27" s="5">
        <f>IF(DAY(SepDim1)=1,IF(AND(YEAR(SepDim1+5)=AnnéeCalendrier,MONTH(SepDim1+5)=9),SepDim1+5,""),IF(AND(YEAR(SepDim1+12)=AnnéeCalendrier,MONTH(SepDim1+12)=9),SepDim1+12,""))</f>
        <v>43714</v>
      </c>
      <c r="W27" s="5">
        <f>IF(DAY(SepDim1)=1,IF(AND(YEAR(SepDim1+6)=AnnéeCalendrier,MONTH(SepDim1+6)=9),SepDim1+6,""),IF(AND(YEAR(SepDim1+13)=AnnéeCalendrier,MONTH(SepDim1+13)=9),SepDim1+13,""))</f>
        <v>43715</v>
      </c>
      <c r="X27" s="7">
        <f>IF(DAY(SepDim1)=1,IF(AND(YEAR(SepDim1+7)=AnnéeCalendrier,MONTH(SepDim1+7)=9),SepDim1+7,""),IF(AND(YEAR(SepDim1+14)=AnnéeCalendrier,MONTH(SepDim1+14)=9),SepDim1+14,""))</f>
        <v>43716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43661</v>
      </c>
      <c r="C28" s="5">
        <f>IF(DAY(JulDim1)=1,IF(AND(YEAR(JulDim1+9)=AnnéeCalendrier,MONTH(JulDim1+9)=7),JulDim1+9,""),IF(AND(YEAR(JulDim1+16)=AnnéeCalendrier,MONTH(JulDim1+16)=7),JulDim1+16,""))</f>
        <v>43662</v>
      </c>
      <c r="D28" s="5">
        <f>IF(DAY(JulDim1)=1,IF(AND(YEAR(JulDim1+10)=AnnéeCalendrier,MONTH(JulDim1+10)=7),JulDim1+10,""),IF(AND(YEAR(JulDim1+17)=AnnéeCalendrier,MONTH(JulDim1+17)=7),JulDim1+17,""))</f>
        <v>43663</v>
      </c>
      <c r="E28" s="5">
        <f>IF(DAY(JulDim1)=1,IF(AND(YEAR(JulDim1+11)=AnnéeCalendrier,MONTH(JulDim1+11)=7),JulDim1+11,""),IF(AND(YEAR(JulDim1+18)=AnnéeCalendrier,MONTH(JulDim1+18)=7),JulDim1+18,""))</f>
        <v>43664</v>
      </c>
      <c r="F28" s="5">
        <f>IF(DAY(JulDim1)=1,IF(AND(YEAR(JulDim1+12)=AnnéeCalendrier,MONTH(JulDim1+12)=7),JulDim1+12,""),IF(AND(YEAR(JulDim1+19)=AnnéeCalendrier,MONTH(JulDim1+19)=7),JulDim1+19,""))</f>
        <v>43665</v>
      </c>
      <c r="G28" s="5">
        <f>IF(DAY(JulDim1)=1,IF(AND(YEAR(JulDim1+13)=AnnéeCalendrier,MONTH(JulDim1+13)=7),JulDim1+13,""),IF(AND(YEAR(JulDim1+20)=AnnéeCalendrier,MONTH(JulDim1+20)=7),JulDim1+20,""))</f>
        <v>43666</v>
      </c>
      <c r="H28" s="7">
        <f>IF(DAY(JulDim1)=1,IF(AND(YEAR(JulDim1+14)=AnnéeCalendrier,MONTH(JulDim1+14)=7),JulDim1+14,""),IF(AND(YEAR(JulDim1+21)=AnnéeCalendrier,MONTH(JulDim1+21)=7),JulDim1+21,""))</f>
        <v>43667</v>
      </c>
      <c r="J28" s="6">
        <f>IF(DAY(AouDim1)=1,IF(AND(YEAR(AouDim1+8)=AnnéeCalendrier,MONTH(AouDim1+8)=8),AouDim1+8,""),IF(AND(YEAR(AouDim1+15)=AnnéeCalendrier,MONTH(AouDim1+15)=8),AouDim1+15,""))</f>
        <v>43689</v>
      </c>
      <c r="K28" s="5">
        <f>IF(DAY(AouDim1)=1,IF(AND(YEAR(AouDim1+9)=AnnéeCalendrier,MONTH(AouDim1+9)=8),AouDim1+9,""),IF(AND(YEAR(AouDim1+16)=AnnéeCalendrier,MONTH(AouDim1+16)=8),AouDim1+16,""))</f>
        <v>43690</v>
      </c>
      <c r="L28" s="5">
        <f>IF(DAY(AouDim1)=1,IF(AND(YEAR(AouDim1+10)=AnnéeCalendrier,MONTH(AouDim1+10)=8),AouDim1+10,""),IF(AND(YEAR(AouDim1+17)=AnnéeCalendrier,MONTH(AouDim1+17)=8),AouDim1+17,""))</f>
        <v>43691</v>
      </c>
      <c r="M28" s="5">
        <f>IF(DAY(AouDim1)=1,IF(AND(YEAR(AouDim1+11)=AnnéeCalendrier,MONTH(AouDim1+11)=8),AouDim1+11,""),IF(AND(YEAR(AouDim1+18)=AnnéeCalendrier,MONTH(AouDim1+18)=8),AouDim1+18,""))</f>
        <v>43692</v>
      </c>
      <c r="N28" s="5">
        <f>IF(DAY(AouDim1)=1,IF(AND(YEAR(AouDim1+12)=AnnéeCalendrier,MONTH(AouDim1+12)=8),AouDim1+12,""),IF(AND(YEAR(AouDim1+19)=AnnéeCalendrier,MONTH(AouDim1+19)=8),AouDim1+19,""))</f>
        <v>43693</v>
      </c>
      <c r="O28" s="5">
        <f>IF(DAY(AouDim1)=1,IF(AND(YEAR(AouDim1+13)=AnnéeCalendrier,MONTH(AouDim1+13)=8),AouDim1+13,""),IF(AND(YEAR(AouDim1+20)=AnnéeCalendrier,MONTH(AouDim1+20)=8),AouDim1+20,""))</f>
        <v>43694</v>
      </c>
      <c r="P28" s="7">
        <f>IF(DAY(AouDim1)=1,IF(AND(YEAR(AouDim1+14)=AnnéeCalendrier,MONTH(AouDim1+14)=8),AouDim1+14,""),IF(AND(YEAR(AouDim1+21)=AnnéeCalendrier,MONTH(AouDim1+21)=8),AouDim1+21,""))</f>
        <v>43695</v>
      </c>
      <c r="Q28" s="39"/>
      <c r="R28" s="6">
        <f>IF(DAY(SepDim1)=1,IF(AND(YEAR(SepDim1+8)=AnnéeCalendrier,MONTH(SepDim1+8)=9),SepDim1+8,""),IF(AND(YEAR(SepDim1+15)=AnnéeCalendrier,MONTH(SepDim1+15)=9),SepDim1+15,""))</f>
        <v>43717</v>
      </c>
      <c r="S28" s="5">
        <f>IF(DAY(SepDim1)=1,IF(AND(YEAR(SepDim1+9)=AnnéeCalendrier,MONTH(SepDim1+9)=9),SepDim1+9,""),IF(AND(YEAR(SepDim1+16)=AnnéeCalendrier,MONTH(SepDim1+16)=9),SepDim1+16,""))</f>
        <v>43718</v>
      </c>
      <c r="T28" s="5">
        <f>IF(DAY(SepDim1)=1,IF(AND(YEAR(SepDim1+10)=AnnéeCalendrier,MONTH(SepDim1+10)=9),SepDim1+10,""),IF(AND(YEAR(SepDim1+17)=AnnéeCalendrier,MONTH(SepDim1+17)=9),SepDim1+17,""))</f>
        <v>43719</v>
      </c>
      <c r="U28" s="5">
        <f>IF(DAY(SepDim1)=1,IF(AND(YEAR(SepDim1+11)=AnnéeCalendrier,MONTH(SepDim1+11)=9),SepDim1+11,""),IF(AND(YEAR(SepDim1+18)=AnnéeCalendrier,MONTH(SepDim1+18)=9),SepDim1+18,""))</f>
        <v>43720</v>
      </c>
      <c r="V28" s="5">
        <f>IF(DAY(SepDim1)=1,IF(AND(YEAR(SepDim1+12)=AnnéeCalendrier,MONTH(SepDim1+12)=9),SepDim1+12,""),IF(AND(YEAR(SepDim1+19)=AnnéeCalendrier,MONTH(SepDim1+19)=9),SepDim1+19,""))</f>
        <v>43721</v>
      </c>
      <c r="W28" s="5">
        <f>IF(DAY(SepDim1)=1,IF(AND(YEAR(SepDim1+13)=AnnéeCalendrier,MONTH(SepDim1+13)=9),SepDim1+13,""),IF(AND(YEAR(SepDim1+20)=AnnéeCalendrier,MONTH(SepDim1+20)=9),SepDim1+20,""))</f>
        <v>43722</v>
      </c>
      <c r="X28" s="7">
        <f>IF(DAY(SepDim1)=1,IF(AND(YEAR(SepDim1+14)=AnnéeCalendrier,MONTH(SepDim1+14)=9),SepDim1+14,""),IF(AND(YEAR(SepDim1+21)=AnnéeCalendrier,MONTH(SepDim1+21)=9),SepDim1+21,""))</f>
        <v>43723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43668</v>
      </c>
      <c r="C29" s="5">
        <f>IF(DAY(JulDim1)=1,IF(AND(YEAR(JulDim1+16)=AnnéeCalendrier,MONTH(JulDim1+16)=7),JulDim1+16,""),IF(AND(YEAR(JulDim1+23)=AnnéeCalendrier,MONTH(JulDim1+23)=7),JulDim1+23,""))</f>
        <v>43669</v>
      </c>
      <c r="D29" s="5">
        <f>IF(DAY(JulDim1)=1,IF(AND(YEAR(JulDim1+17)=AnnéeCalendrier,MONTH(JulDim1+17)=7),JulDim1+17,""),IF(AND(YEAR(JulDim1+24)=AnnéeCalendrier,MONTH(JulDim1+24)=7),JulDim1+24,""))</f>
        <v>43670</v>
      </c>
      <c r="E29" s="5">
        <f>IF(DAY(JulDim1)=1,IF(AND(YEAR(JulDim1+18)=AnnéeCalendrier,MONTH(JulDim1+18)=7),JulDim1+18,""),IF(AND(YEAR(JulDim1+25)=AnnéeCalendrier,MONTH(JulDim1+25)=7),JulDim1+25,""))</f>
        <v>43671</v>
      </c>
      <c r="F29" s="5">
        <f>IF(DAY(JulDim1)=1,IF(AND(YEAR(JulDim1+19)=AnnéeCalendrier,MONTH(JulDim1+19)=7),JulDim1+19,""),IF(AND(YEAR(JulDim1+26)=AnnéeCalendrier,MONTH(JulDim1+26)=7),JulDim1+26,""))</f>
        <v>43672</v>
      </c>
      <c r="G29" s="5">
        <f>IF(DAY(JulDim1)=1,IF(AND(YEAR(JulDim1+20)=AnnéeCalendrier,MONTH(JulDim1+20)=7),JulDim1+20,""),IF(AND(YEAR(JulDim1+27)=AnnéeCalendrier,MONTH(JulDim1+27)=7),JulDim1+27,""))</f>
        <v>43673</v>
      </c>
      <c r="H29" s="7">
        <f>IF(DAY(JulDim1)=1,IF(AND(YEAR(JulDim1+21)=AnnéeCalendrier,MONTH(JulDim1+21)=7),JulDim1+21,""),IF(AND(YEAR(JulDim1+28)=AnnéeCalendrier,MONTH(JulDim1+28)=7),JulDim1+28,""))</f>
        <v>43674</v>
      </c>
      <c r="J29" s="6">
        <f>IF(DAY(AouDim1)=1,IF(AND(YEAR(AouDim1+15)=AnnéeCalendrier,MONTH(AouDim1+15)=8),AouDim1+15,""),IF(AND(YEAR(AouDim1+22)=AnnéeCalendrier,MONTH(AouDim1+22)=8),AouDim1+22,""))</f>
        <v>43696</v>
      </c>
      <c r="K29" s="5">
        <f>IF(DAY(AouDim1)=1,IF(AND(YEAR(AouDim1+16)=AnnéeCalendrier,MONTH(AouDim1+16)=8),AouDim1+16,""),IF(AND(YEAR(AouDim1+23)=AnnéeCalendrier,MONTH(AouDim1+23)=8),AouDim1+23,""))</f>
        <v>43697</v>
      </c>
      <c r="L29" s="5">
        <f>IF(DAY(AouDim1)=1,IF(AND(YEAR(AouDim1+17)=AnnéeCalendrier,MONTH(AouDim1+17)=8),AouDim1+17,""),IF(AND(YEAR(AouDim1+24)=AnnéeCalendrier,MONTH(AouDim1+24)=8),AouDim1+24,""))</f>
        <v>43698</v>
      </c>
      <c r="M29" s="5">
        <f>IF(DAY(AouDim1)=1,IF(AND(YEAR(AouDim1+18)=AnnéeCalendrier,MONTH(AouDim1+18)=8),AouDim1+18,""),IF(AND(YEAR(AouDim1+25)=AnnéeCalendrier,MONTH(AouDim1+25)=8),AouDim1+25,""))</f>
        <v>43699</v>
      </c>
      <c r="N29" s="5">
        <f>IF(DAY(AouDim1)=1,IF(AND(YEAR(AouDim1+19)=AnnéeCalendrier,MONTH(AouDim1+19)=8),AouDim1+19,""),IF(AND(YEAR(AouDim1+26)=AnnéeCalendrier,MONTH(AouDim1+26)=8),AouDim1+26,""))</f>
        <v>43700</v>
      </c>
      <c r="O29" s="5">
        <f>IF(DAY(AouDim1)=1,IF(AND(YEAR(AouDim1+20)=AnnéeCalendrier,MONTH(AouDim1+20)=8),AouDim1+20,""),IF(AND(YEAR(AouDim1+27)=AnnéeCalendrier,MONTH(AouDim1+27)=8),AouDim1+27,""))</f>
        <v>43701</v>
      </c>
      <c r="P29" s="7">
        <f>IF(DAY(AouDim1)=1,IF(AND(YEAR(AouDim1+21)=AnnéeCalendrier,MONTH(AouDim1+21)=8),AouDim1+21,""),IF(AND(YEAR(AouDim1+28)=AnnéeCalendrier,MONTH(AouDim1+28)=8),AouDim1+28,""))</f>
        <v>43702</v>
      </c>
      <c r="Q29" s="39"/>
      <c r="R29" s="6">
        <f>IF(DAY(SepDim1)=1,IF(AND(YEAR(SepDim1+15)=AnnéeCalendrier,MONTH(SepDim1+15)=9),SepDim1+15,""),IF(AND(YEAR(SepDim1+22)=AnnéeCalendrier,MONTH(SepDim1+22)=9),SepDim1+22,""))</f>
        <v>43724</v>
      </c>
      <c r="S29" s="5">
        <f>IF(DAY(SepDim1)=1,IF(AND(YEAR(SepDim1+16)=AnnéeCalendrier,MONTH(SepDim1+16)=9),SepDim1+16,""),IF(AND(YEAR(SepDim1+23)=AnnéeCalendrier,MONTH(SepDim1+23)=9),SepDim1+23,""))</f>
        <v>43725</v>
      </c>
      <c r="T29" s="5">
        <f>IF(DAY(SepDim1)=1,IF(AND(YEAR(SepDim1+17)=AnnéeCalendrier,MONTH(SepDim1+17)=9),SepDim1+17,""),IF(AND(YEAR(SepDim1+24)=AnnéeCalendrier,MONTH(SepDim1+24)=9),SepDim1+24,""))</f>
        <v>43726</v>
      </c>
      <c r="U29" s="5">
        <f>IF(DAY(SepDim1)=1,IF(AND(YEAR(SepDim1+18)=AnnéeCalendrier,MONTH(SepDim1+18)=9),SepDim1+18,""),IF(AND(YEAR(SepDim1+25)=AnnéeCalendrier,MONTH(SepDim1+25)=9),SepDim1+25,""))</f>
        <v>43727</v>
      </c>
      <c r="V29" s="5">
        <f>IF(DAY(SepDim1)=1,IF(AND(YEAR(SepDim1+19)=AnnéeCalendrier,MONTH(SepDim1+19)=9),SepDim1+19,""),IF(AND(YEAR(SepDim1+26)=AnnéeCalendrier,MONTH(SepDim1+26)=9),SepDim1+26,""))</f>
        <v>43728</v>
      </c>
      <c r="W29" s="5">
        <f>IF(DAY(SepDim1)=1,IF(AND(YEAR(SepDim1+20)=AnnéeCalendrier,MONTH(SepDim1+20)=9),SepDim1+20,""),IF(AND(YEAR(SepDim1+27)=AnnéeCalendrier,MONTH(SepDim1+27)=9),SepDim1+27,""))</f>
        <v>43729</v>
      </c>
      <c r="X29" s="7">
        <f>IF(DAY(SepDim1)=1,IF(AND(YEAR(SepDim1+21)=AnnéeCalendrier,MONTH(SepDim1+21)=9),SepDim1+21,""),IF(AND(YEAR(SepDim1+28)=AnnéeCalendrier,MONTH(SepDim1+28)=9),SepDim1+28,""))</f>
        <v>43730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43675</v>
      </c>
      <c r="C30" s="5">
        <f>IF(DAY(JulDim1)=1,IF(AND(YEAR(JulDim1+23)=AnnéeCalendrier,MONTH(JulDim1+23)=7),JulDim1+23,""),IF(AND(YEAR(JulDim1+30)=AnnéeCalendrier,MONTH(JulDim1+30)=7),JulDim1+30,""))</f>
        <v>43676</v>
      </c>
      <c r="D30" s="5">
        <f>IF(DAY(JulDim1)=1,IF(AND(YEAR(JulDim1+24)=AnnéeCalendrier,MONTH(JulDim1+24)=7),JulDim1+24,""),IF(AND(YEAR(JulDim1+31)=AnnéeCalendrier,MONTH(JulDim1+31)=7),JulDim1+31,""))</f>
        <v>43677</v>
      </c>
      <c r="E30" s="5" t="str">
        <f>IF(DAY(JulDim1)=1,IF(AND(YEAR(JulDim1+25)=AnnéeCalendrier,MONTH(JulDim1+25)=7),JulDim1+25,""),IF(AND(YEAR(JulDim1+32)=AnnéeCalendrier,MONTH(JulDim1+32)=7),JulDim1+32,""))</f>
        <v/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43703</v>
      </c>
      <c r="K30" s="5">
        <f>IF(DAY(AouDim1)=1,IF(AND(YEAR(AouDim1+23)=AnnéeCalendrier,MONTH(AouDim1+23)=8),AouDim1+23,""),IF(AND(YEAR(AouDim1+30)=AnnéeCalendrier,MONTH(AouDim1+30)=8),AouDim1+30,""))</f>
        <v>43704</v>
      </c>
      <c r="L30" s="5">
        <f>IF(DAY(AouDim1)=1,IF(AND(YEAR(AouDim1+24)=AnnéeCalendrier,MONTH(AouDim1+24)=8),AouDim1+24,""),IF(AND(YEAR(AouDim1+31)=AnnéeCalendrier,MONTH(AouDim1+31)=8),AouDim1+31,""))</f>
        <v>43705</v>
      </c>
      <c r="M30" s="5">
        <f>IF(DAY(AouDim1)=1,IF(AND(YEAR(AouDim1+25)=AnnéeCalendrier,MONTH(AouDim1+25)=8),AouDim1+25,""),IF(AND(YEAR(AouDim1+32)=AnnéeCalendrier,MONTH(AouDim1+32)=8),AouDim1+32,""))</f>
        <v>43706</v>
      </c>
      <c r="N30" s="5">
        <f>IF(DAY(AouDim1)=1,IF(AND(YEAR(AouDim1+26)=AnnéeCalendrier,MONTH(AouDim1+26)=8),AouDim1+26,""),IF(AND(YEAR(AouDim1+33)=AnnéeCalendrier,MONTH(AouDim1+33)=8),AouDim1+33,""))</f>
        <v>43707</v>
      </c>
      <c r="O30" s="5">
        <f>IF(DAY(AouDim1)=1,IF(AND(YEAR(AouDim1+27)=AnnéeCalendrier,MONTH(AouDim1+27)=8),AouDim1+27,""),IF(AND(YEAR(AouDim1+34)=AnnéeCalendrier,MONTH(AouDim1+34)=8),AouDim1+34,""))</f>
        <v>43708</v>
      </c>
      <c r="P30" s="7" t="str">
        <f>IF(DAY(AouDim1)=1,IF(AND(YEAR(AouDim1+28)=AnnéeCalendrier,MONTH(AouDim1+28)=8),AouDim1+28,""),IF(AND(YEAR(AouDim1+35)=AnnéeCalendrier,MONTH(AouDim1+35)=8),AouDim1+35,""))</f>
        <v/>
      </c>
      <c r="Q30" s="39"/>
      <c r="R30" s="6">
        <f>IF(DAY(SepDim1)=1,IF(AND(YEAR(SepDim1+22)=AnnéeCalendrier,MONTH(SepDim1+22)=9),SepDim1+22,""),IF(AND(YEAR(SepDim1+29)=AnnéeCalendrier,MONTH(SepDim1+29)=9),SepDim1+29,""))</f>
        <v>43731</v>
      </c>
      <c r="S30" s="5">
        <f>IF(DAY(SepDim1)=1,IF(AND(YEAR(SepDim1+23)=AnnéeCalendrier,MONTH(SepDim1+23)=9),SepDim1+23,""),IF(AND(YEAR(SepDim1+30)=AnnéeCalendrier,MONTH(SepDim1+30)=9),SepDim1+30,""))</f>
        <v>43732</v>
      </c>
      <c r="T30" s="5">
        <f>IF(DAY(SepDim1)=1,IF(AND(YEAR(SepDim1+24)=AnnéeCalendrier,MONTH(SepDim1+24)=9),SepDim1+24,""),IF(AND(YEAR(SepDim1+31)=AnnéeCalendrier,MONTH(SepDim1+31)=9),SepDim1+31,""))</f>
        <v>43733</v>
      </c>
      <c r="U30" s="5">
        <f>IF(DAY(SepDim1)=1,IF(AND(YEAR(SepDim1+25)=AnnéeCalendrier,MONTH(SepDim1+25)=9),SepDim1+25,""),IF(AND(YEAR(SepDim1+32)=AnnéeCalendrier,MONTH(SepDim1+32)=9),SepDim1+32,""))</f>
        <v>43734</v>
      </c>
      <c r="V30" s="5">
        <f>IF(DAY(SepDim1)=1,IF(AND(YEAR(SepDim1+26)=AnnéeCalendrier,MONTH(SepDim1+26)=9),SepDim1+26,""),IF(AND(YEAR(SepDim1+33)=AnnéeCalendrier,MONTH(SepDim1+33)=9),SepDim1+33,""))</f>
        <v>43735</v>
      </c>
      <c r="W30" s="5">
        <f>IF(DAY(SepDim1)=1,IF(AND(YEAR(SepDim1+27)=AnnéeCalendrier,MONTH(SepDim1+27)=9),SepDim1+27,""),IF(AND(YEAR(SepDim1+34)=AnnéeCalendrier,MONTH(SepDim1+34)=9),SepDim1+34,""))</f>
        <v>43736</v>
      </c>
      <c r="X30" s="7">
        <f>IF(DAY(SepDim1)=1,IF(AND(YEAR(SepDim1+28)=AnnéeCalendrier,MONTH(SepDim1+28)=9),SepDim1+28,""),IF(AND(YEAR(SepDim1+35)=AnnéeCalendrier,MONTH(SepDim1+35)=9),SepDim1+35,""))</f>
        <v>43737</v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39"/>
      <c r="R31" s="8">
        <f>IF(DAY(SepDim1)=1,IF(AND(YEAR(SepDim1+29)=AnnéeCalendrier,MONTH(SepDim1+29)=9),SepDim1+29,""),IF(AND(YEAR(SepDim1+36)=AnnéeCalendrier,MONTH(SepDim1+36)=9),SepDim1+36,""))</f>
        <v>43738</v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9" t="s">
        <v>5</v>
      </c>
      <c r="C33" s="49"/>
      <c r="D33" s="49"/>
      <c r="E33" s="49"/>
      <c r="F33" s="49"/>
      <c r="G33" s="49"/>
      <c r="H33" s="49"/>
      <c r="I33" s="37"/>
      <c r="J33" s="49" t="s">
        <v>15</v>
      </c>
      <c r="K33" s="49"/>
      <c r="L33" s="49"/>
      <c r="M33" s="49"/>
      <c r="N33" s="49"/>
      <c r="O33" s="49"/>
      <c r="P33" s="49"/>
      <c r="Q33" s="37"/>
      <c r="R33" s="49" t="s">
        <v>19</v>
      </c>
      <c r="S33" s="49"/>
      <c r="T33" s="49"/>
      <c r="U33" s="49"/>
      <c r="V33" s="49"/>
      <c r="W33" s="49"/>
      <c r="X33" s="49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I34" s="38"/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Q34" s="38"/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>
        <f>IF(DAY(OctDim1)=1,"",IF(AND(YEAR(OctDim1+2)=AnnéeCalendrier,MONTH(OctDim1+2)=10),OctDim1+2,""))</f>
        <v>43739</v>
      </c>
      <c r="D35" s="5">
        <f>IF(DAY(OctDim1)=1,"",IF(AND(YEAR(OctDim1+3)=AnnéeCalendrier,MONTH(OctDim1+3)=10),OctDim1+3,""))</f>
        <v>43740</v>
      </c>
      <c r="E35" s="5">
        <f>IF(DAY(OctDim1)=1,"",IF(AND(YEAR(OctDim1+4)=AnnéeCalendrier,MONTH(OctDim1+4)=10),OctDim1+4,""))</f>
        <v>43741</v>
      </c>
      <c r="F35" s="5">
        <f>IF(DAY(OctDim1)=1,"",IF(AND(YEAR(OctDim1+5)=AnnéeCalendrier,MONTH(OctDim1+5)=10),OctDim1+5,""))</f>
        <v>43742</v>
      </c>
      <c r="G35" s="5">
        <f>IF(DAY(OctDim1)=1,"",IF(AND(YEAR(OctDim1+6)=AnnéeCalendrier,MONTH(OctDim1+6)=10),OctDim1+6,""))</f>
        <v>43743</v>
      </c>
      <c r="H35" s="7">
        <f>IF(DAY(OctDim1)=1,IF(AND(YEAR(OctDim1)=AnnéeCalendrier,MONTH(OctDim1)=10),OctDim1,""),IF(AND(YEAR(OctDim1+7)=AnnéeCalendrier,MONTH(OctDim1+7)=10),OctDim1+7,""))</f>
        <v>43744</v>
      </c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>
        <f>IF(DAY(NovDim1)=1,"",IF(AND(YEAR(NovDim1+5)=AnnéeCalendrier,MONTH(NovDim1+5)=11),NovDim1+5,""))</f>
        <v>43770</v>
      </c>
      <c r="O35" s="5">
        <f>IF(DAY(NovDim1)=1,"",IF(AND(YEAR(NovDim1+6)=AnnéeCalendrier,MONTH(NovDim1+6)=11),NovDim1+6,""))</f>
        <v>43771</v>
      </c>
      <c r="P35" s="7">
        <f>IF(DAY(NovDim1)=1,IF(AND(YEAR(NovDim1)=AnnéeCalendrier,MONTH(NovDim1)=11),NovDim1,""),IF(AND(YEAR(NovDim1+7)=AnnéeCalendrier,MONTH(NovDim1+7)=11),NovDim1+7,""))</f>
        <v>43772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>
        <f>IF(DAY(DécDim1)=1,IF(AND(YEAR(DécDim1)=AnnéeCalendrier,MONTH(DécDim1)=12),DécDim1,""),IF(AND(YEAR(DécDim1+7)=AnnéeCalendrier,MONTH(DécDim1+7)=12),DécDim1+7,""))</f>
        <v>43800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43745</v>
      </c>
      <c r="C36" s="5">
        <f>IF(DAY(OctDim1)=1,IF(AND(YEAR(OctDim1+2)=AnnéeCalendrier,MONTH(OctDim1+2)=10),OctDim1+2,""),IF(AND(YEAR(OctDim1+9)=AnnéeCalendrier,MONTH(OctDim1+9)=10),OctDim1+9,""))</f>
        <v>43746</v>
      </c>
      <c r="D36" s="5">
        <f>IF(DAY(OctDim1)=1,IF(AND(YEAR(OctDim1+3)=AnnéeCalendrier,MONTH(OctDim1+3)=10),OctDim1+3,""),IF(AND(YEAR(OctDim1+10)=AnnéeCalendrier,MONTH(OctDim1+10)=10),OctDim1+10,""))</f>
        <v>43747</v>
      </c>
      <c r="E36" s="5">
        <f>IF(DAY(OctDim1)=1,IF(AND(YEAR(OctDim1+4)=AnnéeCalendrier,MONTH(OctDim1+4)=10),OctDim1+4,""),IF(AND(YEAR(OctDim1+11)=AnnéeCalendrier,MONTH(OctDim1+11)=10),OctDim1+11,""))</f>
        <v>43748</v>
      </c>
      <c r="F36" s="5">
        <f>IF(DAY(OctDim1)=1,IF(AND(YEAR(OctDim1+5)=AnnéeCalendrier,MONTH(OctDim1+5)=10),OctDim1+5,""),IF(AND(YEAR(OctDim1+12)=AnnéeCalendrier,MONTH(OctDim1+12)=10),OctDim1+12,""))</f>
        <v>43749</v>
      </c>
      <c r="G36" s="5">
        <f>IF(DAY(OctDim1)=1,IF(AND(YEAR(OctDim1+6)=AnnéeCalendrier,MONTH(OctDim1+6)=10),OctDim1+6,""),IF(AND(YEAR(OctDim1+13)=AnnéeCalendrier,MONTH(OctDim1+13)=10),OctDim1+13,""))</f>
        <v>43750</v>
      </c>
      <c r="H36" s="7">
        <f>IF(DAY(OctDim1)=1,IF(AND(YEAR(OctDim1+7)=AnnéeCalendrier,MONTH(OctDim1+7)=10),OctDim1+7,""),IF(AND(YEAR(OctDim1+14)=AnnéeCalendrier,MONTH(OctDim1+14)=10),OctDim1+14,""))</f>
        <v>43751</v>
      </c>
      <c r="J36" s="6">
        <f>IF(DAY(NovDim1)=1,IF(AND(YEAR(NovDim1+1)=AnnéeCalendrier,MONTH(NovDim1+1)=11),NovDim1+1,""),IF(AND(YEAR(NovDim1+8)=AnnéeCalendrier,MONTH(NovDim1+8)=11),NovDim1+8,""))</f>
        <v>43773</v>
      </c>
      <c r="K36" s="5">
        <f>IF(DAY(NovDim1)=1,IF(AND(YEAR(NovDim1+2)=AnnéeCalendrier,MONTH(NovDim1+2)=11),NovDim1+2,""),IF(AND(YEAR(NovDim1+9)=AnnéeCalendrier,MONTH(NovDim1+9)=11),NovDim1+9,""))</f>
        <v>43774</v>
      </c>
      <c r="L36" s="5">
        <f>IF(DAY(NovDim1)=1,IF(AND(YEAR(NovDim1+3)=AnnéeCalendrier,MONTH(NovDim1+3)=11),NovDim1+3,""),IF(AND(YEAR(NovDim1+10)=AnnéeCalendrier,MONTH(NovDim1+10)=11),NovDim1+10,""))</f>
        <v>43775</v>
      </c>
      <c r="M36" s="5">
        <f>IF(DAY(NovDim1)=1,IF(AND(YEAR(NovDim1+4)=AnnéeCalendrier,MONTH(NovDim1+4)=11),NovDim1+4,""),IF(AND(YEAR(NovDim1+11)=AnnéeCalendrier,MONTH(NovDim1+11)=11),NovDim1+11,""))</f>
        <v>43776</v>
      </c>
      <c r="N36" s="5">
        <f>IF(DAY(NovDim1)=1,IF(AND(YEAR(NovDim1+5)=AnnéeCalendrier,MONTH(NovDim1+5)=11),NovDim1+5,""),IF(AND(YEAR(NovDim1+12)=AnnéeCalendrier,MONTH(NovDim1+12)=11),NovDim1+12,""))</f>
        <v>43777</v>
      </c>
      <c r="O36" s="5">
        <f>IF(DAY(NovDim1)=1,IF(AND(YEAR(NovDim1+6)=AnnéeCalendrier,MONTH(NovDim1+6)=11),NovDim1+6,""),IF(AND(YEAR(NovDim1+13)=AnnéeCalendrier,MONTH(NovDim1+13)=11),NovDim1+13,""))</f>
        <v>43778</v>
      </c>
      <c r="P36" s="7">
        <f>IF(DAY(NovDim1)=1,IF(AND(YEAR(NovDim1+7)=AnnéeCalendrier,MONTH(NovDim1+7)=11),NovDim1+7,""),IF(AND(YEAR(NovDim1+14)=AnnéeCalendrier,MONTH(NovDim1+14)=11),NovDim1+14,""))</f>
        <v>43779</v>
      </c>
      <c r="R36" s="6">
        <f>IF(DAY(DécDim1)=1,IF(AND(YEAR(DécDim1+1)=AnnéeCalendrier,MONTH(DécDim1+1)=12),DécDim1+1,""),IF(AND(YEAR(DécDim1+8)=AnnéeCalendrier,MONTH(DécDim1+8)=12),DécDim1+8,""))</f>
        <v>43801</v>
      </c>
      <c r="S36" s="5">
        <f>IF(DAY(DécDim1)=1,IF(AND(YEAR(DécDim1+2)=AnnéeCalendrier,MONTH(DécDim1+2)=12),DécDim1+2,""),IF(AND(YEAR(DécDim1+9)=AnnéeCalendrier,MONTH(DécDim1+9)=12),DécDim1+9,""))</f>
        <v>43802</v>
      </c>
      <c r="T36" s="5">
        <f>IF(DAY(DécDim1)=1,IF(AND(YEAR(DécDim1+3)=AnnéeCalendrier,MONTH(DécDim1+3)=12),DécDim1+3,""),IF(AND(YEAR(DécDim1+10)=AnnéeCalendrier,MONTH(DécDim1+10)=12),DécDim1+10,""))</f>
        <v>43803</v>
      </c>
      <c r="U36" s="5">
        <f>IF(DAY(DécDim1)=1,IF(AND(YEAR(DécDim1+4)=AnnéeCalendrier,MONTH(DécDim1+4)=12),DécDim1+4,""),IF(AND(YEAR(DécDim1+11)=AnnéeCalendrier,MONTH(DécDim1+11)=12),DécDim1+11,""))</f>
        <v>43804</v>
      </c>
      <c r="V36" s="5">
        <f>IF(DAY(DécDim1)=1,IF(AND(YEAR(DécDim1+5)=AnnéeCalendrier,MONTH(DécDim1+5)=12),DécDim1+5,""),IF(AND(YEAR(DécDim1+12)=AnnéeCalendrier,MONTH(DécDim1+12)=12),DécDim1+12,""))</f>
        <v>43805</v>
      </c>
      <c r="W36" s="5">
        <f>IF(DAY(DécDim1)=1,IF(AND(YEAR(DécDim1+6)=AnnéeCalendrier,MONTH(DécDim1+6)=12),DécDim1+6,""),IF(AND(YEAR(DécDim1+13)=AnnéeCalendrier,MONTH(DécDim1+13)=12),DécDim1+13,""))</f>
        <v>43806</v>
      </c>
      <c r="X36" s="7">
        <f>IF(DAY(DécDim1)=1,IF(AND(YEAR(DécDim1+7)=AnnéeCalendrier,MONTH(DécDim1+7)=12),DécDim1+7,""),IF(AND(YEAR(DécDim1+14)=AnnéeCalendrier,MONTH(DécDim1+14)=12),DécDim1+14,""))</f>
        <v>43807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43752</v>
      </c>
      <c r="C37" s="5">
        <f>IF(DAY(OctDim1)=1,IF(AND(YEAR(OctDim1+9)=AnnéeCalendrier,MONTH(OctDim1+9)=10),OctDim1+9,""),IF(AND(YEAR(OctDim1+16)=AnnéeCalendrier,MONTH(OctDim1+16)=10),OctDim1+16,""))</f>
        <v>43753</v>
      </c>
      <c r="D37" s="5">
        <f>IF(DAY(OctDim1)=1,IF(AND(YEAR(OctDim1+10)=AnnéeCalendrier,MONTH(OctDim1+10)=10),OctDim1+10,""),IF(AND(YEAR(OctDim1+17)=AnnéeCalendrier,MONTH(OctDim1+17)=10),OctDim1+17,""))</f>
        <v>43754</v>
      </c>
      <c r="E37" s="5">
        <f>IF(DAY(OctDim1)=1,IF(AND(YEAR(OctDim1+11)=AnnéeCalendrier,MONTH(OctDim1+11)=10),OctDim1+11,""),IF(AND(YEAR(OctDim1+18)=AnnéeCalendrier,MONTH(OctDim1+18)=10),OctDim1+18,""))</f>
        <v>43755</v>
      </c>
      <c r="F37" s="5">
        <f>IF(DAY(OctDim1)=1,IF(AND(YEAR(OctDim1+12)=AnnéeCalendrier,MONTH(OctDim1+12)=10),OctDim1+12,""),IF(AND(YEAR(OctDim1+19)=AnnéeCalendrier,MONTH(OctDim1+19)=10),OctDim1+19,""))</f>
        <v>43756</v>
      </c>
      <c r="G37" s="5">
        <f>IF(DAY(OctDim1)=1,IF(AND(YEAR(OctDim1+13)=AnnéeCalendrier,MONTH(OctDim1+13)=10),OctDim1+13,""),IF(AND(YEAR(OctDim1+20)=AnnéeCalendrier,MONTH(OctDim1+20)=10),OctDim1+20,""))</f>
        <v>43757</v>
      </c>
      <c r="H37" s="7">
        <f>IF(DAY(OctDim1)=1,IF(AND(YEAR(OctDim1+14)=AnnéeCalendrier,MONTH(OctDim1+14)=10),OctDim1+14,""),IF(AND(YEAR(OctDim1+21)=AnnéeCalendrier,MONTH(OctDim1+21)=10),OctDim1+21,""))</f>
        <v>43758</v>
      </c>
      <c r="J37" s="6">
        <f>IF(DAY(NovDim1)=1,IF(AND(YEAR(NovDim1+8)=AnnéeCalendrier,MONTH(NovDim1+8)=11),NovDim1+8,""),IF(AND(YEAR(NovDim1+15)=AnnéeCalendrier,MONTH(NovDim1+15)=11),NovDim1+15,""))</f>
        <v>43780</v>
      </c>
      <c r="K37" s="5">
        <f>IF(DAY(NovDim1)=1,IF(AND(YEAR(NovDim1+9)=AnnéeCalendrier,MONTH(NovDim1+9)=11),NovDim1+9,""),IF(AND(YEAR(NovDim1+16)=AnnéeCalendrier,MONTH(NovDim1+16)=11),NovDim1+16,""))</f>
        <v>43781</v>
      </c>
      <c r="L37" s="5">
        <f>IF(DAY(NovDim1)=1,IF(AND(YEAR(NovDim1+10)=AnnéeCalendrier,MONTH(NovDim1+10)=11),NovDim1+10,""),IF(AND(YEAR(NovDim1+17)=AnnéeCalendrier,MONTH(NovDim1+17)=11),NovDim1+17,""))</f>
        <v>43782</v>
      </c>
      <c r="M37" s="5">
        <f>IF(DAY(NovDim1)=1,IF(AND(YEAR(NovDim1+11)=AnnéeCalendrier,MONTH(NovDim1+11)=11),NovDim1+11,""),IF(AND(YEAR(NovDim1+18)=AnnéeCalendrier,MONTH(NovDim1+18)=11),NovDim1+18,""))</f>
        <v>43783</v>
      </c>
      <c r="N37" s="5">
        <f>IF(DAY(NovDim1)=1,IF(AND(YEAR(NovDim1+12)=AnnéeCalendrier,MONTH(NovDim1+12)=11),NovDim1+12,""),IF(AND(YEAR(NovDim1+19)=AnnéeCalendrier,MONTH(NovDim1+19)=11),NovDim1+19,""))</f>
        <v>43784</v>
      </c>
      <c r="O37" s="5">
        <f>IF(DAY(NovDim1)=1,IF(AND(YEAR(NovDim1+13)=AnnéeCalendrier,MONTH(NovDim1+13)=11),NovDim1+13,""),IF(AND(YEAR(NovDim1+20)=AnnéeCalendrier,MONTH(NovDim1+20)=11),NovDim1+20,""))</f>
        <v>43785</v>
      </c>
      <c r="P37" s="7">
        <f>IF(DAY(NovDim1)=1,IF(AND(YEAR(NovDim1+14)=AnnéeCalendrier,MONTH(NovDim1+14)=11),NovDim1+14,""),IF(AND(YEAR(NovDim1+21)=AnnéeCalendrier,MONTH(NovDim1+21)=11),NovDim1+21,""))</f>
        <v>43786</v>
      </c>
      <c r="R37" s="6">
        <f>IF(DAY(DécDim1)=1,IF(AND(YEAR(DécDim1+8)=AnnéeCalendrier,MONTH(DécDim1+8)=12),DécDim1+8,""),IF(AND(YEAR(DécDim1+15)=AnnéeCalendrier,MONTH(DécDim1+15)=12),DécDim1+15,""))</f>
        <v>43808</v>
      </c>
      <c r="S37" s="5">
        <f>IF(DAY(DécDim1)=1,IF(AND(YEAR(DécDim1+9)=AnnéeCalendrier,MONTH(DécDim1+9)=12),DécDim1+9,""),IF(AND(YEAR(DécDim1+16)=AnnéeCalendrier,MONTH(DécDim1+16)=12),DécDim1+16,""))</f>
        <v>43809</v>
      </c>
      <c r="T37" s="5">
        <f>IF(DAY(DécDim1)=1,IF(AND(YEAR(DécDim1+10)=AnnéeCalendrier,MONTH(DécDim1+10)=12),DécDim1+10,""),IF(AND(YEAR(DécDim1+17)=AnnéeCalendrier,MONTH(DécDim1+17)=12),DécDim1+17,""))</f>
        <v>43810</v>
      </c>
      <c r="U37" s="5">
        <f>IF(DAY(DécDim1)=1,IF(AND(YEAR(DécDim1+11)=AnnéeCalendrier,MONTH(DécDim1+11)=12),DécDim1+11,""),IF(AND(YEAR(DécDim1+18)=AnnéeCalendrier,MONTH(DécDim1+18)=12),DécDim1+18,""))</f>
        <v>43811</v>
      </c>
      <c r="V37" s="5">
        <f>IF(DAY(DécDim1)=1,IF(AND(YEAR(DécDim1+12)=AnnéeCalendrier,MONTH(DécDim1+12)=12),DécDim1+12,""),IF(AND(YEAR(DécDim1+19)=AnnéeCalendrier,MONTH(DécDim1+19)=12),DécDim1+19,""))</f>
        <v>43812</v>
      </c>
      <c r="W37" s="5">
        <f>IF(DAY(DécDim1)=1,IF(AND(YEAR(DécDim1+13)=AnnéeCalendrier,MONTH(DécDim1+13)=12),DécDim1+13,""),IF(AND(YEAR(DécDim1+20)=AnnéeCalendrier,MONTH(DécDim1+20)=12),DécDim1+20,""))</f>
        <v>43813</v>
      </c>
      <c r="X37" s="7">
        <f>IF(DAY(DécDim1)=1,IF(AND(YEAR(DécDim1+14)=AnnéeCalendrier,MONTH(DécDim1+14)=12),DécDim1+14,""),IF(AND(YEAR(DécDim1+21)=AnnéeCalendrier,MONTH(DécDim1+21)=12),DécDim1+21,""))</f>
        <v>43814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43759</v>
      </c>
      <c r="C38" s="5">
        <f>IF(DAY(OctDim1)=1,IF(AND(YEAR(OctDim1+16)=AnnéeCalendrier,MONTH(OctDim1+16)=10),OctDim1+16,""),IF(AND(YEAR(OctDim1+23)=AnnéeCalendrier,MONTH(OctDim1+23)=10),OctDim1+23,""))</f>
        <v>43760</v>
      </c>
      <c r="D38" s="5">
        <f>IF(DAY(OctDim1)=1,IF(AND(YEAR(OctDim1+17)=AnnéeCalendrier,MONTH(OctDim1+17)=10),OctDim1+17,""),IF(AND(YEAR(OctDim1+24)=AnnéeCalendrier,MONTH(OctDim1+24)=10),OctDim1+24,""))</f>
        <v>43761</v>
      </c>
      <c r="E38" s="5">
        <f>IF(DAY(OctDim1)=1,IF(AND(YEAR(OctDim1+18)=AnnéeCalendrier,MONTH(OctDim1+18)=10),OctDim1+18,""),IF(AND(YEAR(OctDim1+25)=AnnéeCalendrier,MONTH(OctDim1+25)=10),OctDim1+25,""))</f>
        <v>43762</v>
      </c>
      <c r="F38" s="5">
        <f>IF(DAY(OctDim1)=1,IF(AND(YEAR(OctDim1+19)=AnnéeCalendrier,MONTH(OctDim1+19)=10),OctDim1+19,""),IF(AND(YEAR(OctDim1+26)=AnnéeCalendrier,MONTH(OctDim1+26)=10),OctDim1+26,""))</f>
        <v>43763</v>
      </c>
      <c r="G38" s="5">
        <f>IF(DAY(OctDim1)=1,IF(AND(YEAR(OctDim1+20)=AnnéeCalendrier,MONTH(OctDim1+20)=10),OctDim1+20,""),IF(AND(YEAR(OctDim1+27)=AnnéeCalendrier,MONTH(OctDim1+27)=10),OctDim1+27,""))</f>
        <v>43764</v>
      </c>
      <c r="H38" s="7">
        <f>IF(DAY(OctDim1)=1,IF(AND(YEAR(OctDim1+21)=AnnéeCalendrier,MONTH(OctDim1+21)=10),OctDim1+21,""),IF(AND(YEAR(OctDim1+28)=AnnéeCalendrier,MONTH(OctDim1+28)=10),OctDim1+28,""))</f>
        <v>43765</v>
      </c>
      <c r="J38" s="6">
        <f>IF(DAY(NovDim1)=1,IF(AND(YEAR(NovDim1+15)=AnnéeCalendrier,MONTH(NovDim1+15)=11),NovDim1+15,""),IF(AND(YEAR(NovDim1+22)=AnnéeCalendrier,MONTH(NovDim1+22)=11),NovDim1+22,""))</f>
        <v>43787</v>
      </c>
      <c r="K38" s="5">
        <f>IF(DAY(NovDim1)=1,IF(AND(YEAR(NovDim1+16)=AnnéeCalendrier,MONTH(NovDim1+16)=11),NovDim1+16,""),IF(AND(YEAR(NovDim1+23)=AnnéeCalendrier,MONTH(NovDim1+23)=11),NovDim1+23,""))</f>
        <v>43788</v>
      </c>
      <c r="L38" s="5">
        <f>IF(DAY(NovDim1)=1,IF(AND(YEAR(NovDim1+17)=AnnéeCalendrier,MONTH(NovDim1+17)=11),NovDim1+17,""),IF(AND(YEAR(NovDim1+24)=AnnéeCalendrier,MONTH(NovDim1+24)=11),NovDim1+24,""))</f>
        <v>43789</v>
      </c>
      <c r="M38" s="5">
        <f>IF(DAY(NovDim1)=1,IF(AND(YEAR(NovDim1+18)=AnnéeCalendrier,MONTH(NovDim1+18)=11),NovDim1+18,""),IF(AND(YEAR(NovDim1+25)=AnnéeCalendrier,MONTH(NovDim1+25)=11),NovDim1+25,""))</f>
        <v>43790</v>
      </c>
      <c r="N38" s="5">
        <f>IF(DAY(NovDim1)=1,IF(AND(YEAR(NovDim1+19)=AnnéeCalendrier,MONTH(NovDim1+19)=11),NovDim1+19,""),IF(AND(YEAR(NovDim1+26)=AnnéeCalendrier,MONTH(NovDim1+26)=11),NovDim1+26,""))</f>
        <v>43791</v>
      </c>
      <c r="O38" s="5">
        <f>IF(DAY(NovDim1)=1,IF(AND(YEAR(NovDim1+20)=AnnéeCalendrier,MONTH(NovDim1+20)=11),NovDim1+20,""),IF(AND(YEAR(NovDim1+27)=AnnéeCalendrier,MONTH(NovDim1+27)=11),NovDim1+27,""))</f>
        <v>43792</v>
      </c>
      <c r="P38" s="7">
        <f>IF(DAY(NovDim1)=1,IF(AND(YEAR(NovDim1+21)=AnnéeCalendrier,MONTH(NovDim1+21)=11),NovDim1+21,""),IF(AND(YEAR(NovDim1+28)=AnnéeCalendrier,MONTH(NovDim1+28)=11),NovDim1+28,""))</f>
        <v>43793</v>
      </c>
      <c r="R38" s="6">
        <f>IF(DAY(DécDim1)=1,IF(AND(YEAR(DécDim1+15)=AnnéeCalendrier,MONTH(DécDim1+15)=12),DécDim1+15,""),IF(AND(YEAR(DécDim1+22)=AnnéeCalendrier,MONTH(DécDim1+22)=12),DécDim1+22,""))</f>
        <v>43815</v>
      </c>
      <c r="S38" s="5">
        <f>IF(DAY(DécDim1)=1,IF(AND(YEAR(DécDim1+16)=AnnéeCalendrier,MONTH(DécDim1+16)=12),DécDim1+16,""),IF(AND(YEAR(DécDim1+23)=AnnéeCalendrier,MONTH(DécDim1+23)=12),DécDim1+23,""))</f>
        <v>43816</v>
      </c>
      <c r="T38" s="5">
        <f>IF(DAY(DécDim1)=1,IF(AND(YEAR(DécDim1+17)=AnnéeCalendrier,MONTH(DécDim1+17)=12),DécDim1+17,""),IF(AND(YEAR(DécDim1+24)=AnnéeCalendrier,MONTH(DécDim1+24)=12),DécDim1+24,""))</f>
        <v>43817</v>
      </c>
      <c r="U38" s="5">
        <f>IF(DAY(DécDim1)=1,IF(AND(YEAR(DécDim1+18)=AnnéeCalendrier,MONTH(DécDim1+18)=12),DécDim1+18,""),IF(AND(YEAR(DécDim1+25)=AnnéeCalendrier,MONTH(DécDim1+25)=12),DécDim1+25,""))</f>
        <v>43818</v>
      </c>
      <c r="V38" s="5">
        <f>IF(DAY(DécDim1)=1,IF(AND(YEAR(DécDim1+19)=AnnéeCalendrier,MONTH(DécDim1+19)=12),DécDim1+19,""),IF(AND(YEAR(DécDim1+26)=AnnéeCalendrier,MONTH(DécDim1+26)=12),DécDim1+26,""))</f>
        <v>43819</v>
      </c>
      <c r="W38" s="5">
        <f>IF(DAY(DécDim1)=1,IF(AND(YEAR(DécDim1+20)=AnnéeCalendrier,MONTH(DécDim1+20)=12),DécDim1+20,""),IF(AND(YEAR(DécDim1+27)=AnnéeCalendrier,MONTH(DécDim1+27)=12),DécDim1+27,""))</f>
        <v>43820</v>
      </c>
      <c r="X38" s="7">
        <f>IF(DAY(DécDim1)=1,IF(AND(YEAR(DécDim1+21)=AnnéeCalendrier,MONTH(DécDim1+21)=12),DécDim1+21,""),IF(AND(YEAR(DécDim1+28)=AnnéeCalendrier,MONTH(DécDim1+28)=12),DécDim1+28,""))</f>
        <v>43821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43766</v>
      </c>
      <c r="C39" s="5">
        <f>IF(DAY(OctDim1)=1,IF(AND(YEAR(OctDim1+23)=AnnéeCalendrier,MONTH(OctDim1+23)=10),OctDim1+23,""),IF(AND(YEAR(OctDim1+30)=AnnéeCalendrier,MONTH(OctDim1+30)=10),OctDim1+30,""))</f>
        <v>43767</v>
      </c>
      <c r="D39" s="5">
        <f>IF(DAY(OctDim1)=1,IF(AND(YEAR(OctDim1+24)=AnnéeCalendrier,MONTH(OctDim1+24)=10),OctDim1+24,""),IF(AND(YEAR(OctDim1+31)=AnnéeCalendrier,MONTH(OctDim1+31)=10),OctDim1+31,""))</f>
        <v>43768</v>
      </c>
      <c r="E39" s="5">
        <f>IF(DAY(OctDim1)=1,IF(AND(YEAR(OctDim1+25)=AnnéeCalendrier,MONTH(OctDim1+25)=10),OctDim1+25,""),IF(AND(YEAR(OctDim1+32)=AnnéeCalendrier,MONTH(OctDim1+32)=10),OctDim1+32,""))</f>
        <v>43769</v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J39" s="6">
        <f>IF(DAY(NovDim1)=1,IF(AND(YEAR(NovDim1+22)=AnnéeCalendrier,MONTH(NovDim1+22)=11),NovDim1+22,""),IF(AND(YEAR(NovDim1+29)=AnnéeCalendrier,MONTH(NovDim1+29)=11),NovDim1+29,""))</f>
        <v>43794</v>
      </c>
      <c r="K39" s="5">
        <f>IF(DAY(NovDim1)=1,IF(AND(YEAR(NovDim1+23)=AnnéeCalendrier,MONTH(NovDim1+23)=11),NovDim1+23,""),IF(AND(YEAR(NovDim1+30)=AnnéeCalendrier,MONTH(NovDim1+30)=11),NovDim1+30,""))</f>
        <v>43795</v>
      </c>
      <c r="L39" s="5">
        <f>IF(DAY(NovDim1)=1,IF(AND(YEAR(NovDim1+24)=AnnéeCalendrier,MONTH(NovDim1+24)=11),NovDim1+24,""),IF(AND(YEAR(NovDim1+31)=AnnéeCalendrier,MONTH(NovDim1+31)=11),NovDim1+31,""))</f>
        <v>43796</v>
      </c>
      <c r="M39" s="5">
        <f>IF(DAY(NovDim1)=1,IF(AND(YEAR(NovDim1+25)=AnnéeCalendrier,MONTH(NovDim1+25)=11),NovDim1+25,""),IF(AND(YEAR(NovDim1+32)=AnnéeCalendrier,MONTH(NovDim1+32)=11),NovDim1+32,""))</f>
        <v>43797</v>
      </c>
      <c r="N39" s="5">
        <f>IF(DAY(NovDim1)=1,IF(AND(YEAR(NovDim1+26)=AnnéeCalendrier,MONTH(NovDim1+26)=11),NovDim1+26,""),IF(AND(YEAR(NovDim1+33)=AnnéeCalendrier,MONTH(NovDim1+33)=11),NovDim1+33,""))</f>
        <v>43798</v>
      </c>
      <c r="O39" s="5">
        <f>IF(DAY(NovDim1)=1,IF(AND(YEAR(NovDim1+27)=AnnéeCalendrier,MONTH(NovDim1+27)=11),NovDim1+27,""),IF(AND(YEAR(NovDim1+34)=AnnéeCalendrier,MONTH(NovDim1+34)=11),NovDim1+34,""))</f>
        <v>43799</v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>
        <f>IF(DAY(DécDim1)=1,IF(AND(YEAR(DécDim1+22)=AnnéeCalendrier,MONTH(DécDim1+22)=12),DécDim1+22,""),IF(AND(YEAR(DécDim1+29)=AnnéeCalendrier,MONTH(DécDim1+29)=12),DécDim1+29,""))</f>
        <v>43822</v>
      </c>
      <c r="S39" s="5">
        <f>IF(DAY(DécDim1)=1,IF(AND(YEAR(DécDim1+23)=AnnéeCalendrier,MONTH(DécDim1+23)=12),DécDim1+23,""),IF(AND(YEAR(DécDim1+30)=AnnéeCalendrier,MONTH(DécDim1+30)=12),DécDim1+30,""))</f>
        <v>43823</v>
      </c>
      <c r="T39" s="5">
        <f>IF(DAY(DécDim1)=1,IF(AND(YEAR(DécDim1+24)=AnnéeCalendrier,MONTH(DécDim1+24)=12),DécDim1+24,""),IF(AND(YEAR(DécDim1+31)=AnnéeCalendrier,MONTH(DécDim1+31)=12),DécDim1+31,""))</f>
        <v>43824</v>
      </c>
      <c r="U39" s="5">
        <f>IF(DAY(DécDim1)=1,IF(AND(YEAR(DécDim1+25)=AnnéeCalendrier,MONTH(DécDim1+25)=12),DécDim1+25,""),IF(AND(YEAR(DécDim1+32)=AnnéeCalendrier,MONTH(DécDim1+32)=12),DécDim1+32,""))</f>
        <v>43825</v>
      </c>
      <c r="V39" s="5">
        <f>IF(DAY(DécDim1)=1,IF(AND(YEAR(DécDim1+26)=AnnéeCalendrier,MONTH(DécDim1+26)=12),DécDim1+26,""),IF(AND(YEAR(DécDim1+33)=AnnéeCalendrier,MONTH(DécDim1+33)=12),DécDim1+33,""))</f>
        <v>43826</v>
      </c>
      <c r="W39" s="5">
        <f>IF(DAY(DécDim1)=1,IF(AND(YEAR(DécDim1+27)=AnnéeCalendrier,MONTH(DécDim1+27)=12),DécDim1+27,""),IF(AND(YEAR(DécDim1+34)=AnnéeCalendrier,MONTH(DécDim1+34)=12),DécDim1+34,""))</f>
        <v>43827</v>
      </c>
      <c r="X39" s="7">
        <f>IF(DAY(DécDim1)=1,IF(AND(YEAR(DécDim1+28)=AnnéeCalendrier,MONTH(DécDim1+28)=12),DécDim1+28,""),IF(AND(YEAR(DécDim1+35)=AnnéeCalendrier,MONTH(DécDim1+35)=12),DécDim1+35,""))</f>
        <v>43828</v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>
        <f>IF(DAY(DécDim1)=1,IF(AND(YEAR(DécDim1+29)=AnnéeCalendrier,MONTH(DécDim1+29)=12),DécDim1+29,""),IF(AND(YEAR(DécDim1+36)=AnnéeCalendrier,MONTH(DécDim1+36)=12),DécDim1+36,""))</f>
        <v>43829</v>
      </c>
      <c r="S40" s="9">
        <f>IF(DAY(DécDim1)=1,IF(AND(YEAR(DécDim1+30)=AnnéeCalendrier,MONTH(DécDim1+30)=12),DécDim1+30,""),IF(AND(YEAR(DécDim1+37)=AnnéeCalendrier,MONTH(DécDim1+37)=12),DécDim1+37,""))</f>
        <v>43830</v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486" priority="1">
      <formula>LEN(TRIM(B8))&gt;0</formula>
    </cfRule>
  </conditionalFormatting>
  <conditionalFormatting sqref="J8:P13">
    <cfRule type="notContainsBlanks" dxfId="1485" priority="2">
      <formula>LEN(TRIM(J8))&gt;0</formula>
    </cfRule>
  </conditionalFormatting>
  <conditionalFormatting sqref="R8:X13">
    <cfRule type="notContainsBlanks" dxfId="1484" priority="3">
      <formula>LEN(TRIM(R8))&gt;0</formula>
    </cfRule>
  </conditionalFormatting>
  <conditionalFormatting sqref="B17:H22">
    <cfRule type="notContainsBlanks" dxfId="1483" priority="4">
      <formula>LEN(TRIM(B17))&gt;0</formula>
    </cfRule>
  </conditionalFormatting>
  <conditionalFormatting sqref="J17:P22">
    <cfRule type="notContainsBlanks" dxfId="1482" priority="5">
      <formula>LEN(TRIM(J17))&gt;0</formula>
    </cfRule>
  </conditionalFormatting>
  <conditionalFormatting sqref="R17:X22">
    <cfRule type="notContainsBlanks" dxfId="1481" priority="6">
      <formula>LEN(TRIM(R17))&gt;0</formula>
    </cfRule>
  </conditionalFormatting>
  <conditionalFormatting sqref="R35:X40">
    <cfRule type="notContainsBlanks" dxfId="1480" priority="12">
      <formula>LEN(TRIM(R35))&gt;0</formula>
    </cfRule>
  </conditionalFormatting>
  <conditionalFormatting sqref="B26:H31">
    <cfRule type="notContainsBlanks" dxfId="1479" priority="7">
      <formula>LEN(TRIM(B26))&gt;0</formula>
    </cfRule>
  </conditionalFormatting>
  <conditionalFormatting sqref="J26:P31">
    <cfRule type="notContainsBlanks" dxfId="1478" priority="8">
      <formula>LEN(TRIM(J26))&gt;0</formula>
    </cfRule>
  </conditionalFormatting>
  <conditionalFormatting sqref="R26:X31">
    <cfRule type="notContainsBlanks" dxfId="1477" priority="9">
      <formula>LEN(TRIM(R26))&gt;0</formula>
    </cfRule>
  </conditionalFormatting>
  <conditionalFormatting sqref="B35:H40">
    <cfRule type="notContainsBlanks" dxfId="1476" priority="10">
      <formula>LEN(TRIM(B35))&gt;0</formula>
    </cfRule>
  </conditionalFormatting>
  <conditionalFormatting sqref="J35:P40">
    <cfRule type="notContainsBlanks" dxfId="1475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2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2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wsTCalendar4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2020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>
        <f>IF(DAY(JanDim1)=1,"",IF(AND(YEAR(JanDim1+3)=AnnéeCalendrier,MONTH(JanDim1+3)=1),JanDim1+3,""))</f>
        <v>43831</v>
      </c>
      <c r="E8" s="5">
        <f>IF(DAY(JanDim1)=1,"",IF(AND(YEAR(JanDim1+4)=AnnéeCalendrier,MONTH(JanDim1+4)=1),JanDim1+4,""))</f>
        <v>43832</v>
      </c>
      <c r="F8" s="5">
        <f>IF(DAY(JanDim1)=1,"",IF(AND(YEAR(JanDim1+5)=AnnéeCalendrier,MONTH(JanDim1+5)=1),JanDim1+5,""))</f>
        <v>43833</v>
      </c>
      <c r="G8" s="5">
        <f>IF(DAY(JanDim1)=1,"",IF(AND(YEAR(JanDim1+6)=AnnéeCalendrier,MONTH(JanDim1+6)=1),JanDim1+6,""))</f>
        <v>43834</v>
      </c>
      <c r="H8" s="5">
        <f>IF(DAY(JanDim1)=1,IF(AND(YEAR(JanDim1)=AnnéeCalendrier,MONTH(JanDim1)=1),JanDim1,""),IF(AND(YEAR(JanDim1+7)=AnnéeCalendrier,MONTH(JanDim1+7)=1),JanDim1+7,""))</f>
        <v>43835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 t="str">
        <f>IF(DAY(FévDim1)=1,"",IF(AND(YEAR(FévDim1+5)=AnnéeCalendrier,MONTH(FévDim1+5)=2),FévDim1+5,""))</f>
        <v/>
      </c>
      <c r="O8" s="5">
        <f>IF(DAY(FévDim1)=1,"",IF(AND(YEAR(FévDim1+6)=AnnéeCalendrier,MONTH(FévDim1+6)=2),FévDim1+6,""))</f>
        <v>43862</v>
      </c>
      <c r="P8" s="5">
        <f>IF(DAY(FévDim1)=1,IF(AND(YEAR(FévDim1)=AnnéeCalendrier,MONTH(FévDim1)=2),FévDim1,""),IF(AND(YEAR(FévDim1+7)=AnnéeCalendrier,MONTH(FévDim1+7)=2),FévDim1+7,""))</f>
        <v>43863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 t="str">
        <f>IF(DAY(MarDim1)=1,"",IF(AND(YEAR(MarDim1+5)=AnnéeCalendrier,MONTH(MarDim1+5)=3),MarDim1+5,""))</f>
        <v/>
      </c>
      <c r="W8" s="5" t="str">
        <f>IF(DAY(MarDim1)=1,"",IF(AND(YEAR(MarDim1+6)=AnnéeCalendrier,MONTH(MarDim1+6)=3),MarDim1+6,""))</f>
        <v/>
      </c>
      <c r="X8" s="5">
        <f>IF(DAY(MarDim1)=1,IF(AND(YEAR(MarDim1)=AnnéeCalendrier,MONTH(MarDim1)=3),MarDim1,""),IF(AND(YEAR(MarDim1+7)=AnnéeCalendrier,MONTH(MarDim1+7)=3),MarDim1+7,""))</f>
        <v>43891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43836</v>
      </c>
      <c r="C9" s="5">
        <f>IF(DAY(JanDim1)=1,IF(AND(YEAR(JanDim1+2)=AnnéeCalendrier,MONTH(JanDim1+2)=1),JanDim1+2,""),IF(AND(YEAR(JanDim1+9)=AnnéeCalendrier,MONTH(JanDim1+9)=1),JanDim1+9,""))</f>
        <v>43837</v>
      </c>
      <c r="D9" s="5">
        <f>IF(DAY(JanDim1)=1,IF(AND(YEAR(JanDim1+3)=AnnéeCalendrier,MONTH(JanDim1+3)=1),JanDim1+3,""),IF(AND(YEAR(JanDim1+10)=AnnéeCalendrier,MONTH(JanDim1+10)=1),JanDim1+10,""))</f>
        <v>43838</v>
      </c>
      <c r="E9" s="5">
        <f>IF(DAY(JanDim1)=1,IF(AND(YEAR(JanDim1+4)=AnnéeCalendrier,MONTH(JanDim1+4)=1),JanDim1+4,""),IF(AND(YEAR(JanDim1+11)=AnnéeCalendrier,MONTH(JanDim1+11)=1),JanDim1+11,""))</f>
        <v>43839</v>
      </c>
      <c r="F9" s="5">
        <f>IF(DAY(JanDim1)=1,IF(AND(YEAR(JanDim1+5)=AnnéeCalendrier,MONTH(JanDim1+5)=1),JanDim1+5,""),IF(AND(YEAR(JanDim1+12)=AnnéeCalendrier,MONTH(JanDim1+12)=1),JanDim1+12,""))</f>
        <v>43840</v>
      </c>
      <c r="G9" s="5">
        <f>IF(DAY(JanDim1)=1,IF(AND(YEAR(JanDim1+6)=AnnéeCalendrier,MONTH(JanDim1+6)=1),JanDim1+6,""),IF(AND(YEAR(JanDim1+13)=AnnéeCalendrier,MONTH(JanDim1+13)=1),JanDim1+13,""))</f>
        <v>43841</v>
      </c>
      <c r="H9" s="5">
        <f>IF(DAY(JanDim1)=1,IF(AND(YEAR(JanDim1+7)=AnnéeCalendrier,MONTH(JanDim1+7)=1),JanDim1+7,""),IF(AND(YEAR(JanDim1+14)=AnnéeCalendrier,MONTH(JanDim1+14)=1),JanDim1+14,""))</f>
        <v>43842</v>
      </c>
      <c r="I9" s="4"/>
      <c r="J9" s="5">
        <f>IF(DAY(FévDim1)=1,IF(AND(YEAR(FévDim1+1)=AnnéeCalendrier,MONTH(FévDim1+1)=2),FévDim1+1,""),IF(AND(YEAR(FévDim1+8)=AnnéeCalendrier,MONTH(FévDim1+8)=2),FévDim1+8,""))</f>
        <v>43864</v>
      </c>
      <c r="K9" s="5">
        <f>IF(DAY(FévDim1)=1,IF(AND(YEAR(FévDim1+2)=AnnéeCalendrier,MONTH(FévDim1+2)=2),FévDim1+2,""),IF(AND(YEAR(FévDim1+9)=AnnéeCalendrier,MONTH(FévDim1+9)=2),FévDim1+9,""))</f>
        <v>43865</v>
      </c>
      <c r="L9" s="5">
        <f>IF(DAY(FévDim1)=1,IF(AND(YEAR(FévDim1+3)=AnnéeCalendrier,MONTH(FévDim1+3)=2),FévDim1+3,""),IF(AND(YEAR(FévDim1+10)=AnnéeCalendrier,MONTH(FévDim1+10)=2),FévDim1+10,""))</f>
        <v>43866</v>
      </c>
      <c r="M9" s="5">
        <f>IF(DAY(FévDim1)=1,IF(AND(YEAR(FévDim1+4)=AnnéeCalendrier,MONTH(FévDim1+4)=2),FévDim1+4,""),IF(AND(YEAR(FévDim1+11)=AnnéeCalendrier,MONTH(FévDim1+11)=2),FévDim1+11,""))</f>
        <v>43867</v>
      </c>
      <c r="N9" s="5">
        <f>IF(DAY(FévDim1)=1,IF(AND(YEAR(FévDim1+5)=AnnéeCalendrier,MONTH(FévDim1+5)=2),FévDim1+5,""),IF(AND(YEAR(FévDim1+12)=AnnéeCalendrier,MONTH(FévDim1+12)=2),FévDim1+12,""))</f>
        <v>43868</v>
      </c>
      <c r="O9" s="5">
        <f>IF(DAY(FévDim1)=1,IF(AND(YEAR(FévDim1+6)=AnnéeCalendrier,MONTH(FévDim1+6)=2),FévDim1+6,""),IF(AND(YEAR(FévDim1+13)=AnnéeCalendrier,MONTH(FévDim1+13)=2),FévDim1+13,""))</f>
        <v>43869</v>
      </c>
      <c r="P9" s="5">
        <f>IF(DAY(FévDim1)=1,IF(AND(YEAR(FévDim1+7)=AnnéeCalendrier,MONTH(FévDim1+7)=2),FévDim1+7,""),IF(AND(YEAR(FévDim1+14)=AnnéeCalendrier,MONTH(FévDim1+14)=2),FévDim1+14,""))</f>
        <v>43870</v>
      </c>
      <c r="Q9" s="4"/>
      <c r="R9" s="5">
        <f>IF(DAY(MarDim1)=1,IF(AND(YEAR(MarDim1+1)=AnnéeCalendrier,MONTH(MarDim1+1)=3),MarDim1+1,""),IF(AND(YEAR(MarDim1+8)=AnnéeCalendrier,MONTH(MarDim1+8)=3),MarDim1+8,""))</f>
        <v>43892</v>
      </c>
      <c r="S9" s="5">
        <f>IF(DAY(MarDim1)=1,IF(AND(YEAR(MarDim1+2)=AnnéeCalendrier,MONTH(MarDim1+2)=3),MarDim1+2,""),IF(AND(YEAR(MarDim1+9)=AnnéeCalendrier,MONTH(MarDim1+9)=3),MarDim1+9,""))</f>
        <v>43893</v>
      </c>
      <c r="T9" s="5">
        <f>IF(DAY(MarDim1)=1,IF(AND(YEAR(MarDim1+3)=AnnéeCalendrier,MONTH(MarDim1+3)=3),MarDim1+3,""),IF(AND(YEAR(MarDim1+10)=AnnéeCalendrier,MONTH(MarDim1+10)=3),MarDim1+10,""))</f>
        <v>43894</v>
      </c>
      <c r="U9" s="5">
        <f>IF(DAY(MarDim1)=1,IF(AND(YEAR(MarDim1+4)=AnnéeCalendrier,MONTH(MarDim1+4)=3),MarDim1+4,""),IF(AND(YEAR(MarDim1+11)=AnnéeCalendrier,MONTH(MarDim1+11)=3),MarDim1+11,""))</f>
        <v>43895</v>
      </c>
      <c r="V9" s="5">
        <f>IF(DAY(MarDim1)=1,IF(AND(YEAR(MarDim1+5)=AnnéeCalendrier,MONTH(MarDim1+5)=3),MarDim1+5,""),IF(AND(YEAR(MarDim1+12)=AnnéeCalendrier,MONTH(MarDim1+12)=3),MarDim1+12,""))</f>
        <v>43896</v>
      </c>
      <c r="W9" s="5">
        <f>IF(DAY(MarDim1)=1,IF(AND(YEAR(MarDim1+6)=AnnéeCalendrier,MONTH(MarDim1+6)=3),MarDim1+6,""),IF(AND(YEAR(MarDim1+13)=AnnéeCalendrier,MONTH(MarDim1+13)=3),MarDim1+13,""))</f>
        <v>43897</v>
      </c>
      <c r="X9" s="5">
        <f>IF(DAY(MarDim1)=1,IF(AND(YEAR(MarDim1+7)=AnnéeCalendrier,MONTH(MarDim1+7)=3),MarDim1+7,""),IF(AND(YEAR(MarDim1+14)=AnnéeCalendrier,MONTH(MarDim1+14)=3),MarDim1+14,""))</f>
        <v>43898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43843</v>
      </c>
      <c r="C10" s="5">
        <f>IF(DAY(JanDim1)=1,IF(AND(YEAR(JanDim1+9)=AnnéeCalendrier,MONTH(JanDim1+9)=1),JanDim1+9,""),IF(AND(YEAR(JanDim1+16)=AnnéeCalendrier,MONTH(JanDim1+16)=1),JanDim1+16,""))</f>
        <v>43844</v>
      </c>
      <c r="D10" s="5">
        <f>IF(DAY(JanDim1)=1,IF(AND(YEAR(JanDim1+10)=AnnéeCalendrier,MONTH(JanDim1+10)=1),JanDim1+10,""),IF(AND(YEAR(JanDim1+17)=AnnéeCalendrier,MONTH(JanDim1+17)=1),JanDim1+17,""))</f>
        <v>43845</v>
      </c>
      <c r="E10" s="5">
        <f>IF(DAY(JanDim1)=1,IF(AND(YEAR(JanDim1+11)=AnnéeCalendrier,MONTH(JanDim1+11)=1),JanDim1+11,""),IF(AND(YEAR(JanDim1+18)=AnnéeCalendrier,MONTH(JanDim1+18)=1),JanDim1+18,""))</f>
        <v>43846</v>
      </c>
      <c r="F10" s="5">
        <f>IF(DAY(JanDim1)=1,IF(AND(YEAR(JanDim1+12)=AnnéeCalendrier,MONTH(JanDim1+12)=1),JanDim1+12,""),IF(AND(YEAR(JanDim1+19)=AnnéeCalendrier,MONTH(JanDim1+19)=1),JanDim1+19,""))</f>
        <v>43847</v>
      </c>
      <c r="G10" s="5">
        <f>IF(DAY(JanDim1)=1,IF(AND(YEAR(JanDim1+13)=AnnéeCalendrier,MONTH(JanDim1+13)=1),JanDim1+13,""),IF(AND(YEAR(JanDim1+20)=AnnéeCalendrier,MONTH(JanDim1+20)=1),JanDim1+20,""))</f>
        <v>43848</v>
      </c>
      <c r="H10" s="5">
        <f>IF(DAY(JanDim1)=1,IF(AND(YEAR(JanDim1+14)=AnnéeCalendrier,MONTH(JanDim1+14)=1),JanDim1+14,""),IF(AND(YEAR(JanDim1+21)=AnnéeCalendrier,MONTH(JanDim1+21)=1),JanDim1+21,""))</f>
        <v>43849</v>
      </c>
      <c r="I10" s="4"/>
      <c r="J10" s="5">
        <f>IF(DAY(FévDim1)=1,IF(AND(YEAR(FévDim1+8)=AnnéeCalendrier,MONTH(FévDim1+8)=2),FévDim1+8,""),IF(AND(YEAR(FévDim1+15)=AnnéeCalendrier,MONTH(FévDim1+15)=2),FévDim1+15,""))</f>
        <v>43871</v>
      </c>
      <c r="K10" s="5">
        <f>IF(DAY(FévDim1)=1,IF(AND(YEAR(FévDim1+9)=AnnéeCalendrier,MONTH(FévDim1+9)=2),FévDim1+9,""),IF(AND(YEAR(FévDim1+16)=AnnéeCalendrier,MONTH(FévDim1+16)=2),FévDim1+16,""))</f>
        <v>43872</v>
      </c>
      <c r="L10" s="5">
        <f>IF(DAY(FévDim1)=1,IF(AND(YEAR(FévDim1+10)=AnnéeCalendrier,MONTH(FévDim1+10)=2),FévDim1+10,""),IF(AND(YEAR(FévDim1+17)=AnnéeCalendrier,MONTH(FévDim1+17)=2),FévDim1+17,""))</f>
        <v>43873</v>
      </c>
      <c r="M10" s="5">
        <f>IF(DAY(FévDim1)=1,IF(AND(YEAR(FévDim1+11)=AnnéeCalendrier,MONTH(FévDim1+11)=2),FévDim1+11,""),IF(AND(YEAR(FévDim1+18)=AnnéeCalendrier,MONTH(FévDim1+18)=2),FévDim1+18,""))</f>
        <v>43874</v>
      </c>
      <c r="N10" s="5">
        <f>IF(DAY(FévDim1)=1,IF(AND(YEAR(FévDim1+12)=AnnéeCalendrier,MONTH(FévDim1+12)=2),FévDim1+12,""),IF(AND(YEAR(FévDim1+19)=AnnéeCalendrier,MONTH(FévDim1+19)=2),FévDim1+19,""))</f>
        <v>43875</v>
      </c>
      <c r="O10" s="5">
        <f>IF(DAY(FévDim1)=1,IF(AND(YEAR(FévDim1+13)=AnnéeCalendrier,MONTH(FévDim1+13)=2),FévDim1+13,""),IF(AND(YEAR(FévDim1+20)=AnnéeCalendrier,MONTH(FévDim1+20)=2),FévDim1+20,""))</f>
        <v>43876</v>
      </c>
      <c r="P10" s="5">
        <f>IF(DAY(FévDim1)=1,IF(AND(YEAR(FévDim1+14)=AnnéeCalendrier,MONTH(FévDim1+14)=2),FévDim1+14,""),IF(AND(YEAR(FévDim1+21)=AnnéeCalendrier,MONTH(FévDim1+21)=2),FévDim1+21,""))</f>
        <v>43877</v>
      </c>
      <c r="Q10" s="4"/>
      <c r="R10" s="5">
        <f>IF(DAY(MarDim1)=1,IF(AND(YEAR(MarDim1+8)=AnnéeCalendrier,MONTH(MarDim1+8)=3),MarDim1+8,""),IF(AND(YEAR(MarDim1+15)=AnnéeCalendrier,MONTH(MarDim1+15)=3),MarDim1+15,""))</f>
        <v>43899</v>
      </c>
      <c r="S10" s="5">
        <f>IF(DAY(MarDim1)=1,IF(AND(YEAR(MarDim1+9)=AnnéeCalendrier,MONTH(MarDim1+9)=3),MarDim1+9,""),IF(AND(YEAR(MarDim1+16)=AnnéeCalendrier,MONTH(MarDim1+16)=3),MarDim1+16,""))</f>
        <v>43900</v>
      </c>
      <c r="T10" s="5">
        <f>IF(DAY(MarDim1)=1,IF(AND(YEAR(MarDim1+10)=AnnéeCalendrier,MONTH(MarDim1+10)=3),MarDim1+10,""),IF(AND(YEAR(MarDim1+17)=AnnéeCalendrier,MONTH(MarDim1+17)=3),MarDim1+17,""))</f>
        <v>43901</v>
      </c>
      <c r="U10" s="5">
        <f>IF(DAY(MarDim1)=1,IF(AND(YEAR(MarDim1+11)=AnnéeCalendrier,MONTH(MarDim1+11)=3),MarDim1+11,""),IF(AND(YEAR(MarDim1+18)=AnnéeCalendrier,MONTH(MarDim1+18)=3),MarDim1+18,""))</f>
        <v>43902</v>
      </c>
      <c r="V10" s="5">
        <f>IF(DAY(MarDim1)=1,IF(AND(YEAR(MarDim1+12)=AnnéeCalendrier,MONTH(MarDim1+12)=3),MarDim1+12,""),IF(AND(YEAR(MarDim1+19)=AnnéeCalendrier,MONTH(MarDim1+19)=3),MarDim1+19,""))</f>
        <v>43903</v>
      </c>
      <c r="W10" s="5">
        <f>IF(DAY(MarDim1)=1,IF(AND(YEAR(MarDim1+13)=AnnéeCalendrier,MONTH(MarDim1+13)=3),MarDim1+13,""),IF(AND(YEAR(MarDim1+20)=AnnéeCalendrier,MONTH(MarDim1+20)=3),MarDim1+20,""))</f>
        <v>43904</v>
      </c>
      <c r="X10" s="5">
        <f>IF(DAY(MarDim1)=1,IF(AND(YEAR(MarDim1+14)=AnnéeCalendrier,MONTH(MarDim1+14)=3),MarDim1+14,""),IF(AND(YEAR(MarDim1+21)=AnnéeCalendrier,MONTH(MarDim1+21)=3),MarDim1+21,""))</f>
        <v>43905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43850</v>
      </c>
      <c r="C11" s="5">
        <f>IF(DAY(JanDim1)=1,IF(AND(YEAR(JanDim1+16)=AnnéeCalendrier,MONTH(JanDim1+16)=1),JanDim1+16,""),IF(AND(YEAR(JanDim1+23)=AnnéeCalendrier,MONTH(JanDim1+23)=1),JanDim1+23,""))</f>
        <v>43851</v>
      </c>
      <c r="D11" s="5">
        <f>IF(DAY(JanDim1)=1,IF(AND(YEAR(JanDim1+17)=AnnéeCalendrier,MONTH(JanDim1+17)=1),JanDim1+17,""),IF(AND(YEAR(JanDim1+24)=AnnéeCalendrier,MONTH(JanDim1+24)=1),JanDim1+24,""))</f>
        <v>43852</v>
      </c>
      <c r="E11" s="5">
        <f>IF(DAY(JanDim1)=1,IF(AND(YEAR(JanDim1+18)=AnnéeCalendrier,MONTH(JanDim1+18)=1),JanDim1+18,""),IF(AND(YEAR(JanDim1+25)=AnnéeCalendrier,MONTH(JanDim1+25)=1),JanDim1+25,""))</f>
        <v>43853</v>
      </c>
      <c r="F11" s="5">
        <f>IF(DAY(JanDim1)=1,IF(AND(YEAR(JanDim1+19)=AnnéeCalendrier,MONTH(JanDim1+19)=1),JanDim1+19,""),IF(AND(YEAR(JanDim1+26)=AnnéeCalendrier,MONTH(JanDim1+26)=1),JanDim1+26,""))</f>
        <v>43854</v>
      </c>
      <c r="G11" s="5">
        <f>IF(DAY(JanDim1)=1,IF(AND(YEAR(JanDim1+20)=AnnéeCalendrier,MONTH(JanDim1+20)=1),JanDim1+20,""),IF(AND(YEAR(JanDim1+27)=AnnéeCalendrier,MONTH(JanDim1+27)=1),JanDim1+27,""))</f>
        <v>43855</v>
      </c>
      <c r="H11" s="5">
        <f>IF(DAY(JanDim1)=1,IF(AND(YEAR(JanDim1+21)=AnnéeCalendrier,MONTH(JanDim1+21)=1),JanDim1+21,""),IF(AND(YEAR(JanDim1+28)=AnnéeCalendrier,MONTH(JanDim1+28)=1),JanDim1+28,""))</f>
        <v>43856</v>
      </c>
      <c r="I11" s="4"/>
      <c r="J11" s="5">
        <f>IF(DAY(FévDim1)=1,IF(AND(YEAR(FévDim1+15)=AnnéeCalendrier,MONTH(FévDim1+15)=2),FévDim1+15,""),IF(AND(YEAR(FévDim1+22)=AnnéeCalendrier,MONTH(FévDim1+22)=2),FévDim1+22,""))</f>
        <v>43878</v>
      </c>
      <c r="K11" s="5">
        <f>IF(DAY(FévDim1)=1,IF(AND(YEAR(FévDim1+16)=AnnéeCalendrier,MONTH(FévDim1+16)=2),FévDim1+16,""),IF(AND(YEAR(FévDim1+23)=AnnéeCalendrier,MONTH(FévDim1+23)=2),FévDim1+23,""))</f>
        <v>43879</v>
      </c>
      <c r="L11" s="5">
        <f>IF(DAY(FévDim1)=1,IF(AND(YEAR(FévDim1+17)=AnnéeCalendrier,MONTH(FévDim1+17)=2),FévDim1+17,""),IF(AND(YEAR(FévDim1+24)=AnnéeCalendrier,MONTH(FévDim1+24)=2),FévDim1+24,""))</f>
        <v>43880</v>
      </c>
      <c r="M11" s="5">
        <f>IF(DAY(FévDim1)=1,IF(AND(YEAR(FévDim1+18)=AnnéeCalendrier,MONTH(FévDim1+18)=2),FévDim1+18,""),IF(AND(YEAR(FévDim1+25)=AnnéeCalendrier,MONTH(FévDim1+25)=2),FévDim1+25,""))</f>
        <v>43881</v>
      </c>
      <c r="N11" s="5">
        <f>IF(DAY(FévDim1)=1,IF(AND(YEAR(FévDim1+19)=AnnéeCalendrier,MONTH(FévDim1+19)=2),FévDim1+19,""),IF(AND(YEAR(FévDim1+26)=AnnéeCalendrier,MONTH(FévDim1+26)=2),FévDim1+26,""))</f>
        <v>43882</v>
      </c>
      <c r="O11" s="5">
        <f>IF(DAY(FévDim1)=1,IF(AND(YEAR(FévDim1+20)=AnnéeCalendrier,MONTH(FévDim1+20)=2),FévDim1+20,""),IF(AND(YEAR(FévDim1+27)=AnnéeCalendrier,MONTH(FévDim1+27)=2),FévDim1+27,""))</f>
        <v>43883</v>
      </c>
      <c r="P11" s="5">
        <f>IF(DAY(FévDim1)=1,IF(AND(YEAR(FévDim1+21)=AnnéeCalendrier,MONTH(FévDim1+21)=2),FévDim1+21,""),IF(AND(YEAR(FévDim1+28)=AnnéeCalendrier,MONTH(FévDim1+28)=2),FévDim1+28,""))</f>
        <v>43884</v>
      </c>
      <c r="Q11" s="4"/>
      <c r="R11" s="5">
        <f>IF(DAY(MarDim1)=1,IF(AND(YEAR(MarDim1+15)=AnnéeCalendrier,MONTH(MarDim1+15)=3),MarDim1+15,""),IF(AND(YEAR(MarDim1+22)=AnnéeCalendrier,MONTH(MarDim1+22)=3),MarDim1+22,""))</f>
        <v>43906</v>
      </c>
      <c r="S11" s="5">
        <f>IF(DAY(MarDim1)=1,IF(AND(YEAR(MarDim1+16)=AnnéeCalendrier,MONTH(MarDim1+16)=3),MarDim1+16,""),IF(AND(YEAR(MarDim1+23)=AnnéeCalendrier,MONTH(MarDim1+23)=3),MarDim1+23,""))</f>
        <v>43907</v>
      </c>
      <c r="T11" s="5">
        <f>IF(DAY(MarDim1)=1,IF(AND(YEAR(MarDim1+17)=AnnéeCalendrier,MONTH(MarDim1+17)=3),MarDim1+17,""),IF(AND(YEAR(MarDim1+24)=AnnéeCalendrier,MONTH(MarDim1+24)=3),MarDim1+24,""))</f>
        <v>43908</v>
      </c>
      <c r="U11" s="5">
        <f>IF(DAY(MarDim1)=1,IF(AND(YEAR(MarDim1+18)=AnnéeCalendrier,MONTH(MarDim1+18)=3),MarDim1+18,""),IF(AND(YEAR(MarDim1+25)=AnnéeCalendrier,MONTH(MarDim1+25)=3),MarDim1+25,""))</f>
        <v>43909</v>
      </c>
      <c r="V11" s="5">
        <f>IF(DAY(MarDim1)=1,IF(AND(YEAR(MarDim1+19)=AnnéeCalendrier,MONTH(MarDim1+19)=3),MarDim1+19,""),IF(AND(YEAR(MarDim1+26)=AnnéeCalendrier,MONTH(MarDim1+26)=3),MarDim1+26,""))</f>
        <v>43910</v>
      </c>
      <c r="W11" s="5">
        <f>IF(DAY(MarDim1)=1,IF(AND(YEAR(MarDim1+20)=AnnéeCalendrier,MONTH(MarDim1+20)=3),MarDim1+20,""),IF(AND(YEAR(MarDim1+27)=AnnéeCalendrier,MONTH(MarDim1+27)=3),MarDim1+27,""))</f>
        <v>43911</v>
      </c>
      <c r="X11" s="5">
        <f>IF(DAY(MarDim1)=1,IF(AND(YEAR(MarDim1+21)=AnnéeCalendrier,MONTH(MarDim1+21)=3),MarDim1+21,""),IF(AND(YEAR(MarDim1+28)=AnnéeCalendrier,MONTH(MarDim1+28)=3),MarDim1+28,""))</f>
        <v>43912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43857</v>
      </c>
      <c r="C12" s="5">
        <f>IF(DAY(JanDim1)=1,IF(AND(YEAR(JanDim1+23)=AnnéeCalendrier,MONTH(JanDim1+23)=1),JanDim1+23,""),IF(AND(YEAR(JanDim1+30)=AnnéeCalendrier,MONTH(JanDim1+30)=1),JanDim1+30,""))</f>
        <v>43858</v>
      </c>
      <c r="D12" s="5">
        <f>IF(DAY(JanDim1)=1,IF(AND(YEAR(JanDim1+24)=AnnéeCalendrier,MONTH(JanDim1+24)=1),JanDim1+24,""),IF(AND(YEAR(JanDim1+31)=AnnéeCalendrier,MONTH(JanDim1+31)=1),JanDim1+31,""))</f>
        <v>43859</v>
      </c>
      <c r="E12" s="5">
        <f>IF(DAY(JanDim1)=1,IF(AND(YEAR(JanDim1+25)=AnnéeCalendrier,MONTH(JanDim1+25)=1),JanDim1+25,""),IF(AND(YEAR(JanDim1+32)=AnnéeCalendrier,MONTH(JanDim1+32)=1),JanDim1+32,""))</f>
        <v>43860</v>
      </c>
      <c r="F12" s="5">
        <f>IF(DAY(JanDim1)=1,IF(AND(YEAR(JanDim1+26)=AnnéeCalendrier,MONTH(JanDim1+26)=1),JanDim1+26,""),IF(AND(YEAR(JanDim1+33)=AnnéeCalendrier,MONTH(JanDim1+33)=1),JanDim1+33,""))</f>
        <v>43861</v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43885</v>
      </c>
      <c r="K12" s="5">
        <f>IF(DAY(FévDim1)=1,IF(AND(YEAR(FévDim1+23)=AnnéeCalendrier,MONTH(FévDim1+23)=2),FévDim1+23,""),IF(AND(YEAR(FévDim1+30)=AnnéeCalendrier,MONTH(FévDim1+30)=2),FévDim1+30,""))</f>
        <v>43886</v>
      </c>
      <c r="L12" s="5">
        <f>IF(DAY(FévDim1)=1,IF(AND(YEAR(FévDim1+24)=AnnéeCalendrier,MONTH(FévDim1+24)=2),FévDim1+24,""),IF(AND(YEAR(FévDim1+31)=AnnéeCalendrier,MONTH(FévDim1+31)=2),FévDim1+31,""))</f>
        <v>43887</v>
      </c>
      <c r="M12" s="5">
        <f>IF(DAY(FévDim1)=1,IF(AND(YEAR(FévDim1+25)=AnnéeCalendrier,MONTH(FévDim1+25)=2),FévDim1+25,""),IF(AND(YEAR(FévDim1+32)=AnnéeCalendrier,MONTH(FévDim1+32)=2),FévDim1+32,""))</f>
        <v>43888</v>
      </c>
      <c r="N12" s="5">
        <f>IF(DAY(FévDim1)=1,IF(AND(YEAR(FévDim1+26)=AnnéeCalendrier,MONTH(FévDim1+26)=2),FévDim1+26,""),IF(AND(YEAR(FévDim1+33)=AnnéeCalendrier,MONTH(FévDim1+33)=2),FévDim1+33,""))</f>
        <v>43889</v>
      </c>
      <c r="O12" s="5">
        <f>IF(DAY(FévDim1)=1,IF(AND(YEAR(FévDim1+27)=AnnéeCalendrier,MONTH(FévDim1+27)=2),FévDim1+27,""),IF(AND(YEAR(FévDim1+34)=AnnéeCalendrier,MONTH(FévDim1+34)=2),FévDim1+34,""))</f>
        <v>43890</v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43913</v>
      </c>
      <c r="S12" s="5">
        <f>IF(DAY(MarDim1)=1,IF(AND(YEAR(MarDim1+23)=AnnéeCalendrier,MONTH(MarDim1+23)=3),MarDim1+23,""),IF(AND(YEAR(MarDim1+30)=AnnéeCalendrier,MONTH(MarDim1+30)=3),MarDim1+30,""))</f>
        <v>43914</v>
      </c>
      <c r="T12" s="5">
        <f>IF(DAY(MarDim1)=1,IF(AND(YEAR(MarDim1+24)=AnnéeCalendrier,MONTH(MarDim1+24)=3),MarDim1+24,""),IF(AND(YEAR(MarDim1+31)=AnnéeCalendrier,MONTH(MarDim1+31)=3),MarDim1+31,""))</f>
        <v>43915</v>
      </c>
      <c r="U12" s="5">
        <f>IF(DAY(MarDim1)=1,IF(AND(YEAR(MarDim1+25)=AnnéeCalendrier,MONTH(MarDim1+25)=3),MarDim1+25,""),IF(AND(YEAR(MarDim1+32)=AnnéeCalendrier,MONTH(MarDim1+32)=3),MarDim1+32,""))</f>
        <v>43916</v>
      </c>
      <c r="V12" s="5">
        <f>IF(DAY(MarDim1)=1,IF(AND(YEAR(MarDim1+26)=AnnéeCalendrier,MONTH(MarDim1+26)=3),MarDim1+26,""),IF(AND(YEAR(MarDim1+33)=AnnéeCalendrier,MONTH(MarDim1+33)=3),MarDim1+33,""))</f>
        <v>43917</v>
      </c>
      <c r="W12" s="5">
        <f>IF(DAY(MarDim1)=1,IF(AND(YEAR(MarDim1+27)=AnnéeCalendrier,MONTH(MarDim1+27)=3),MarDim1+27,""),IF(AND(YEAR(MarDim1+34)=AnnéeCalendrier,MONTH(MarDim1+34)=3),MarDim1+34,""))</f>
        <v>43918</v>
      </c>
      <c r="X12" s="5">
        <f>IF(DAY(MarDim1)=1,IF(AND(YEAR(MarDim1+28)=AnnéeCalendrier,MONTH(MarDim1+28)=3),MarDim1+28,""),IF(AND(YEAR(MarDim1+35)=AnnéeCalendrier,MONTH(MarDim1+35)=3),MarDim1+35,""))</f>
        <v>43919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>
        <f>IF(DAY(MarDim1)=1,IF(AND(YEAR(MarDim1+29)=AnnéeCalendrier,MONTH(MarDim1+29)=3),MarDim1+29,""),IF(AND(YEAR(MarDim1+36)=AnnéeCalendrier,MONTH(MarDim1+36)=3),MarDim1+36,""))</f>
        <v>43920</v>
      </c>
      <c r="S13" s="5">
        <f>IF(DAY(MarDim1)=1,IF(AND(YEAR(MarDim1+30)=AnnéeCalendrier,MONTH(MarDim1+30)=3),MarDim1+30,""),IF(AND(YEAR(MarDim1+37)=AnnéeCalendrier,MONTH(MarDim1+37)=3),MarDim1+37,""))</f>
        <v>43921</v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>
        <f>IF(DAY(AvrDim1)=1,"",IF(AND(YEAR(AvrDim1+3)=AnnéeCalendrier,MONTH(AvrDim1+3)=4),AvrDim1+3,""))</f>
        <v>43922</v>
      </c>
      <c r="E17" s="5">
        <f>IF(DAY(AvrDim1)=1,"",IF(AND(YEAR(AvrDim1+4)=AnnéeCalendrier,MONTH(AvrDim1+4)=4),AvrDim1+4,""))</f>
        <v>43923</v>
      </c>
      <c r="F17" s="5">
        <f>IF(DAY(AvrDim1)=1,"",IF(AND(YEAR(AvrDim1+5)=AnnéeCalendrier,MONTH(AvrDim1+5)=4),AvrDim1+5,""))</f>
        <v>43924</v>
      </c>
      <c r="G17" s="5">
        <f>IF(DAY(AvrDim1)=1,"",IF(AND(YEAR(AvrDim1+6)=AnnéeCalendrier,MONTH(AvrDim1+6)=4),AvrDim1+6,""))</f>
        <v>43925</v>
      </c>
      <c r="H17" s="7">
        <f>IF(DAY(AvrDim1)=1,IF(AND(YEAR(AvrDim1)=AnnéeCalendrier,MONTH(AvrDim1)=4),AvrDim1,""),IF(AND(YEAR(AvrDim1+7)=AnnéeCalendrier,MONTH(AvrDim1+7)=4),AvrDim1+7,""))</f>
        <v>43926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>
        <f>IF(DAY(MaiDim1)=1,"",IF(AND(YEAR(MaiDim1+5)=AnnéeCalendrier,MONTH(MaiDim1+5)=5),MaiDim1+5,""))</f>
        <v>43952</v>
      </c>
      <c r="O17" s="5">
        <f>IF(DAY(MaiDim1)=1,"",IF(AND(YEAR(MaiDim1+6)=AnnéeCalendrier,MONTH(MaiDim1+6)=5),MaiDim1+6,""))</f>
        <v>43953</v>
      </c>
      <c r="P17" s="7">
        <f>IF(DAY(MaiDim1)=1,IF(AND(YEAR(MaiDim1)=AnnéeCalendrier,MONTH(MaiDim1)=5),MaiDim1,""),IF(AND(YEAR(MaiDim1+7)=AnnéeCalendrier,MONTH(MaiDim1+7)=5),MaiDim1+7,""))</f>
        <v>43954</v>
      </c>
      <c r="Q17" s="4"/>
      <c r="R17" s="6">
        <f>IF(DAY(JunDim1)=1,"",IF(AND(YEAR(JunDim1+1)=AnnéeCalendrier,MONTH(JunDim1+1)=6),JunDim1+1,""))</f>
        <v>43983</v>
      </c>
      <c r="S17" s="5">
        <f>IF(DAY(JunDim1)=1,"",IF(AND(YEAR(JunDim1+2)=AnnéeCalendrier,MONTH(JunDim1+2)=6),JunDim1+2,""))</f>
        <v>43984</v>
      </c>
      <c r="T17" s="5">
        <f>IF(DAY(JunDim1)=1,"",IF(AND(YEAR(JunDim1+3)=AnnéeCalendrier,MONTH(JunDim1+3)=6),JunDim1+3,""))</f>
        <v>43985</v>
      </c>
      <c r="U17" s="5">
        <f>IF(DAY(JunDim1)=1,"",IF(AND(YEAR(JunDim1+4)=AnnéeCalendrier,MONTH(JunDim1+4)=6),JunDim1+4,""))</f>
        <v>43986</v>
      </c>
      <c r="V17" s="5">
        <f>IF(DAY(JunDim1)=1,"",IF(AND(YEAR(JunDim1+5)=AnnéeCalendrier,MONTH(JunDim1+5)=6),JunDim1+5,""))</f>
        <v>43987</v>
      </c>
      <c r="W17" s="5">
        <f>IF(DAY(JunDim1)=1,"",IF(AND(YEAR(JunDim1+6)=AnnéeCalendrier,MONTH(JunDim1+6)=6),JunDim1+6,""))</f>
        <v>43988</v>
      </c>
      <c r="X17" s="7">
        <f>IF(DAY(JunDim1)=1,IF(AND(YEAR(JunDim1)=AnnéeCalendrier,MONTH(JunDim1)=6),JunDim1,""),IF(AND(YEAR(JunDim1+7)=AnnéeCalendrier,MONTH(JunDim1+7)=6),JunDim1+7,""))</f>
        <v>43989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43927</v>
      </c>
      <c r="C18" s="5">
        <f>IF(DAY(AvrDim1)=1,IF(AND(YEAR(AvrDim1+2)=AnnéeCalendrier,MONTH(AvrDim1+2)=4),AvrDim1+2,""),IF(AND(YEAR(AvrDim1+9)=AnnéeCalendrier,MONTH(AvrDim1+9)=4),AvrDim1+9,""))</f>
        <v>43928</v>
      </c>
      <c r="D18" s="5">
        <f>IF(DAY(AvrDim1)=1,IF(AND(YEAR(AvrDim1+3)=AnnéeCalendrier,MONTH(AvrDim1+3)=4),AvrDim1+3,""),IF(AND(YEAR(AvrDim1+10)=AnnéeCalendrier,MONTH(AvrDim1+10)=4),AvrDim1+10,""))</f>
        <v>43929</v>
      </c>
      <c r="E18" s="5">
        <f>IF(DAY(AvrDim1)=1,IF(AND(YEAR(AvrDim1+4)=AnnéeCalendrier,MONTH(AvrDim1+4)=4),AvrDim1+4,""),IF(AND(YEAR(AvrDim1+11)=AnnéeCalendrier,MONTH(AvrDim1+11)=4),AvrDim1+11,""))</f>
        <v>43930</v>
      </c>
      <c r="F18" s="5">
        <f>IF(DAY(AvrDim1)=1,IF(AND(YEAR(AvrDim1+5)=AnnéeCalendrier,MONTH(AvrDim1+5)=4),AvrDim1+5,""),IF(AND(YEAR(AvrDim1+12)=AnnéeCalendrier,MONTH(AvrDim1+12)=4),AvrDim1+12,""))</f>
        <v>43931</v>
      </c>
      <c r="G18" s="5">
        <f>IF(DAY(AvrDim1)=1,IF(AND(YEAR(AvrDim1+6)=AnnéeCalendrier,MONTH(AvrDim1+6)=4),AvrDim1+6,""),IF(AND(YEAR(AvrDim1+13)=AnnéeCalendrier,MONTH(AvrDim1+13)=4),AvrDim1+13,""))</f>
        <v>43932</v>
      </c>
      <c r="H18" s="7">
        <f>IF(DAY(AvrDim1)=1,IF(AND(YEAR(AvrDim1+7)=AnnéeCalendrier,MONTH(AvrDim1+7)=4),AvrDim1+7,""),IF(AND(YEAR(AvrDim1+14)=AnnéeCalendrier,MONTH(AvrDim1+14)=4),AvrDim1+14,""))</f>
        <v>43933</v>
      </c>
      <c r="I18" s="4"/>
      <c r="J18" s="6">
        <f>IF(DAY(MaiDim1)=1,IF(AND(YEAR(MaiDim1+1)=AnnéeCalendrier,MONTH(MaiDim1+1)=5),MaiDim1+1,""),IF(AND(YEAR(MaiDim1+8)=AnnéeCalendrier,MONTH(MaiDim1+8)=5),MaiDim1+8,""))</f>
        <v>43955</v>
      </c>
      <c r="K18" s="5">
        <f>IF(DAY(MaiDim1)=1,IF(AND(YEAR(MaiDim1+2)=AnnéeCalendrier,MONTH(MaiDim1+2)=5),MaiDim1+2,""),IF(AND(YEAR(MaiDim1+9)=AnnéeCalendrier,MONTH(MaiDim1+9)=5),MaiDim1+9,""))</f>
        <v>43956</v>
      </c>
      <c r="L18" s="5">
        <f>IF(DAY(MaiDim1)=1,IF(AND(YEAR(MaiDim1+3)=AnnéeCalendrier,MONTH(MaiDim1+3)=5),MaiDim1+3,""),IF(AND(YEAR(MaiDim1+10)=AnnéeCalendrier,MONTH(MaiDim1+10)=5),MaiDim1+10,""))</f>
        <v>43957</v>
      </c>
      <c r="M18" s="5">
        <f>IF(DAY(MaiDim1)=1,IF(AND(YEAR(MaiDim1+4)=AnnéeCalendrier,MONTH(MaiDim1+4)=5),MaiDim1+4,""),IF(AND(YEAR(MaiDim1+11)=AnnéeCalendrier,MONTH(MaiDim1+11)=5),MaiDim1+11,""))</f>
        <v>43958</v>
      </c>
      <c r="N18" s="5">
        <f>IF(DAY(MaiDim1)=1,IF(AND(YEAR(MaiDim1+5)=AnnéeCalendrier,MONTH(MaiDim1+5)=5),MaiDim1+5,""),IF(AND(YEAR(MaiDim1+12)=AnnéeCalendrier,MONTH(MaiDim1+12)=5),MaiDim1+12,""))</f>
        <v>43959</v>
      </c>
      <c r="O18" s="5">
        <f>IF(DAY(MaiDim1)=1,IF(AND(YEAR(MaiDim1+6)=AnnéeCalendrier,MONTH(MaiDim1+6)=5),MaiDim1+6,""),IF(AND(YEAR(MaiDim1+13)=AnnéeCalendrier,MONTH(MaiDim1+13)=5),MaiDim1+13,""))</f>
        <v>43960</v>
      </c>
      <c r="P18" s="7">
        <f>IF(DAY(MaiDim1)=1,IF(AND(YEAR(MaiDim1+7)=AnnéeCalendrier,MONTH(MaiDim1+7)=5),MaiDim1+7,""),IF(AND(YEAR(MaiDim1+14)=AnnéeCalendrier,MONTH(MaiDim1+14)=5),MaiDim1+14,""))</f>
        <v>43961</v>
      </c>
      <c r="Q18" s="4"/>
      <c r="R18" s="6">
        <f>IF(DAY(JunDim1)=1,IF(AND(YEAR(JunDim1+1)=AnnéeCalendrier,MONTH(JunDim1+1)=6),JunDim1+1,""),IF(AND(YEAR(JunDim1+8)=AnnéeCalendrier,MONTH(JunDim1+8)=6),JunDim1+8,""))</f>
        <v>43990</v>
      </c>
      <c r="S18" s="5">
        <f>IF(DAY(JunDim1)=1,IF(AND(YEAR(JunDim1+2)=AnnéeCalendrier,MONTH(JunDim1+2)=6),JunDim1+2,""),IF(AND(YEAR(JunDim1+9)=AnnéeCalendrier,MONTH(JunDim1+9)=6),JunDim1+9,""))</f>
        <v>43991</v>
      </c>
      <c r="T18" s="5">
        <f>IF(DAY(JunDim1)=1,IF(AND(YEAR(JunDim1+3)=AnnéeCalendrier,MONTH(JunDim1+3)=6),JunDim1+3,""),IF(AND(YEAR(JunDim1+10)=AnnéeCalendrier,MONTH(JunDim1+10)=6),JunDim1+10,""))</f>
        <v>43992</v>
      </c>
      <c r="U18" s="5">
        <f>IF(DAY(JunDim1)=1,IF(AND(YEAR(JunDim1+4)=AnnéeCalendrier,MONTH(JunDim1+4)=6),JunDim1+4,""),IF(AND(YEAR(JunDim1+11)=AnnéeCalendrier,MONTH(JunDim1+11)=6),JunDim1+11,""))</f>
        <v>43993</v>
      </c>
      <c r="V18" s="5">
        <f>IF(DAY(JunDim1)=1,IF(AND(YEAR(JunDim1+5)=AnnéeCalendrier,MONTH(JunDim1+5)=6),JunDim1+5,""),IF(AND(YEAR(JunDim1+12)=AnnéeCalendrier,MONTH(JunDim1+12)=6),JunDim1+12,""))</f>
        <v>43994</v>
      </c>
      <c r="W18" s="5">
        <f>IF(DAY(JunDim1)=1,IF(AND(YEAR(JunDim1+6)=AnnéeCalendrier,MONTH(JunDim1+6)=6),JunDim1+6,""),IF(AND(YEAR(JunDim1+13)=AnnéeCalendrier,MONTH(JunDim1+13)=6),JunDim1+13,""))</f>
        <v>43995</v>
      </c>
      <c r="X18" s="7">
        <f>IF(DAY(JunDim1)=1,IF(AND(YEAR(JunDim1+7)=AnnéeCalendrier,MONTH(JunDim1+7)=6),JunDim1+7,""),IF(AND(YEAR(JunDim1+14)=AnnéeCalendrier,MONTH(JunDim1+14)=6),JunDim1+14,""))</f>
        <v>43996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43934</v>
      </c>
      <c r="C19" s="5">
        <f>IF(DAY(AvrDim1)=1,IF(AND(YEAR(AvrDim1+9)=AnnéeCalendrier,MONTH(AvrDim1+9)=4),AvrDim1+9,""),IF(AND(YEAR(AvrDim1+16)=AnnéeCalendrier,MONTH(AvrDim1+16)=4),AvrDim1+16,""))</f>
        <v>43935</v>
      </c>
      <c r="D19" s="5">
        <f>IF(DAY(AvrDim1)=1,IF(AND(YEAR(AvrDim1+10)=AnnéeCalendrier,MONTH(AvrDim1+10)=4),AvrDim1+10,""),IF(AND(YEAR(AvrDim1+17)=AnnéeCalendrier,MONTH(AvrDim1+17)=4),AvrDim1+17,""))</f>
        <v>43936</v>
      </c>
      <c r="E19" s="5">
        <f>IF(DAY(AvrDim1)=1,IF(AND(YEAR(AvrDim1+11)=AnnéeCalendrier,MONTH(AvrDim1+11)=4),AvrDim1+11,""),IF(AND(YEAR(AvrDim1+18)=AnnéeCalendrier,MONTH(AvrDim1+18)=4),AvrDim1+18,""))</f>
        <v>43937</v>
      </c>
      <c r="F19" s="5">
        <f>IF(DAY(AvrDim1)=1,IF(AND(YEAR(AvrDim1+12)=AnnéeCalendrier,MONTH(AvrDim1+12)=4),AvrDim1+12,""),IF(AND(YEAR(AvrDim1+19)=AnnéeCalendrier,MONTH(AvrDim1+19)=4),AvrDim1+19,""))</f>
        <v>43938</v>
      </c>
      <c r="G19" s="5">
        <f>IF(DAY(AvrDim1)=1,IF(AND(YEAR(AvrDim1+13)=AnnéeCalendrier,MONTH(AvrDim1+13)=4),AvrDim1+13,""),IF(AND(YEAR(AvrDim1+20)=AnnéeCalendrier,MONTH(AvrDim1+20)=4),AvrDim1+20,""))</f>
        <v>43939</v>
      </c>
      <c r="H19" s="7">
        <f>IF(DAY(AvrDim1)=1,IF(AND(YEAR(AvrDim1+14)=AnnéeCalendrier,MONTH(AvrDim1+14)=4),AvrDim1+14,""),IF(AND(YEAR(AvrDim1+21)=AnnéeCalendrier,MONTH(AvrDim1+21)=4),AvrDim1+21,""))</f>
        <v>43940</v>
      </c>
      <c r="I19" s="4"/>
      <c r="J19" s="6">
        <f>IF(DAY(MaiDim1)=1,IF(AND(YEAR(MaiDim1+8)=AnnéeCalendrier,MONTH(MaiDim1+8)=5),MaiDim1+8,""),IF(AND(YEAR(MaiDim1+15)=AnnéeCalendrier,MONTH(MaiDim1+15)=5),MaiDim1+15,""))</f>
        <v>43962</v>
      </c>
      <c r="K19" s="5">
        <f>IF(DAY(MaiDim1)=1,IF(AND(YEAR(MaiDim1+9)=AnnéeCalendrier,MONTH(MaiDim1+9)=5),MaiDim1+9,""),IF(AND(YEAR(MaiDim1+16)=AnnéeCalendrier,MONTH(MaiDim1+16)=5),MaiDim1+16,""))</f>
        <v>43963</v>
      </c>
      <c r="L19" s="5">
        <f>IF(DAY(MaiDim1)=1,IF(AND(YEAR(MaiDim1+10)=AnnéeCalendrier,MONTH(MaiDim1+10)=5),MaiDim1+10,""),IF(AND(YEAR(MaiDim1+17)=AnnéeCalendrier,MONTH(MaiDim1+17)=5),MaiDim1+17,""))</f>
        <v>43964</v>
      </c>
      <c r="M19" s="5">
        <f>IF(DAY(MaiDim1)=1,IF(AND(YEAR(MaiDim1+11)=AnnéeCalendrier,MONTH(MaiDim1+11)=5),MaiDim1+11,""),IF(AND(YEAR(MaiDim1+18)=AnnéeCalendrier,MONTH(MaiDim1+18)=5),MaiDim1+18,""))</f>
        <v>43965</v>
      </c>
      <c r="N19" s="5">
        <f>IF(DAY(MaiDim1)=1,IF(AND(YEAR(MaiDim1+12)=AnnéeCalendrier,MONTH(MaiDim1+12)=5),MaiDim1+12,""),IF(AND(YEAR(MaiDim1+19)=AnnéeCalendrier,MONTH(MaiDim1+19)=5),MaiDim1+19,""))</f>
        <v>43966</v>
      </c>
      <c r="O19" s="5">
        <f>IF(DAY(MaiDim1)=1,IF(AND(YEAR(MaiDim1+13)=AnnéeCalendrier,MONTH(MaiDim1+13)=5),MaiDim1+13,""),IF(AND(YEAR(MaiDim1+20)=AnnéeCalendrier,MONTH(MaiDim1+20)=5),MaiDim1+20,""))</f>
        <v>43967</v>
      </c>
      <c r="P19" s="7">
        <f>IF(DAY(MaiDim1)=1,IF(AND(YEAR(MaiDim1+14)=AnnéeCalendrier,MONTH(MaiDim1+14)=5),MaiDim1+14,""),IF(AND(YEAR(MaiDim1+21)=AnnéeCalendrier,MONTH(MaiDim1+21)=5),MaiDim1+21,""))</f>
        <v>43968</v>
      </c>
      <c r="Q19" s="4"/>
      <c r="R19" s="6">
        <f>IF(DAY(JunDim1)=1,IF(AND(YEAR(JunDim1+8)=AnnéeCalendrier,MONTH(JunDim1+8)=6),JunDim1+8,""),IF(AND(YEAR(JunDim1+15)=AnnéeCalendrier,MONTH(JunDim1+15)=6),JunDim1+15,""))</f>
        <v>43997</v>
      </c>
      <c r="S19" s="5">
        <f>IF(DAY(JunDim1)=1,IF(AND(YEAR(JunDim1+9)=AnnéeCalendrier,MONTH(JunDim1+9)=6),JunDim1+9,""),IF(AND(YEAR(JunDim1+16)=AnnéeCalendrier,MONTH(JunDim1+16)=6),JunDim1+16,""))</f>
        <v>43998</v>
      </c>
      <c r="T19" s="5">
        <f>IF(DAY(JunDim1)=1,IF(AND(YEAR(JunDim1+10)=AnnéeCalendrier,MONTH(JunDim1+10)=6),JunDim1+10,""),IF(AND(YEAR(JunDim1+17)=AnnéeCalendrier,MONTH(JunDim1+17)=6),JunDim1+17,""))</f>
        <v>43999</v>
      </c>
      <c r="U19" s="5">
        <f>IF(DAY(JunDim1)=1,IF(AND(YEAR(JunDim1+11)=AnnéeCalendrier,MONTH(JunDim1+11)=6),JunDim1+11,""),IF(AND(YEAR(JunDim1+18)=AnnéeCalendrier,MONTH(JunDim1+18)=6),JunDim1+18,""))</f>
        <v>44000</v>
      </c>
      <c r="V19" s="5">
        <f>IF(DAY(JunDim1)=1,IF(AND(YEAR(JunDim1+12)=AnnéeCalendrier,MONTH(JunDim1+12)=6),JunDim1+12,""),IF(AND(YEAR(JunDim1+19)=AnnéeCalendrier,MONTH(JunDim1+19)=6),JunDim1+19,""))</f>
        <v>44001</v>
      </c>
      <c r="W19" s="5">
        <f>IF(DAY(JunDim1)=1,IF(AND(YEAR(JunDim1+13)=AnnéeCalendrier,MONTH(JunDim1+13)=6),JunDim1+13,""),IF(AND(YEAR(JunDim1+20)=AnnéeCalendrier,MONTH(JunDim1+20)=6),JunDim1+20,""))</f>
        <v>44002</v>
      </c>
      <c r="X19" s="7">
        <f>IF(DAY(JunDim1)=1,IF(AND(YEAR(JunDim1+14)=AnnéeCalendrier,MONTH(JunDim1+14)=6),JunDim1+14,""),IF(AND(YEAR(JunDim1+21)=AnnéeCalendrier,MONTH(JunDim1+21)=6),JunDim1+21,""))</f>
        <v>44003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43941</v>
      </c>
      <c r="C20" s="5">
        <f>IF(DAY(AvrDim1)=1,IF(AND(YEAR(AvrDim1+16)=AnnéeCalendrier,MONTH(AvrDim1+16)=4),AvrDim1+16,""),IF(AND(YEAR(AvrDim1+23)=AnnéeCalendrier,MONTH(AvrDim1+23)=4),AvrDim1+23,""))</f>
        <v>43942</v>
      </c>
      <c r="D20" s="5">
        <f>IF(DAY(AvrDim1)=1,IF(AND(YEAR(AvrDim1+17)=AnnéeCalendrier,MONTH(AvrDim1+17)=4),AvrDim1+17,""),IF(AND(YEAR(AvrDim1+24)=AnnéeCalendrier,MONTH(AvrDim1+24)=4),AvrDim1+24,""))</f>
        <v>43943</v>
      </c>
      <c r="E20" s="5">
        <f>IF(DAY(AvrDim1)=1,IF(AND(YEAR(AvrDim1+18)=AnnéeCalendrier,MONTH(AvrDim1+18)=4),AvrDim1+18,""),IF(AND(YEAR(AvrDim1+25)=AnnéeCalendrier,MONTH(AvrDim1+25)=4),AvrDim1+25,""))</f>
        <v>43944</v>
      </c>
      <c r="F20" s="5">
        <f>IF(DAY(AvrDim1)=1,IF(AND(YEAR(AvrDim1+19)=AnnéeCalendrier,MONTH(AvrDim1+19)=4),AvrDim1+19,""),IF(AND(YEAR(AvrDim1+26)=AnnéeCalendrier,MONTH(AvrDim1+26)=4),AvrDim1+26,""))</f>
        <v>43945</v>
      </c>
      <c r="G20" s="5">
        <f>IF(DAY(AvrDim1)=1,IF(AND(YEAR(AvrDim1+20)=AnnéeCalendrier,MONTH(AvrDim1+20)=4),AvrDim1+20,""),IF(AND(YEAR(AvrDim1+27)=AnnéeCalendrier,MONTH(AvrDim1+27)=4),AvrDim1+27,""))</f>
        <v>43946</v>
      </c>
      <c r="H20" s="7">
        <f>IF(DAY(AvrDim1)=1,IF(AND(YEAR(AvrDim1+21)=AnnéeCalendrier,MONTH(AvrDim1+21)=4),AvrDim1+21,""),IF(AND(YEAR(AvrDim1+28)=AnnéeCalendrier,MONTH(AvrDim1+28)=4),AvrDim1+28,""))</f>
        <v>43947</v>
      </c>
      <c r="I20" s="4"/>
      <c r="J20" s="6">
        <f>IF(DAY(MaiDim1)=1,IF(AND(YEAR(MaiDim1+15)=AnnéeCalendrier,MONTH(MaiDim1+15)=5),MaiDim1+15,""),IF(AND(YEAR(MaiDim1+22)=AnnéeCalendrier,MONTH(MaiDim1+22)=5),MaiDim1+22,""))</f>
        <v>43969</v>
      </c>
      <c r="K20" s="5">
        <f>IF(DAY(MaiDim1)=1,IF(AND(YEAR(MaiDim1+16)=AnnéeCalendrier,MONTH(MaiDim1+16)=5),MaiDim1+16,""),IF(AND(YEAR(MaiDim1+23)=AnnéeCalendrier,MONTH(MaiDim1+23)=5),MaiDim1+23,""))</f>
        <v>43970</v>
      </c>
      <c r="L20" s="5">
        <f>IF(DAY(MaiDim1)=1,IF(AND(YEAR(MaiDim1+17)=AnnéeCalendrier,MONTH(MaiDim1+17)=5),MaiDim1+17,""),IF(AND(YEAR(MaiDim1+24)=AnnéeCalendrier,MONTH(MaiDim1+24)=5),MaiDim1+24,""))</f>
        <v>43971</v>
      </c>
      <c r="M20" s="5">
        <f>IF(DAY(MaiDim1)=1,IF(AND(YEAR(MaiDim1+18)=AnnéeCalendrier,MONTH(MaiDim1+18)=5),MaiDim1+18,""),IF(AND(YEAR(MaiDim1+25)=AnnéeCalendrier,MONTH(MaiDim1+25)=5),MaiDim1+25,""))</f>
        <v>43972</v>
      </c>
      <c r="N20" s="5">
        <f>IF(DAY(MaiDim1)=1,IF(AND(YEAR(MaiDim1+19)=AnnéeCalendrier,MONTH(MaiDim1+19)=5),MaiDim1+19,""),IF(AND(YEAR(MaiDim1+26)=AnnéeCalendrier,MONTH(MaiDim1+26)=5),MaiDim1+26,""))</f>
        <v>43973</v>
      </c>
      <c r="O20" s="5">
        <f>IF(DAY(MaiDim1)=1,IF(AND(YEAR(MaiDim1+20)=AnnéeCalendrier,MONTH(MaiDim1+20)=5),MaiDim1+20,""),IF(AND(YEAR(MaiDim1+27)=AnnéeCalendrier,MONTH(MaiDim1+27)=5),MaiDim1+27,""))</f>
        <v>43974</v>
      </c>
      <c r="P20" s="7">
        <f>IF(DAY(MaiDim1)=1,IF(AND(YEAR(MaiDim1+21)=AnnéeCalendrier,MONTH(MaiDim1+21)=5),MaiDim1+21,""),IF(AND(YEAR(MaiDim1+28)=AnnéeCalendrier,MONTH(MaiDim1+28)=5),MaiDim1+28,""))</f>
        <v>43975</v>
      </c>
      <c r="Q20" s="4"/>
      <c r="R20" s="6">
        <f>IF(DAY(JunDim1)=1,IF(AND(YEAR(JunDim1+15)=AnnéeCalendrier,MONTH(JunDim1+15)=6),JunDim1+15,""),IF(AND(YEAR(JunDim1+22)=AnnéeCalendrier,MONTH(JunDim1+22)=6),JunDim1+22,""))</f>
        <v>44004</v>
      </c>
      <c r="S20" s="5">
        <f>IF(DAY(JunDim1)=1,IF(AND(YEAR(JunDim1+16)=AnnéeCalendrier,MONTH(JunDim1+16)=6),JunDim1+16,""),IF(AND(YEAR(JunDim1+23)=AnnéeCalendrier,MONTH(JunDim1+23)=6),JunDim1+23,""))</f>
        <v>44005</v>
      </c>
      <c r="T20" s="5">
        <f>IF(DAY(JunDim1)=1,IF(AND(YEAR(JunDim1+17)=AnnéeCalendrier,MONTH(JunDim1+17)=6),JunDim1+17,""),IF(AND(YEAR(JunDim1+24)=AnnéeCalendrier,MONTH(JunDim1+24)=6),JunDim1+24,""))</f>
        <v>44006</v>
      </c>
      <c r="U20" s="5">
        <f>IF(DAY(JunDim1)=1,IF(AND(YEAR(JunDim1+18)=AnnéeCalendrier,MONTH(JunDim1+18)=6),JunDim1+18,""),IF(AND(YEAR(JunDim1+25)=AnnéeCalendrier,MONTH(JunDim1+25)=6),JunDim1+25,""))</f>
        <v>44007</v>
      </c>
      <c r="V20" s="5">
        <f>IF(DAY(JunDim1)=1,IF(AND(YEAR(JunDim1+19)=AnnéeCalendrier,MONTH(JunDim1+19)=6),JunDim1+19,""),IF(AND(YEAR(JunDim1+26)=AnnéeCalendrier,MONTH(JunDim1+26)=6),JunDim1+26,""))</f>
        <v>44008</v>
      </c>
      <c r="W20" s="5">
        <f>IF(DAY(JunDim1)=1,IF(AND(YEAR(JunDim1+20)=AnnéeCalendrier,MONTH(JunDim1+20)=6),JunDim1+20,""),IF(AND(YEAR(JunDim1+27)=AnnéeCalendrier,MONTH(JunDim1+27)=6),JunDim1+27,""))</f>
        <v>44009</v>
      </c>
      <c r="X20" s="7">
        <f>IF(DAY(JunDim1)=1,IF(AND(YEAR(JunDim1+21)=AnnéeCalendrier,MONTH(JunDim1+21)=6),JunDim1+21,""),IF(AND(YEAR(JunDim1+28)=AnnéeCalendrier,MONTH(JunDim1+28)=6),JunDim1+28,""))</f>
        <v>44010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43948</v>
      </c>
      <c r="C21" s="5">
        <f>IF(DAY(AvrDim1)=1,IF(AND(YEAR(AvrDim1+23)=AnnéeCalendrier,MONTH(AvrDim1+23)=4),AvrDim1+23,""),IF(AND(YEAR(AvrDim1+30)=AnnéeCalendrier,MONTH(AvrDim1+30)=4),AvrDim1+30,""))</f>
        <v>43949</v>
      </c>
      <c r="D21" s="5">
        <f>IF(DAY(AvrDim1)=1,IF(AND(YEAR(AvrDim1+24)=AnnéeCalendrier,MONTH(AvrDim1+24)=4),AvrDim1+24,""),IF(AND(YEAR(AvrDim1+31)=AnnéeCalendrier,MONTH(AvrDim1+31)=4),AvrDim1+31,""))</f>
        <v>43950</v>
      </c>
      <c r="E21" s="5">
        <f>IF(DAY(AvrDim1)=1,IF(AND(YEAR(AvrDim1+25)=AnnéeCalendrier,MONTH(AvrDim1+25)=4),AvrDim1+25,""),IF(AND(YEAR(AvrDim1+32)=AnnéeCalendrier,MONTH(AvrDim1+32)=4),AvrDim1+32,""))</f>
        <v>43951</v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43976</v>
      </c>
      <c r="K21" s="5">
        <f>IF(DAY(MaiDim1)=1,IF(AND(YEAR(MaiDim1+23)=AnnéeCalendrier,MONTH(MaiDim1+23)=5),MaiDim1+23,""),IF(AND(YEAR(MaiDim1+30)=AnnéeCalendrier,MONTH(MaiDim1+30)=5),MaiDim1+30,""))</f>
        <v>43977</v>
      </c>
      <c r="L21" s="5">
        <f>IF(DAY(MaiDim1)=1,IF(AND(YEAR(MaiDim1+24)=AnnéeCalendrier,MONTH(MaiDim1+24)=5),MaiDim1+24,""),IF(AND(YEAR(MaiDim1+31)=AnnéeCalendrier,MONTH(MaiDim1+31)=5),MaiDim1+31,""))</f>
        <v>43978</v>
      </c>
      <c r="M21" s="5">
        <f>IF(DAY(MaiDim1)=1,IF(AND(YEAR(MaiDim1+25)=AnnéeCalendrier,MONTH(MaiDim1+25)=5),MaiDim1+25,""),IF(AND(YEAR(MaiDim1+32)=AnnéeCalendrier,MONTH(MaiDim1+32)=5),MaiDim1+32,""))</f>
        <v>43979</v>
      </c>
      <c r="N21" s="5">
        <f>IF(DAY(MaiDim1)=1,IF(AND(YEAR(MaiDim1+26)=AnnéeCalendrier,MONTH(MaiDim1+26)=5),MaiDim1+26,""),IF(AND(YEAR(MaiDim1+33)=AnnéeCalendrier,MONTH(MaiDim1+33)=5),MaiDim1+33,""))</f>
        <v>43980</v>
      </c>
      <c r="O21" s="5">
        <f>IF(DAY(MaiDim1)=1,IF(AND(YEAR(MaiDim1+27)=AnnéeCalendrier,MONTH(MaiDim1+27)=5),MaiDim1+27,""),IF(AND(YEAR(MaiDim1+34)=AnnéeCalendrier,MONTH(MaiDim1+34)=5),MaiDim1+34,""))</f>
        <v>43981</v>
      </c>
      <c r="P21" s="7">
        <f>IF(DAY(MaiDim1)=1,IF(AND(YEAR(MaiDim1+28)=AnnéeCalendrier,MONTH(MaiDim1+28)=5),MaiDim1+28,""),IF(AND(YEAR(MaiDim1+35)=AnnéeCalendrier,MONTH(MaiDim1+35)=5),MaiDim1+35,""))</f>
        <v>43982</v>
      </c>
      <c r="Q21" s="4"/>
      <c r="R21" s="6">
        <f>IF(DAY(JunDim1)=1,IF(AND(YEAR(JunDim1+22)=AnnéeCalendrier,MONTH(JunDim1+22)=6),JunDim1+22,""),IF(AND(YEAR(JunDim1+29)=AnnéeCalendrier,MONTH(JunDim1+29)=6),JunDim1+29,""))</f>
        <v>44011</v>
      </c>
      <c r="S21" s="5">
        <f>IF(DAY(JunDim1)=1,IF(AND(YEAR(JunDim1+23)=AnnéeCalendrier,MONTH(JunDim1+23)=6),JunDim1+23,""),IF(AND(YEAR(JunDim1+30)=AnnéeCalendrier,MONTH(JunDim1+30)=6),JunDim1+30,""))</f>
        <v>44012</v>
      </c>
      <c r="T21" s="5" t="str">
        <f>IF(DAY(JunDim1)=1,IF(AND(YEAR(JunDim1+24)=AnnéeCalendrier,MONTH(JunDim1+24)=6),JunDim1+24,""),IF(AND(YEAR(JunDim1+31)=AnnéeCalendrier,MONTH(JunDim1+31)=6),JunDim1+31,""))</f>
        <v/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>
        <f>IF(DAY(JulDim1)=1,"",IF(AND(YEAR(JulDim1+3)=AnnéeCalendrier,MONTH(JulDim1+3)=7),JulDim1+3,""))</f>
        <v>44013</v>
      </c>
      <c r="E26" s="5">
        <f>IF(DAY(JulDim1)=1,"",IF(AND(YEAR(JulDim1+4)=AnnéeCalendrier,MONTH(JulDim1+4)=7),JulDim1+4,""))</f>
        <v>44014</v>
      </c>
      <c r="F26" s="5">
        <f>IF(DAY(JulDim1)=1,"",IF(AND(YEAR(JulDim1+5)=AnnéeCalendrier,MONTH(JulDim1+5)=7),JulDim1+5,""))</f>
        <v>44015</v>
      </c>
      <c r="G26" s="5">
        <f>IF(DAY(JulDim1)=1,"",IF(AND(YEAR(JulDim1+6)=AnnéeCalendrier,MONTH(JulDim1+6)=7),JulDim1+6,""))</f>
        <v>44016</v>
      </c>
      <c r="H26" s="7">
        <f>IF(DAY(JulDim1)=1,IF(AND(YEAR(JulDim1)=AnnéeCalendrier,MONTH(JulDim1)=7),JulDim1,""),IF(AND(YEAR(JulDim1+7)=AnnéeCalendrier,MONTH(JulDim1+7)=7),JulDim1+7,""))</f>
        <v>44017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>
        <f>IF(DAY(AouDim1)=1,"",IF(AND(YEAR(AouDim1+6)=AnnéeCalendrier,MONTH(AouDim1+6)=8),AouDim1+6,""))</f>
        <v>44044</v>
      </c>
      <c r="P26" s="7">
        <f>IF(DAY(AouDim1)=1,IF(AND(YEAR(AouDim1)=AnnéeCalendrier,MONTH(AouDim1)=8),AouDim1,""),IF(AND(YEAR(AouDim1+7)=AnnéeCalendrier,MONTH(AouDim1+7)=8),AouDim1+7,""))</f>
        <v>44045</v>
      </c>
      <c r="Q26" s="1"/>
      <c r="R26" s="6" t="str">
        <f>IF(DAY(SepDim1)=1,"",IF(AND(YEAR(SepDim1+1)=AnnéeCalendrier,MONTH(SepDim1+1)=9),SepDim1+1,""))</f>
        <v/>
      </c>
      <c r="S26" s="5">
        <f>IF(DAY(SepDim1)=1,"",IF(AND(YEAR(SepDim1+2)=AnnéeCalendrier,MONTH(SepDim1+2)=9),SepDim1+2,""))</f>
        <v>44075</v>
      </c>
      <c r="T26" s="5">
        <f>IF(DAY(SepDim1)=1,"",IF(AND(YEAR(SepDim1+3)=AnnéeCalendrier,MONTH(SepDim1+3)=9),SepDim1+3,""))</f>
        <v>44076</v>
      </c>
      <c r="U26" s="5">
        <f>IF(DAY(SepDim1)=1,"",IF(AND(YEAR(SepDim1+4)=AnnéeCalendrier,MONTH(SepDim1+4)=9),SepDim1+4,""))</f>
        <v>44077</v>
      </c>
      <c r="V26" s="5">
        <f>IF(DAY(SepDim1)=1,"",IF(AND(YEAR(SepDim1+5)=AnnéeCalendrier,MONTH(SepDim1+5)=9),SepDim1+5,""))</f>
        <v>44078</v>
      </c>
      <c r="W26" s="5">
        <f>IF(DAY(SepDim1)=1,"",IF(AND(YEAR(SepDim1+6)=AnnéeCalendrier,MONTH(SepDim1+6)=9),SepDim1+6,""))</f>
        <v>44079</v>
      </c>
      <c r="X26" s="7">
        <f>IF(DAY(SepDim1)=1,IF(AND(YEAR(SepDim1)=AnnéeCalendrier,MONTH(SepDim1)=9),SepDim1,""),IF(AND(YEAR(SepDim1+7)=AnnéeCalendrier,MONTH(SepDim1+7)=9),SepDim1+7,""))</f>
        <v>44080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44018</v>
      </c>
      <c r="C27" s="5">
        <f>IF(DAY(JulDim1)=1,IF(AND(YEAR(JulDim1+2)=AnnéeCalendrier,MONTH(JulDim1+2)=7),JulDim1+2,""),IF(AND(YEAR(JulDim1+9)=AnnéeCalendrier,MONTH(JulDim1+9)=7),JulDim1+9,""))</f>
        <v>44019</v>
      </c>
      <c r="D27" s="5">
        <f>IF(DAY(JulDim1)=1,IF(AND(YEAR(JulDim1+3)=AnnéeCalendrier,MONTH(JulDim1+3)=7),JulDim1+3,""),IF(AND(YEAR(JulDim1+10)=AnnéeCalendrier,MONTH(JulDim1+10)=7),JulDim1+10,""))</f>
        <v>44020</v>
      </c>
      <c r="E27" s="5">
        <f>IF(DAY(JulDim1)=1,IF(AND(YEAR(JulDim1+4)=AnnéeCalendrier,MONTH(JulDim1+4)=7),JulDim1+4,""),IF(AND(YEAR(JulDim1+11)=AnnéeCalendrier,MONTH(JulDim1+11)=7),JulDim1+11,""))</f>
        <v>44021</v>
      </c>
      <c r="F27" s="5">
        <f>IF(DAY(JulDim1)=1,IF(AND(YEAR(JulDim1+5)=AnnéeCalendrier,MONTH(JulDim1+5)=7),JulDim1+5,""),IF(AND(YEAR(JulDim1+12)=AnnéeCalendrier,MONTH(JulDim1+12)=7),JulDim1+12,""))</f>
        <v>44022</v>
      </c>
      <c r="G27" s="5">
        <f>IF(DAY(JulDim1)=1,IF(AND(YEAR(JulDim1+6)=AnnéeCalendrier,MONTH(JulDim1+6)=7),JulDim1+6,""),IF(AND(YEAR(JulDim1+13)=AnnéeCalendrier,MONTH(JulDim1+13)=7),JulDim1+13,""))</f>
        <v>44023</v>
      </c>
      <c r="H27" s="7">
        <f>IF(DAY(JulDim1)=1,IF(AND(YEAR(JulDim1+7)=AnnéeCalendrier,MONTH(JulDim1+7)=7),JulDim1+7,""),IF(AND(YEAR(JulDim1+14)=AnnéeCalendrier,MONTH(JulDim1+14)=7),JulDim1+14,""))</f>
        <v>44024</v>
      </c>
      <c r="J27" s="6">
        <f>IF(DAY(AouDim1)=1,IF(AND(YEAR(AouDim1+1)=AnnéeCalendrier,MONTH(AouDim1+1)=8),AouDim1+1,""),IF(AND(YEAR(AouDim1+8)=AnnéeCalendrier,MONTH(AouDim1+8)=8),AouDim1+8,""))</f>
        <v>44046</v>
      </c>
      <c r="K27" s="5">
        <f>IF(DAY(AouDim1)=1,IF(AND(YEAR(AouDim1+2)=AnnéeCalendrier,MONTH(AouDim1+2)=8),AouDim1+2,""),IF(AND(YEAR(AouDim1+9)=AnnéeCalendrier,MONTH(AouDim1+9)=8),AouDim1+9,""))</f>
        <v>44047</v>
      </c>
      <c r="L27" s="5">
        <f>IF(DAY(AouDim1)=1,IF(AND(YEAR(AouDim1+3)=AnnéeCalendrier,MONTH(AouDim1+3)=8),AouDim1+3,""),IF(AND(YEAR(AouDim1+10)=AnnéeCalendrier,MONTH(AouDim1+10)=8),AouDim1+10,""))</f>
        <v>44048</v>
      </c>
      <c r="M27" s="5">
        <f>IF(DAY(AouDim1)=1,IF(AND(YEAR(AouDim1+4)=AnnéeCalendrier,MONTH(AouDim1+4)=8),AouDim1+4,""),IF(AND(YEAR(AouDim1+11)=AnnéeCalendrier,MONTH(AouDim1+11)=8),AouDim1+11,""))</f>
        <v>44049</v>
      </c>
      <c r="N27" s="5">
        <f>IF(DAY(AouDim1)=1,IF(AND(YEAR(AouDim1+5)=AnnéeCalendrier,MONTH(AouDim1+5)=8),AouDim1+5,""),IF(AND(YEAR(AouDim1+12)=AnnéeCalendrier,MONTH(AouDim1+12)=8),AouDim1+12,""))</f>
        <v>44050</v>
      </c>
      <c r="O27" s="5">
        <f>IF(DAY(AouDim1)=1,IF(AND(YEAR(AouDim1+6)=AnnéeCalendrier,MONTH(AouDim1+6)=8),AouDim1+6,""),IF(AND(YEAR(AouDim1+13)=AnnéeCalendrier,MONTH(AouDim1+13)=8),AouDim1+13,""))</f>
        <v>44051</v>
      </c>
      <c r="P27" s="7">
        <f>IF(DAY(AouDim1)=1,IF(AND(YEAR(AouDim1+7)=AnnéeCalendrier,MONTH(AouDim1+7)=8),AouDim1+7,""),IF(AND(YEAR(AouDim1+14)=AnnéeCalendrier,MONTH(AouDim1+14)=8),AouDim1+14,""))</f>
        <v>44052</v>
      </c>
      <c r="Q27" s="1"/>
      <c r="R27" s="6">
        <f>IF(DAY(SepDim1)=1,IF(AND(YEAR(SepDim1+1)=AnnéeCalendrier,MONTH(SepDim1+1)=9),SepDim1+1,""),IF(AND(YEAR(SepDim1+8)=AnnéeCalendrier,MONTH(SepDim1+8)=9),SepDim1+8,""))</f>
        <v>44081</v>
      </c>
      <c r="S27" s="5">
        <f>IF(DAY(SepDim1)=1,IF(AND(YEAR(SepDim1+2)=AnnéeCalendrier,MONTH(SepDim1+2)=9),SepDim1+2,""),IF(AND(YEAR(SepDim1+9)=AnnéeCalendrier,MONTH(SepDim1+9)=9),SepDim1+9,""))</f>
        <v>44082</v>
      </c>
      <c r="T27" s="5">
        <f>IF(DAY(SepDim1)=1,IF(AND(YEAR(SepDim1+3)=AnnéeCalendrier,MONTH(SepDim1+3)=9),SepDim1+3,""),IF(AND(YEAR(SepDim1+10)=AnnéeCalendrier,MONTH(SepDim1+10)=9),SepDim1+10,""))</f>
        <v>44083</v>
      </c>
      <c r="U27" s="5">
        <f>IF(DAY(SepDim1)=1,IF(AND(YEAR(SepDim1+4)=AnnéeCalendrier,MONTH(SepDim1+4)=9),SepDim1+4,""),IF(AND(YEAR(SepDim1+11)=AnnéeCalendrier,MONTH(SepDim1+11)=9),SepDim1+11,""))</f>
        <v>44084</v>
      </c>
      <c r="V27" s="5">
        <f>IF(DAY(SepDim1)=1,IF(AND(YEAR(SepDim1+5)=AnnéeCalendrier,MONTH(SepDim1+5)=9),SepDim1+5,""),IF(AND(YEAR(SepDim1+12)=AnnéeCalendrier,MONTH(SepDim1+12)=9),SepDim1+12,""))</f>
        <v>44085</v>
      </c>
      <c r="W27" s="5">
        <f>IF(DAY(SepDim1)=1,IF(AND(YEAR(SepDim1+6)=AnnéeCalendrier,MONTH(SepDim1+6)=9),SepDim1+6,""),IF(AND(YEAR(SepDim1+13)=AnnéeCalendrier,MONTH(SepDim1+13)=9),SepDim1+13,""))</f>
        <v>44086</v>
      </c>
      <c r="X27" s="7">
        <f>IF(DAY(SepDim1)=1,IF(AND(YEAR(SepDim1+7)=AnnéeCalendrier,MONTH(SepDim1+7)=9),SepDim1+7,""),IF(AND(YEAR(SepDim1+14)=AnnéeCalendrier,MONTH(SepDim1+14)=9),SepDim1+14,""))</f>
        <v>44087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44025</v>
      </c>
      <c r="C28" s="5">
        <f>IF(DAY(JulDim1)=1,IF(AND(YEAR(JulDim1+9)=AnnéeCalendrier,MONTH(JulDim1+9)=7),JulDim1+9,""),IF(AND(YEAR(JulDim1+16)=AnnéeCalendrier,MONTH(JulDim1+16)=7),JulDim1+16,""))</f>
        <v>44026</v>
      </c>
      <c r="D28" s="5">
        <f>IF(DAY(JulDim1)=1,IF(AND(YEAR(JulDim1+10)=AnnéeCalendrier,MONTH(JulDim1+10)=7),JulDim1+10,""),IF(AND(YEAR(JulDim1+17)=AnnéeCalendrier,MONTH(JulDim1+17)=7),JulDim1+17,""))</f>
        <v>44027</v>
      </c>
      <c r="E28" s="5">
        <f>IF(DAY(JulDim1)=1,IF(AND(YEAR(JulDim1+11)=AnnéeCalendrier,MONTH(JulDim1+11)=7),JulDim1+11,""),IF(AND(YEAR(JulDim1+18)=AnnéeCalendrier,MONTH(JulDim1+18)=7),JulDim1+18,""))</f>
        <v>44028</v>
      </c>
      <c r="F28" s="5">
        <f>IF(DAY(JulDim1)=1,IF(AND(YEAR(JulDim1+12)=AnnéeCalendrier,MONTH(JulDim1+12)=7),JulDim1+12,""),IF(AND(YEAR(JulDim1+19)=AnnéeCalendrier,MONTH(JulDim1+19)=7),JulDim1+19,""))</f>
        <v>44029</v>
      </c>
      <c r="G28" s="5">
        <f>IF(DAY(JulDim1)=1,IF(AND(YEAR(JulDim1+13)=AnnéeCalendrier,MONTH(JulDim1+13)=7),JulDim1+13,""),IF(AND(YEAR(JulDim1+20)=AnnéeCalendrier,MONTH(JulDim1+20)=7),JulDim1+20,""))</f>
        <v>44030</v>
      </c>
      <c r="H28" s="7">
        <f>IF(DAY(JulDim1)=1,IF(AND(YEAR(JulDim1+14)=AnnéeCalendrier,MONTH(JulDim1+14)=7),JulDim1+14,""),IF(AND(YEAR(JulDim1+21)=AnnéeCalendrier,MONTH(JulDim1+21)=7),JulDim1+21,""))</f>
        <v>44031</v>
      </c>
      <c r="J28" s="6">
        <f>IF(DAY(AouDim1)=1,IF(AND(YEAR(AouDim1+8)=AnnéeCalendrier,MONTH(AouDim1+8)=8),AouDim1+8,""),IF(AND(YEAR(AouDim1+15)=AnnéeCalendrier,MONTH(AouDim1+15)=8),AouDim1+15,""))</f>
        <v>44053</v>
      </c>
      <c r="K28" s="5">
        <f>IF(DAY(AouDim1)=1,IF(AND(YEAR(AouDim1+9)=AnnéeCalendrier,MONTH(AouDim1+9)=8),AouDim1+9,""),IF(AND(YEAR(AouDim1+16)=AnnéeCalendrier,MONTH(AouDim1+16)=8),AouDim1+16,""))</f>
        <v>44054</v>
      </c>
      <c r="L28" s="5">
        <f>IF(DAY(AouDim1)=1,IF(AND(YEAR(AouDim1+10)=AnnéeCalendrier,MONTH(AouDim1+10)=8),AouDim1+10,""),IF(AND(YEAR(AouDim1+17)=AnnéeCalendrier,MONTH(AouDim1+17)=8),AouDim1+17,""))</f>
        <v>44055</v>
      </c>
      <c r="M28" s="5">
        <f>IF(DAY(AouDim1)=1,IF(AND(YEAR(AouDim1+11)=AnnéeCalendrier,MONTH(AouDim1+11)=8),AouDim1+11,""),IF(AND(YEAR(AouDim1+18)=AnnéeCalendrier,MONTH(AouDim1+18)=8),AouDim1+18,""))</f>
        <v>44056</v>
      </c>
      <c r="N28" s="5">
        <f>IF(DAY(AouDim1)=1,IF(AND(YEAR(AouDim1+12)=AnnéeCalendrier,MONTH(AouDim1+12)=8),AouDim1+12,""),IF(AND(YEAR(AouDim1+19)=AnnéeCalendrier,MONTH(AouDim1+19)=8),AouDim1+19,""))</f>
        <v>44057</v>
      </c>
      <c r="O28" s="5">
        <f>IF(DAY(AouDim1)=1,IF(AND(YEAR(AouDim1+13)=AnnéeCalendrier,MONTH(AouDim1+13)=8),AouDim1+13,""),IF(AND(YEAR(AouDim1+20)=AnnéeCalendrier,MONTH(AouDim1+20)=8),AouDim1+20,""))</f>
        <v>44058</v>
      </c>
      <c r="P28" s="7">
        <f>IF(DAY(AouDim1)=1,IF(AND(YEAR(AouDim1+14)=AnnéeCalendrier,MONTH(AouDim1+14)=8),AouDim1+14,""),IF(AND(YEAR(AouDim1+21)=AnnéeCalendrier,MONTH(AouDim1+21)=8),AouDim1+21,""))</f>
        <v>44059</v>
      </c>
      <c r="Q28" s="1"/>
      <c r="R28" s="6">
        <f>IF(DAY(SepDim1)=1,IF(AND(YEAR(SepDim1+8)=AnnéeCalendrier,MONTH(SepDim1+8)=9),SepDim1+8,""),IF(AND(YEAR(SepDim1+15)=AnnéeCalendrier,MONTH(SepDim1+15)=9),SepDim1+15,""))</f>
        <v>44088</v>
      </c>
      <c r="S28" s="5">
        <f>IF(DAY(SepDim1)=1,IF(AND(YEAR(SepDim1+9)=AnnéeCalendrier,MONTH(SepDim1+9)=9),SepDim1+9,""),IF(AND(YEAR(SepDim1+16)=AnnéeCalendrier,MONTH(SepDim1+16)=9),SepDim1+16,""))</f>
        <v>44089</v>
      </c>
      <c r="T28" s="5">
        <f>IF(DAY(SepDim1)=1,IF(AND(YEAR(SepDim1+10)=AnnéeCalendrier,MONTH(SepDim1+10)=9),SepDim1+10,""),IF(AND(YEAR(SepDim1+17)=AnnéeCalendrier,MONTH(SepDim1+17)=9),SepDim1+17,""))</f>
        <v>44090</v>
      </c>
      <c r="U28" s="5">
        <f>IF(DAY(SepDim1)=1,IF(AND(YEAR(SepDim1+11)=AnnéeCalendrier,MONTH(SepDim1+11)=9),SepDim1+11,""),IF(AND(YEAR(SepDim1+18)=AnnéeCalendrier,MONTH(SepDim1+18)=9),SepDim1+18,""))</f>
        <v>44091</v>
      </c>
      <c r="V28" s="5">
        <f>IF(DAY(SepDim1)=1,IF(AND(YEAR(SepDim1+12)=AnnéeCalendrier,MONTH(SepDim1+12)=9),SepDim1+12,""),IF(AND(YEAR(SepDim1+19)=AnnéeCalendrier,MONTH(SepDim1+19)=9),SepDim1+19,""))</f>
        <v>44092</v>
      </c>
      <c r="W28" s="5">
        <f>IF(DAY(SepDim1)=1,IF(AND(YEAR(SepDim1+13)=AnnéeCalendrier,MONTH(SepDim1+13)=9),SepDim1+13,""),IF(AND(YEAR(SepDim1+20)=AnnéeCalendrier,MONTH(SepDim1+20)=9),SepDim1+20,""))</f>
        <v>44093</v>
      </c>
      <c r="X28" s="7">
        <f>IF(DAY(SepDim1)=1,IF(AND(YEAR(SepDim1+14)=AnnéeCalendrier,MONTH(SepDim1+14)=9),SepDim1+14,""),IF(AND(YEAR(SepDim1+21)=AnnéeCalendrier,MONTH(SepDim1+21)=9),SepDim1+21,""))</f>
        <v>44094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44032</v>
      </c>
      <c r="C29" s="5">
        <f>IF(DAY(JulDim1)=1,IF(AND(YEAR(JulDim1+16)=AnnéeCalendrier,MONTH(JulDim1+16)=7),JulDim1+16,""),IF(AND(YEAR(JulDim1+23)=AnnéeCalendrier,MONTH(JulDim1+23)=7),JulDim1+23,""))</f>
        <v>44033</v>
      </c>
      <c r="D29" s="5">
        <f>IF(DAY(JulDim1)=1,IF(AND(YEAR(JulDim1+17)=AnnéeCalendrier,MONTH(JulDim1+17)=7),JulDim1+17,""),IF(AND(YEAR(JulDim1+24)=AnnéeCalendrier,MONTH(JulDim1+24)=7),JulDim1+24,""))</f>
        <v>44034</v>
      </c>
      <c r="E29" s="5">
        <f>IF(DAY(JulDim1)=1,IF(AND(YEAR(JulDim1+18)=AnnéeCalendrier,MONTH(JulDim1+18)=7),JulDim1+18,""),IF(AND(YEAR(JulDim1+25)=AnnéeCalendrier,MONTH(JulDim1+25)=7),JulDim1+25,""))</f>
        <v>44035</v>
      </c>
      <c r="F29" s="5">
        <f>IF(DAY(JulDim1)=1,IF(AND(YEAR(JulDim1+19)=AnnéeCalendrier,MONTH(JulDim1+19)=7),JulDim1+19,""),IF(AND(YEAR(JulDim1+26)=AnnéeCalendrier,MONTH(JulDim1+26)=7),JulDim1+26,""))</f>
        <v>44036</v>
      </c>
      <c r="G29" s="5">
        <f>IF(DAY(JulDim1)=1,IF(AND(YEAR(JulDim1+20)=AnnéeCalendrier,MONTH(JulDim1+20)=7),JulDim1+20,""),IF(AND(YEAR(JulDim1+27)=AnnéeCalendrier,MONTH(JulDim1+27)=7),JulDim1+27,""))</f>
        <v>44037</v>
      </c>
      <c r="H29" s="7">
        <f>IF(DAY(JulDim1)=1,IF(AND(YEAR(JulDim1+21)=AnnéeCalendrier,MONTH(JulDim1+21)=7),JulDim1+21,""),IF(AND(YEAR(JulDim1+28)=AnnéeCalendrier,MONTH(JulDim1+28)=7),JulDim1+28,""))</f>
        <v>44038</v>
      </c>
      <c r="J29" s="6">
        <f>IF(DAY(AouDim1)=1,IF(AND(YEAR(AouDim1+15)=AnnéeCalendrier,MONTH(AouDim1+15)=8),AouDim1+15,""),IF(AND(YEAR(AouDim1+22)=AnnéeCalendrier,MONTH(AouDim1+22)=8),AouDim1+22,""))</f>
        <v>44060</v>
      </c>
      <c r="K29" s="5">
        <f>IF(DAY(AouDim1)=1,IF(AND(YEAR(AouDim1+16)=AnnéeCalendrier,MONTH(AouDim1+16)=8),AouDim1+16,""),IF(AND(YEAR(AouDim1+23)=AnnéeCalendrier,MONTH(AouDim1+23)=8),AouDim1+23,""))</f>
        <v>44061</v>
      </c>
      <c r="L29" s="5">
        <f>IF(DAY(AouDim1)=1,IF(AND(YEAR(AouDim1+17)=AnnéeCalendrier,MONTH(AouDim1+17)=8),AouDim1+17,""),IF(AND(YEAR(AouDim1+24)=AnnéeCalendrier,MONTH(AouDim1+24)=8),AouDim1+24,""))</f>
        <v>44062</v>
      </c>
      <c r="M29" s="5">
        <f>IF(DAY(AouDim1)=1,IF(AND(YEAR(AouDim1+18)=AnnéeCalendrier,MONTH(AouDim1+18)=8),AouDim1+18,""),IF(AND(YEAR(AouDim1+25)=AnnéeCalendrier,MONTH(AouDim1+25)=8),AouDim1+25,""))</f>
        <v>44063</v>
      </c>
      <c r="N29" s="5">
        <f>IF(DAY(AouDim1)=1,IF(AND(YEAR(AouDim1+19)=AnnéeCalendrier,MONTH(AouDim1+19)=8),AouDim1+19,""),IF(AND(YEAR(AouDim1+26)=AnnéeCalendrier,MONTH(AouDim1+26)=8),AouDim1+26,""))</f>
        <v>44064</v>
      </c>
      <c r="O29" s="5">
        <f>IF(DAY(AouDim1)=1,IF(AND(YEAR(AouDim1+20)=AnnéeCalendrier,MONTH(AouDim1+20)=8),AouDim1+20,""),IF(AND(YEAR(AouDim1+27)=AnnéeCalendrier,MONTH(AouDim1+27)=8),AouDim1+27,""))</f>
        <v>44065</v>
      </c>
      <c r="P29" s="7">
        <f>IF(DAY(AouDim1)=1,IF(AND(YEAR(AouDim1+21)=AnnéeCalendrier,MONTH(AouDim1+21)=8),AouDim1+21,""),IF(AND(YEAR(AouDim1+28)=AnnéeCalendrier,MONTH(AouDim1+28)=8),AouDim1+28,""))</f>
        <v>44066</v>
      </c>
      <c r="Q29" s="1"/>
      <c r="R29" s="6">
        <f>IF(DAY(SepDim1)=1,IF(AND(YEAR(SepDim1+15)=AnnéeCalendrier,MONTH(SepDim1+15)=9),SepDim1+15,""),IF(AND(YEAR(SepDim1+22)=AnnéeCalendrier,MONTH(SepDim1+22)=9),SepDim1+22,""))</f>
        <v>44095</v>
      </c>
      <c r="S29" s="5">
        <f>IF(DAY(SepDim1)=1,IF(AND(YEAR(SepDim1+16)=AnnéeCalendrier,MONTH(SepDim1+16)=9),SepDim1+16,""),IF(AND(YEAR(SepDim1+23)=AnnéeCalendrier,MONTH(SepDim1+23)=9),SepDim1+23,""))</f>
        <v>44096</v>
      </c>
      <c r="T29" s="5">
        <f>IF(DAY(SepDim1)=1,IF(AND(YEAR(SepDim1+17)=AnnéeCalendrier,MONTH(SepDim1+17)=9),SepDim1+17,""),IF(AND(YEAR(SepDim1+24)=AnnéeCalendrier,MONTH(SepDim1+24)=9),SepDim1+24,""))</f>
        <v>44097</v>
      </c>
      <c r="U29" s="5">
        <f>IF(DAY(SepDim1)=1,IF(AND(YEAR(SepDim1+18)=AnnéeCalendrier,MONTH(SepDim1+18)=9),SepDim1+18,""),IF(AND(YEAR(SepDim1+25)=AnnéeCalendrier,MONTH(SepDim1+25)=9),SepDim1+25,""))</f>
        <v>44098</v>
      </c>
      <c r="V29" s="5">
        <f>IF(DAY(SepDim1)=1,IF(AND(YEAR(SepDim1+19)=AnnéeCalendrier,MONTH(SepDim1+19)=9),SepDim1+19,""),IF(AND(YEAR(SepDim1+26)=AnnéeCalendrier,MONTH(SepDim1+26)=9),SepDim1+26,""))</f>
        <v>44099</v>
      </c>
      <c r="W29" s="5">
        <f>IF(DAY(SepDim1)=1,IF(AND(YEAR(SepDim1+20)=AnnéeCalendrier,MONTH(SepDim1+20)=9),SepDim1+20,""),IF(AND(YEAR(SepDim1+27)=AnnéeCalendrier,MONTH(SepDim1+27)=9),SepDim1+27,""))</f>
        <v>44100</v>
      </c>
      <c r="X29" s="7">
        <f>IF(DAY(SepDim1)=1,IF(AND(YEAR(SepDim1+21)=AnnéeCalendrier,MONTH(SepDim1+21)=9),SepDim1+21,""),IF(AND(YEAR(SepDim1+28)=AnnéeCalendrier,MONTH(SepDim1+28)=9),SepDim1+28,""))</f>
        <v>44101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44039</v>
      </c>
      <c r="C30" s="5">
        <f>IF(DAY(JulDim1)=1,IF(AND(YEAR(JulDim1+23)=AnnéeCalendrier,MONTH(JulDim1+23)=7),JulDim1+23,""),IF(AND(YEAR(JulDim1+30)=AnnéeCalendrier,MONTH(JulDim1+30)=7),JulDim1+30,""))</f>
        <v>44040</v>
      </c>
      <c r="D30" s="5">
        <f>IF(DAY(JulDim1)=1,IF(AND(YEAR(JulDim1+24)=AnnéeCalendrier,MONTH(JulDim1+24)=7),JulDim1+24,""),IF(AND(YEAR(JulDim1+31)=AnnéeCalendrier,MONTH(JulDim1+31)=7),JulDim1+31,""))</f>
        <v>44041</v>
      </c>
      <c r="E30" s="5">
        <f>IF(DAY(JulDim1)=1,IF(AND(YEAR(JulDim1+25)=AnnéeCalendrier,MONTH(JulDim1+25)=7),JulDim1+25,""),IF(AND(YEAR(JulDim1+32)=AnnéeCalendrier,MONTH(JulDim1+32)=7),JulDim1+32,""))</f>
        <v>44042</v>
      </c>
      <c r="F30" s="5">
        <f>IF(DAY(JulDim1)=1,IF(AND(YEAR(JulDim1+26)=AnnéeCalendrier,MONTH(JulDim1+26)=7),JulDim1+26,""),IF(AND(YEAR(JulDim1+33)=AnnéeCalendrier,MONTH(JulDim1+33)=7),JulDim1+33,""))</f>
        <v>44043</v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44067</v>
      </c>
      <c r="K30" s="5">
        <f>IF(DAY(AouDim1)=1,IF(AND(YEAR(AouDim1+23)=AnnéeCalendrier,MONTH(AouDim1+23)=8),AouDim1+23,""),IF(AND(YEAR(AouDim1+30)=AnnéeCalendrier,MONTH(AouDim1+30)=8),AouDim1+30,""))</f>
        <v>44068</v>
      </c>
      <c r="L30" s="5">
        <f>IF(DAY(AouDim1)=1,IF(AND(YEAR(AouDim1+24)=AnnéeCalendrier,MONTH(AouDim1+24)=8),AouDim1+24,""),IF(AND(YEAR(AouDim1+31)=AnnéeCalendrier,MONTH(AouDim1+31)=8),AouDim1+31,""))</f>
        <v>44069</v>
      </c>
      <c r="M30" s="5">
        <f>IF(DAY(AouDim1)=1,IF(AND(YEAR(AouDim1+25)=AnnéeCalendrier,MONTH(AouDim1+25)=8),AouDim1+25,""),IF(AND(YEAR(AouDim1+32)=AnnéeCalendrier,MONTH(AouDim1+32)=8),AouDim1+32,""))</f>
        <v>44070</v>
      </c>
      <c r="N30" s="5">
        <f>IF(DAY(AouDim1)=1,IF(AND(YEAR(AouDim1+26)=AnnéeCalendrier,MONTH(AouDim1+26)=8),AouDim1+26,""),IF(AND(YEAR(AouDim1+33)=AnnéeCalendrier,MONTH(AouDim1+33)=8),AouDim1+33,""))</f>
        <v>44071</v>
      </c>
      <c r="O30" s="5">
        <f>IF(DAY(AouDim1)=1,IF(AND(YEAR(AouDim1+27)=AnnéeCalendrier,MONTH(AouDim1+27)=8),AouDim1+27,""),IF(AND(YEAR(AouDim1+34)=AnnéeCalendrier,MONTH(AouDim1+34)=8),AouDim1+34,""))</f>
        <v>44072</v>
      </c>
      <c r="P30" s="7">
        <f>IF(DAY(AouDim1)=1,IF(AND(YEAR(AouDim1+28)=AnnéeCalendrier,MONTH(AouDim1+28)=8),AouDim1+28,""),IF(AND(YEAR(AouDim1+35)=AnnéeCalendrier,MONTH(AouDim1+35)=8),AouDim1+35,""))</f>
        <v>44073</v>
      </c>
      <c r="Q30" s="1"/>
      <c r="R30" s="6">
        <f>IF(DAY(SepDim1)=1,IF(AND(YEAR(SepDim1+22)=AnnéeCalendrier,MONTH(SepDim1+22)=9),SepDim1+22,""),IF(AND(YEAR(SepDim1+29)=AnnéeCalendrier,MONTH(SepDim1+29)=9),SepDim1+29,""))</f>
        <v>44102</v>
      </c>
      <c r="S30" s="5">
        <f>IF(DAY(SepDim1)=1,IF(AND(YEAR(SepDim1+23)=AnnéeCalendrier,MONTH(SepDim1+23)=9),SepDim1+23,""),IF(AND(YEAR(SepDim1+30)=AnnéeCalendrier,MONTH(SepDim1+30)=9),SepDim1+30,""))</f>
        <v>44103</v>
      </c>
      <c r="T30" s="5">
        <f>IF(DAY(SepDim1)=1,IF(AND(YEAR(SepDim1+24)=AnnéeCalendrier,MONTH(SepDim1+24)=9),SepDim1+24,""),IF(AND(YEAR(SepDim1+31)=AnnéeCalendrier,MONTH(SepDim1+31)=9),SepDim1+31,""))</f>
        <v>44104</v>
      </c>
      <c r="U30" s="5" t="str">
        <f>IF(DAY(SepDim1)=1,IF(AND(YEAR(SepDim1+25)=AnnéeCalendrier,MONTH(SepDim1+25)=9),SepDim1+25,""),IF(AND(YEAR(SepDim1+32)=AnnéeCalendrier,MONTH(SepDim1+32)=9),SepDim1+32,""))</f>
        <v/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44074</v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>
        <f>IF(DAY(OctDim1)=1,"",IF(AND(YEAR(OctDim1+4)=AnnéeCalendrier,MONTH(OctDim1+4)=10),OctDim1+4,""))</f>
        <v>44105</v>
      </c>
      <c r="F35" s="5">
        <f>IF(DAY(OctDim1)=1,"",IF(AND(YEAR(OctDim1+5)=AnnéeCalendrier,MONTH(OctDim1+5)=10),OctDim1+5,""))</f>
        <v>44106</v>
      </c>
      <c r="G35" s="5">
        <f>IF(DAY(OctDim1)=1,"",IF(AND(YEAR(OctDim1+6)=AnnéeCalendrier,MONTH(OctDim1+6)=10),OctDim1+6,""))</f>
        <v>44107</v>
      </c>
      <c r="H35" s="7">
        <f>IF(DAY(OctDim1)=1,IF(AND(YEAR(OctDim1)=AnnéeCalendrier,MONTH(OctDim1)=10),OctDim1,""),IF(AND(YEAR(OctDim1+7)=AnnéeCalendrier,MONTH(OctDim1+7)=10),OctDim1+7,""))</f>
        <v>44108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 t="str">
        <f>IF(DAY(NovDim1)=1,"",IF(AND(YEAR(NovDim1+5)=AnnéeCalendrier,MONTH(NovDim1+5)=11),NovDim1+5,""))</f>
        <v/>
      </c>
      <c r="O35" s="5" t="str">
        <f>IF(DAY(NovDim1)=1,"",IF(AND(YEAR(NovDim1+6)=AnnéeCalendrier,MONTH(NovDim1+6)=11),NovDim1+6,""))</f>
        <v/>
      </c>
      <c r="P35" s="7">
        <f>IF(DAY(NovDim1)=1,IF(AND(YEAR(NovDim1)=AnnéeCalendrier,MONTH(NovDim1)=11),NovDim1,""),IF(AND(YEAR(NovDim1+7)=AnnéeCalendrier,MONTH(NovDim1+7)=11),NovDim1+7,""))</f>
        <v>44136</v>
      </c>
      <c r="R35" s="6" t="str">
        <f>IF(DAY(DécDim1)=1,"",IF(AND(YEAR(DécDim1+1)=AnnéeCalendrier,MONTH(DécDim1+1)=12),DécDim1+1,""))</f>
        <v/>
      </c>
      <c r="S35" s="5">
        <f>IF(DAY(DécDim1)=1,"",IF(AND(YEAR(DécDim1+2)=AnnéeCalendrier,MONTH(DécDim1+2)=12),DécDim1+2,""))</f>
        <v>44166</v>
      </c>
      <c r="T35" s="5">
        <f>IF(DAY(DécDim1)=1,"",IF(AND(YEAR(DécDim1+3)=AnnéeCalendrier,MONTH(DécDim1+3)=12),DécDim1+3,""))</f>
        <v>44167</v>
      </c>
      <c r="U35" s="5">
        <f>IF(DAY(DécDim1)=1,"",IF(AND(YEAR(DécDim1+4)=AnnéeCalendrier,MONTH(DécDim1+4)=12),DécDim1+4,""))</f>
        <v>44168</v>
      </c>
      <c r="V35" s="5">
        <f>IF(DAY(DécDim1)=1,"",IF(AND(YEAR(DécDim1+5)=AnnéeCalendrier,MONTH(DécDim1+5)=12),DécDim1+5,""))</f>
        <v>44169</v>
      </c>
      <c r="W35" s="5">
        <f>IF(DAY(DécDim1)=1,"",IF(AND(YEAR(DécDim1+6)=AnnéeCalendrier,MONTH(DécDim1+6)=12),DécDim1+6,""))</f>
        <v>44170</v>
      </c>
      <c r="X35" s="7">
        <f>IF(DAY(DécDim1)=1,IF(AND(YEAR(DécDim1)=AnnéeCalendrier,MONTH(DécDim1)=12),DécDim1,""),IF(AND(YEAR(DécDim1+7)=AnnéeCalendrier,MONTH(DécDim1+7)=12),DécDim1+7,""))</f>
        <v>44171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44109</v>
      </c>
      <c r="C36" s="5">
        <f>IF(DAY(OctDim1)=1,IF(AND(YEAR(OctDim1+2)=AnnéeCalendrier,MONTH(OctDim1+2)=10),OctDim1+2,""),IF(AND(YEAR(OctDim1+9)=AnnéeCalendrier,MONTH(OctDim1+9)=10),OctDim1+9,""))</f>
        <v>44110</v>
      </c>
      <c r="D36" s="5">
        <f>IF(DAY(OctDim1)=1,IF(AND(YEAR(OctDim1+3)=AnnéeCalendrier,MONTH(OctDim1+3)=10),OctDim1+3,""),IF(AND(YEAR(OctDim1+10)=AnnéeCalendrier,MONTH(OctDim1+10)=10),OctDim1+10,""))</f>
        <v>44111</v>
      </c>
      <c r="E36" s="5">
        <f>IF(DAY(OctDim1)=1,IF(AND(YEAR(OctDim1+4)=AnnéeCalendrier,MONTH(OctDim1+4)=10),OctDim1+4,""),IF(AND(YEAR(OctDim1+11)=AnnéeCalendrier,MONTH(OctDim1+11)=10),OctDim1+11,""))</f>
        <v>44112</v>
      </c>
      <c r="F36" s="5">
        <f>IF(DAY(OctDim1)=1,IF(AND(YEAR(OctDim1+5)=AnnéeCalendrier,MONTH(OctDim1+5)=10),OctDim1+5,""),IF(AND(YEAR(OctDim1+12)=AnnéeCalendrier,MONTH(OctDim1+12)=10),OctDim1+12,""))</f>
        <v>44113</v>
      </c>
      <c r="G36" s="5">
        <f>IF(DAY(OctDim1)=1,IF(AND(YEAR(OctDim1+6)=AnnéeCalendrier,MONTH(OctDim1+6)=10),OctDim1+6,""),IF(AND(YEAR(OctDim1+13)=AnnéeCalendrier,MONTH(OctDim1+13)=10),OctDim1+13,""))</f>
        <v>44114</v>
      </c>
      <c r="H36" s="7">
        <f>IF(DAY(OctDim1)=1,IF(AND(YEAR(OctDim1+7)=AnnéeCalendrier,MONTH(OctDim1+7)=10),OctDim1+7,""),IF(AND(YEAR(OctDim1+14)=AnnéeCalendrier,MONTH(OctDim1+14)=10),OctDim1+14,""))</f>
        <v>44115</v>
      </c>
      <c r="I36" s="4"/>
      <c r="J36" s="6">
        <f>IF(DAY(NovDim1)=1,IF(AND(YEAR(NovDim1+1)=AnnéeCalendrier,MONTH(NovDim1+1)=11),NovDim1+1,""),IF(AND(YEAR(NovDim1+8)=AnnéeCalendrier,MONTH(NovDim1+8)=11),NovDim1+8,""))</f>
        <v>44137</v>
      </c>
      <c r="K36" s="5">
        <f>IF(DAY(NovDim1)=1,IF(AND(YEAR(NovDim1+2)=AnnéeCalendrier,MONTH(NovDim1+2)=11),NovDim1+2,""),IF(AND(YEAR(NovDim1+9)=AnnéeCalendrier,MONTH(NovDim1+9)=11),NovDim1+9,""))</f>
        <v>44138</v>
      </c>
      <c r="L36" s="5">
        <f>IF(DAY(NovDim1)=1,IF(AND(YEAR(NovDim1+3)=AnnéeCalendrier,MONTH(NovDim1+3)=11),NovDim1+3,""),IF(AND(YEAR(NovDim1+10)=AnnéeCalendrier,MONTH(NovDim1+10)=11),NovDim1+10,""))</f>
        <v>44139</v>
      </c>
      <c r="M36" s="5">
        <f>IF(DAY(NovDim1)=1,IF(AND(YEAR(NovDim1+4)=AnnéeCalendrier,MONTH(NovDim1+4)=11),NovDim1+4,""),IF(AND(YEAR(NovDim1+11)=AnnéeCalendrier,MONTH(NovDim1+11)=11),NovDim1+11,""))</f>
        <v>44140</v>
      </c>
      <c r="N36" s="5">
        <f>IF(DAY(NovDim1)=1,IF(AND(YEAR(NovDim1+5)=AnnéeCalendrier,MONTH(NovDim1+5)=11),NovDim1+5,""),IF(AND(YEAR(NovDim1+12)=AnnéeCalendrier,MONTH(NovDim1+12)=11),NovDim1+12,""))</f>
        <v>44141</v>
      </c>
      <c r="O36" s="5">
        <f>IF(DAY(NovDim1)=1,IF(AND(YEAR(NovDim1+6)=AnnéeCalendrier,MONTH(NovDim1+6)=11),NovDim1+6,""),IF(AND(YEAR(NovDim1+13)=AnnéeCalendrier,MONTH(NovDim1+13)=11),NovDim1+13,""))</f>
        <v>44142</v>
      </c>
      <c r="P36" s="7">
        <f>IF(DAY(NovDim1)=1,IF(AND(YEAR(NovDim1+7)=AnnéeCalendrier,MONTH(NovDim1+7)=11),NovDim1+7,""),IF(AND(YEAR(NovDim1+14)=AnnéeCalendrier,MONTH(NovDim1+14)=11),NovDim1+14,""))</f>
        <v>44143</v>
      </c>
      <c r="R36" s="6">
        <f>IF(DAY(DécDim1)=1,IF(AND(YEAR(DécDim1+1)=AnnéeCalendrier,MONTH(DécDim1+1)=12),DécDim1+1,""),IF(AND(YEAR(DécDim1+8)=AnnéeCalendrier,MONTH(DécDim1+8)=12),DécDim1+8,""))</f>
        <v>44172</v>
      </c>
      <c r="S36" s="5">
        <f>IF(DAY(DécDim1)=1,IF(AND(YEAR(DécDim1+2)=AnnéeCalendrier,MONTH(DécDim1+2)=12),DécDim1+2,""),IF(AND(YEAR(DécDim1+9)=AnnéeCalendrier,MONTH(DécDim1+9)=12),DécDim1+9,""))</f>
        <v>44173</v>
      </c>
      <c r="T36" s="5">
        <f>IF(DAY(DécDim1)=1,IF(AND(YEAR(DécDim1+3)=AnnéeCalendrier,MONTH(DécDim1+3)=12),DécDim1+3,""),IF(AND(YEAR(DécDim1+10)=AnnéeCalendrier,MONTH(DécDim1+10)=12),DécDim1+10,""))</f>
        <v>44174</v>
      </c>
      <c r="U36" s="5">
        <f>IF(DAY(DécDim1)=1,IF(AND(YEAR(DécDim1+4)=AnnéeCalendrier,MONTH(DécDim1+4)=12),DécDim1+4,""),IF(AND(YEAR(DécDim1+11)=AnnéeCalendrier,MONTH(DécDim1+11)=12),DécDim1+11,""))</f>
        <v>44175</v>
      </c>
      <c r="V36" s="5">
        <f>IF(DAY(DécDim1)=1,IF(AND(YEAR(DécDim1+5)=AnnéeCalendrier,MONTH(DécDim1+5)=12),DécDim1+5,""),IF(AND(YEAR(DécDim1+12)=AnnéeCalendrier,MONTH(DécDim1+12)=12),DécDim1+12,""))</f>
        <v>44176</v>
      </c>
      <c r="W36" s="5">
        <f>IF(DAY(DécDim1)=1,IF(AND(YEAR(DécDim1+6)=AnnéeCalendrier,MONTH(DécDim1+6)=12),DécDim1+6,""),IF(AND(YEAR(DécDim1+13)=AnnéeCalendrier,MONTH(DécDim1+13)=12),DécDim1+13,""))</f>
        <v>44177</v>
      </c>
      <c r="X36" s="7">
        <f>IF(DAY(DécDim1)=1,IF(AND(YEAR(DécDim1+7)=AnnéeCalendrier,MONTH(DécDim1+7)=12),DécDim1+7,""),IF(AND(YEAR(DécDim1+14)=AnnéeCalendrier,MONTH(DécDim1+14)=12),DécDim1+14,""))</f>
        <v>44178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44116</v>
      </c>
      <c r="C37" s="5">
        <f>IF(DAY(OctDim1)=1,IF(AND(YEAR(OctDim1+9)=AnnéeCalendrier,MONTH(OctDim1+9)=10),OctDim1+9,""),IF(AND(YEAR(OctDim1+16)=AnnéeCalendrier,MONTH(OctDim1+16)=10),OctDim1+16,""))</f>
        <v>44117</v>
      </c>
      <c r="D37" s="5">
        <f>IF(DAY(OctDim1)=1,IF(AND(YEAR(OctDim1+10)=AnnéeCalendrier,MONTH(OctDim1+10)=10),OctDim1+10,""),IF(AND(YEAR(OctDim1+17)=AnnéeCalendrier,MONTH(OctDim1+17)=10),OctDim1+17,""))</f>
        <v>44118</v>
      </c>
      <c r="E37" s="5">
        <f>IF(DAY(OctDim1)=1,IF(AND(YEAR(OctDim1+11)=AnnéeCalendrier,MONTH(OctDim1+11)=10),OctDim1+11,""),IF(AND(YEAR(OctDim1+18)=AnnéeCalendrier,MONTH(OctDim1+18)=10),OctDim1+18,""))</f>
        <v>44119</v>
      </c>
      <c r="F37" s="5">
        <f>IF(DAY(OctDim1)=1,IF(AND(YEAR(OctDim1+12)=AnnéeCalendrier,MONTH(OctDim1+12)=10),OctDim1+12,""),IF(AND(YEAR(OctDim1+19)=AnnéeCalendrier,MONTH(OctDim1+19)=10),OctDim1+19,""))</f>
        <v>44120</v>
      </c>
      <c r="G37" s="5">
        <f>IF(DAY(OctDim1)=1,IF(AND(YEAR(OctDim1+13)=AnnéeCalendrier,MONTH(OctDim1+13)=10),OctDim1+13,""),IF(AND(YEAR(OctDim1+20)=AnnéeCalendrier,MONTH(OctDim1+20)=10),OctDim1+20,""))</f>
        <v>44121</v>
      </c>
      <c r="H37" s="7">
        <f>IF(DAY(OctDim1)=1,IF(AND(YEAR(OctDim1+14)=AnnéeCalendrier,MONTH(OctDim1+14)=10),OctDim1+14,""),IF(AND(YEAR(OctDim1+21)=AnnéeCalendrier,MONTH(OctDim1+21)=10),OctDim1+21,""))</f>
        <v>44122</v>
      </c>
      <c r="I37" s="4"/>
      <c r="J37" s="6">
        <f>IF(DAY(NovDim1)=1,IF(AND(YEAR(NovDim1+8)=AnnéeCalendrier,MONTH(NovDim1+8)=11),NovDim1+8,""),IF(AND(YEAR(NovDim1+15)=AnnéeCalendrier,MONTH(NovDim1+15)=11),NovDim1+15,""))</f>
        <v>44144</v>
      </c>
      <c r="K37" s="5">
        <f>IF(DAY(NovDim1)=1,IF(AND(YEAR(NovDim1+9)=AnnéeCalendrier,MONTH(NovDim1+9)=11),NovDim1+9,""),IF(AND(YEAR(NovDim1+16)=AnnéeCalendrier,MONTH(NovDim1+16)=11),NovDim1+16,""))</f>
        <v>44145</v>
      </c>
      <c r="L37" s="5">
        <f>IF(DAY(NovDim1)=1,IF(AND(YEAR(NovDim1+10)=AnnéeCalendrier,MONTH(NovDim1+10)=11),NovDim1+10,""),IF(AND(YEAR(NovDim1+17)=AnnéeCalendrier,MONTH(NovDim1+17)=11),NovDim1+17,""))</f>
        <v>44146</v>
      </c>
      <c r="M37" s="5">
        <f>IF(DAY(NovDim1)=1,IF(AND(YEAR(NovDim1+11)=AnnéeCalendrier,MONTH(NovDim1+11)=11),NovDim1+11,""),IF(AND(YEAR(NovDim1+18)=AnnéeCalendrier,MONTH(NovDim1+18)=11),NovDim1+18,""))</f>
        <v>44147</v>
      </c>
      <c r="N37" s="5">
        <f>IF(DAY(NovDim1)=1,IF(AND(YEAR(NovDim1+12)=AnnéeCalendrier,MONTH(NovDim1+12)=11),NovDim1+12,""),IF(AND(YEAR(NovDim1+19)=AnnéeCalendrier,MONTH(NovDim1+19)=11),NovDim1+19,""))</f>
        <v>44148</v>
      </c>
      <c r="O37" s="5">
        <f>IF(DAY(NovDim1)=1,IF(AND(YEAR(NovDim1+13)=AnnéeCalendrier,MONTH(NovDim1+13)=11),NovDim1+13,""),IF(AND(YEAR(NovDim1+20)=AnnéeCalendrier,MONTH(NovDim1+20)=11),NovDim1+20,""))</f>
        <v>44149</v>
      </c>
      <c r="P37" s="7">
        <f>IF(DAY(NovDim1)=1,IF(AND(YEAR(NovDim1+14)=AnnéeCalendrier,MONTH(NovDim1+14)=11),NovDim1+14,""),IF(AND(YEAR(NovDim1+21)=AnnéeCalendrier,MONTH(NovDim1+21)=11),NovDim1+21,""))</f>
        <v>44150</v>
      </c>
      <c r="R37" s="6">
        <f>IF(DAY(DécDim1)=1,IF(AND(YEAR(DécDim1+8)=AnnéeCalendrier,MONTH(DécDim1+8)=12),DécDim1+8,""),IF(AND(YEAR(DécDim1+15)=AnnéeCalendrier,MONTH(DécDim1+15)=12),DécDim1+15,""))</f>
        <v>44179</v>
      </c>
      <c r="S37" s="5">
        <f>IF(DAY(DécDim1)=1,IF(AND(YEAR(DécDim1+9)=AnnéeCalendrier,MONTH(DécDim1+9)=12),DécDim1+9,""),IF(AND(YEAR(DécDim1+16)=AnnéeCalendrier,MONTH(DécDim1+16)=12),DécDim1+16,""))</f>
        <v>44180</v>
      </c>
      <c r="T37" s="5">
        <f>IF(DAY(DécDim1)=1,IF(AND(YEAR(DécDim1+10)=AnnéeCalendrier,MONTH(DécDim1+10)=12),DécDim1+10,""),IF(AND(YEAR(DécDim1+17)=AnnéeCalendrier,MONTH(DécDim1+17)=12),DécDim1+17,""))</f>
        <v>44181</v>
      </c>
      <c r="U37" s="5">
        <f>IF(DAY(DécDim1)=1,IF(AND(YEAR(DécDim1+11)=AnnéeCalendrier,MONTH(DécDim1+11)=12),DécDim1+11,""),IF(AND(YEAR(DécDim1+18)=AnnéeCalendrier,MONTH(DécDim1+18)=12),DécDim1+18,""))</f>
        <v>44182</v>
      </c>
      <c r="V37" s="5">
        <f>IF(DAY(DécDim1)=1,IF(AND(YEAR(DécDim1+12)=AnnéeCalendrier,MONTH(DécDim1+12)=12),DécDim1+12,""),IF(AND(YEAR(DécDim1+19)=AnnéeCalendrier,MONTH(DécDim1+19)=12),DécDim1+19,""))</f>
        <v>44183</v>
      </c>
      <c r="W37" s="5">
        <f>IF(DAY(DécDim1)=1,IF(AND(YEAR(DécDim1+13)=AnnéeCalendrier,MONTH(DécDim1+13)=12),DécDim1+13,""),IF(AND(YEAR(DécDim1+20)=AnnéeCalendrier,MONTH(DécDim1+20)=12),DécDim1+20,""))</f>
        <v>44184</v>
      </c>
      <c r="X37" s="7">
        <f>IF(DAY(DécDim1)=1,IF(AND(YEAR(DécDim1+14)=AnnéeCalendrier,MONTH(DécDim1+14)=12),DécDim1+14,""),IF(AND(YEAR(DécDim1+21)=AnnéeCalendrier,MONTH(DécDim1+21)=12),DécDim1+21,""))</f>
        <v>44185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44123</v>
      </c>
      <c r="C38" s="5">
        <f>IF(DAY(OctDim1)=1,IF(AND(YEAR(OctDim1+16)=AnnéeCalendrier,MONTH(OctDim1+16)=10),OctDim1+16,""),IF(AND(YEAR(OctDim1+23)=AnnéeCalendrier,MONTH(OctDim1+23)=10),OctDim1+23,""))</f>
        <v>44124</v>
      </c>
      <c r="D38" s="5">
        <f>IF(DAY(OctDim1)=1,IF(AND(YEAR(OctDim1+17)=AnnéeCalendrier,MONTH(OctDim1+17)=10),OctDim1+17,""),IF(AND(YEAR(OctDim1+24)=AnnéeCalendrier,MONTH(OctDim1+24)=10),OctDim1+24,""))</f>
        <v>44125</v>
      </c>
      <c r="E38" s="5">
        <f>IF(DAY(OctDim1)=1,IF(AND(YEAR(OctDim1+18)=AnnéeCalendrier,MONTH(OctDim1+18)=10),OctDim1+18,""),IF(AND(YEAR(OctDim1+25)=AnnéeCalendrier,MONTH(OctDim1+25)=10),OctDim1+25,""))</f>
        <v>44126</v>
      </c>
      <c r="F38" s="5">
        <f>IF(DAY(OctDim1)=1,IF(AND(YEAR(OctDim1+19)=AnnéeCalendrier,MONTH(OctDim1+19)=10),OctDim1+19,""),IF(AND(YEAR(OctDim1+26)=AnnéeCalendrier,MONTH(OctDim1+26)=10),OctDim1+26,""))</f>
        <v>44127</v>
      </c>
      <c r="G38" s="5">
        <f>IF(DAY(OctDim1)=1,IF(AND(YEAR(OctDim1+20)=AnnéeCalendrier,MONTH(OctDim1+20)=10),OctDim1+20,""),IF(AND(YEAR(OctDim1+27)=AnnéeCalendrier,MONTH(OctDim1+27)=10),OctDim1+27,""))</f>
        <v>44128</v>
      </c>
      <c r="H38" s="7">
        <f>IF(DAY(OctDim1)=1,IF(AND(YEAR(OctDim1+21)=AnnéeCalendrier,MONTH(OctDim1+21)=10),OctDim1+21,""),IF(AND(YEAR(OctDim1+28)=AnnéeCalendrier,MONTH(OctDim1+28)=10),OctDim1+28,""))</f>
        <v>44129</v>
      </c>
      <c r="I38" s="4"/>
      <c r="J38" s="6">
        <f>IF(DAY(NovDim1)=1,IF(AND(YEAR(NovDim1+15)=AnnéeCalendrier,MONTH(NovDim1+15)=11),NovDim1+15,""),IF(AND(YEAR(NovDim1+22)=AnnéeCalendrier,MONTH(NovDim1+22)=11),NovDim1+22,""))</f>
        <v>44151</v>
      </c>
      <c r="K38" s="5">
        <f>IF(DAY(NovDim1)=1,IF(AND(YEAR(NovDim1+16)=AnnéeCalendrier,MONTH(NovDim1+16)=11),NovDim1+16,""),IF(AND(YEAR(NovDim1+23)=AnnéeCalendrier,MONTH(NovDim1+23)=11),NovDim1+23,""))</f>
        <v>44152</v>
      </c>
      <c r="L38" s="5">
        <f>IF(DAY(NovDim1)=1,IF(AND(YEAR(NovDim1+17)=AnnéeCalendrier,MONTH(NovDim1+17)=11),NovDim1+17,""),IF(AND(YEAR(NovDim1+24)=AnnéeCalendrier,MONTH(NovDim1+24)=11),NovDim1+24,""))</f>
        <v>44153</v>
      </c>
      <c r="M38" s="5">
        <f>IF(DAY(NovDim1)=1,IF(AND(YEAR(NovDim1+18)=AnnéeCalendrier,MONTH(NovDim1+18)=11),NovDim1+18,""),IF(AND(YEAR(NovDim1+25)=AnnéeCalendrier,MONTH(NovDim1+25)=11),NovDim1+25,""))</f>
        <v>44154</v>
      </c>
      <c r="N38" s="5">
        <f>IF(DAY(NovDim1)=1,IF(AND(YEAR(NovDim1+19)=AnnéeCalendrier,MONTH(NovDim1+19)=11),NovDim1+19,""),IF(AND(YEAR(NovDim1+26)=AnnéeCalendrier,MONTH(NovDim1+26)=11),NovDim1+26,""))</f>
        <v>44155</v>
      </c>
      <c r="O38" s="5">
        <f>IF(DAY(NovDim1)=1,IF(AND(YEAR(NovDim1+20)=AnnéeCalendrier,MONTH(NovDim1+20)=11),NovDim1+20,""),IF(AND(YEAR(NovDim1+27)=AnnéeCalendrier,MONTH(NovDim1+27)=11),NovDim1+27,""))</f>
        <v>44156</v>
      </c>
      <c r="P38" s="7">
        <f>IF(DAY(NovDim1)=1,IF(AND(YEAR(NovDim1+21)=AnnéeCalendrier,MONTH(NovDim1+21)=11),NovDim1+21,""),IF(AND(YEAR(NovDim1+28)=AnnéeCalendrier,MONTH(NovDim1+28)=11),NovDim1+28,""))</f>
        <v>44157</v>
      </c>
      <c r="R38" s="6">
        <f>IF(DAY(DécDim1)=1,IF(AND(YEAR(DécDim1+15)=AnnéeCalendrier,MONTH(DécDim1+15)=12),DécDim1+15,""),IF(AND(YEAR(DécDim1+22)=AnnéeCalendrier,MONTH(DécDim1+22)=12),DécDim1+22,""))</f>
        <v>44186</v>
      </c>
      <c r="S38" s="5">
        <f>IF(DAY(DécDim1)=1,IF(AND(YEAR(DécDim1+16)=AnnéeCalendrier,MONTH(DécDim1+16)=12),DécDim1+16,""),IF(AND(YEAR(DécDim1+23)=AnnéeCalendrier,MONTH(DécDim1+23)=12),DécDim1+23,""))</f>
        <v>44187</v>
      </c>
      <c r="T38" s="5">
        <f>IF(DAY(DécDim1)=1,IF(AND(YEAR(DécDim1+17)=AnnéeCalendrier,MONTH(DécDim1+17)=12),DécDim1+17,""),IF(AND(YEAR(DécDim1+24)=AnnéeCalendrier,MONTH(DécDim1+24)=12),DécDim1+24,""))</f>
        <v>44188</v>
      </c>
      <c r="U38" s="5">
        <f>IF(DAY(DécDim1)=1,IF(AND(YEAR(DécDim1+18)=AnnéeCalendrier,MONTH(DécDim1+18)=12),DécDim1+18,""),IF(AND(YEAR(DécDim1+25)=AnnéeCalendrier,MONTH(DécDim1+25)=12),DécDim1+25,""))</f>
        <v>44189</v>
      </c>
      <c r="V38" s="5">
        <f>IF(DAY(DécDim1)=1,IF(AND(YEAR(DécDim1+19)=AnnéeCalendrier,MONTH(DécDim1+19)=12),DécDim1+19,""),IF(AND(YEAR(DécDim1+26)=AnnéeCalendrier,MONTH(DécDim1+26)=12),DécDim1+26,""))</f>
        <v>44190</v>
      </c>
      <c r="W38" s="5">
        <f>IF(DAY(DécDim1)=1,IF(AND(YEAR(DécDim1+20)=AnnéeCalendrier,MONTH(DécDim1+20)=12),DécDim1+20,""),IF(AND(YEAR(DécDim1+27)=AnnéeCalendrier,MONTH(DécDim1+27)=12),DécDim1+27,""))</f>
        <v>44191</v>
      </c>
      <c r="X38" s="7">
        <f>IF(DAY(DécDim1)=1,IF(AND(YEAR(DécDim1+21)=AnnéeCalendrier,MONTH(DécDim1+21)=12),DécDim1+21,""),IF(AND(YEAR(DécDim1+28)=AnnéeCalendrier,MONTH(DécDim1+28)=12),DécDim1+28,""))</f>
        <v>44192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44130</v>
      </c>
      <c r="C39" s="5">
        <f>IF(DAY(OctDim1)=1,IF(AND(YEAR(OctDim1+23)=AnnéeCalendrier,MONTH(OctDim1+23)=10),OctDim1+23,""),IF(AND(YEAR(OctDim1+30)=AnnéeCalendrier,MONTH(OctDim1+30)=10),OctDim1+30,""))</f>
        <v>44131</v>
      </c>
      <c r="D39" s="5">
        <f>IF(DAY(OctDim1)=1,IF(AND(YEAR(OctDim1+24)=AnnéeCalendrier,MONTH(OctDim1+24)=10),OctDim1+24,""),IF(AND(YEAR(OctDim1+31)=AnnéeCalendrier,MONTH(OctDim1+31)=10),OctDim1+31,""))</f>
        <v>44132</v>
      </c>
      <c r="E39" s="5">
        <f>IF(DAY(OctDim1)=1,IF(AND(YEAR(OctDim1+25)=AnnéeCalendrier,MONTH(OctDim1+25)=10),OctDim1+25,""),IF(AND(YEAR(OctDim1+32)=AnnéeCalendrier,MONTH(OctDim1+32)=10),OctDim1+32,""))</f>
        <v>44133</v>
      </c>
      <c r="F39" s="5">
        <f>IF(DAY(OctDim1)=1,IF(AND(YEAR(OctDim1+26)=AnnéeCalendrier,MONTH(OctDim1+26)=10),OctDim1+26,""),IF(AND(YEAR(OctDim1+33)=AnnéeCalendrier,MONTH(OctDim1+33)=10),OctDim1+33,""))</f>
        <v>44134</v>
      </c>
      <c r="G39" s="5">
        <f>IF(DAY(OctDim1)=1,IF(AND(YEAR(OctDim1+27)=AnnéeCalendrier,MONTH(OctDim1+27)=10),OctDim1+27,""),IF(AND(YEAR(OctDim1+34)=AnnéeCalendrier,MONTH(OctDim1+34)=10),OctDim1+34,""))</f>
        <v>44135</v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44158</v>
      </c>
      <c r="K39" s="5">
        <f>IF(DAY(NovDim1)=1,IF(AND(YEAR(NovDim1+23)=AnnéeCalendrier,MONTH(NovDim1+23)=11),NovDim1+23,""),IF(AND(YEAR(NovDim1+30)=AnnéeCalendrier,MONTH(NovDim1+30)=11),NovDim1+30,""))</f>
        <v>44159</v>
      </c>
      <c r="L39" s="5">
        <f>IF(DAY(NovDim1)=1,IF(AND(YEAR(NovDim1+24)=AnnéeCalendrier,MONTH(NovDim1+24)=11),NovDim1+24,""),IF(AND(YEAR(NovDim1+31)=AnnéeCalendrier,MONTH(NovDim1+31)=11),NovDim1+31,""))</f>
        <v>44160</v>
      </c>
      <c r="M39" s="5">
        <f>IF(DAY(NovDim1)=1,IF(AND(YEAR(NovDim1+25)=AnnéeCalendrier,MONTH(NovDim1+25)=11),NovDim1+25,""),IF(AND(YEAR(NovDim1+32)=AnnéeCalendrier,MONTH(NovDim1+32)=11),NovDim1+32,""))</f>
        <v>44161</v>
      </c>
      <c r="N39" s="5">
        <f>IF(DAY(NovDim1)=1,IF(AND(YEAR(NovDim1+26)=AnnéeCalendrier,MONTH(NovDim1+26)=11),NovDim1+26,""),IF(AND(YEAR(NovDim1+33)=AnnéeCalendrier,MONTH(NovDim1+33)=11),NovDim1+33,""))</f>
        <v>44162</v>
      </c>
      <c r="O39" s="5">
        <f>IF(DAY(NovDim1)=1,IF(AND(YEAR(NovDim1+27)=AnnéeCalendrier,MONTH(NovDim1+27)=11),NovDim1+27,""),IF(AND(YEAR(NovDim1+34)=AnnéeCalendrier,MONTH(NovDim1+34)=11),NovDim1+34,""))</f>
        <v>44163</v>
      </c>
      <c r="P39" s="7">
        <f>IF(DAY(NovDim1)=1,IF(AND(YEAR(NovDim1+28)=AnnéeCalendrier,MONTH(NovDim1+28)=11),NovDim1+28,""),IF(AND(YEAR(NovDim1+35)=AnnéeCalendrier,MONTH(NovDim1+35)=11),NovDim1+35,""))</f>
        <v>44164</v>
      </c>
      <c r="R39" s="6">
        <f>IF(DAY(DécDim1)=1,IF(AND(YEAR(DécDim1+22)=AnnéeCalendrier,MONTH(DécDim1+22)=12),DécDim1+22,""),IF(AND(YEAR(DécDim1+29)=AnnéeCalendrier,MONTH(DécDim1+29)=12),DécDim1+29,""))</f>
        <v>44193</v>
      </c>
      <c r="S39" s="5">
        <f>IF(DAY(DécDim1)=1,IF(AND(YEAR(DécDim1+23)=AnnéeCalendrier,MONTH(DécDim1+23)=12),DécDim1+23,""),IF(AND(YEAR(DécDim1+30)=AnnéeCalendrier,MONTH(DécDim1+30)=12),DécDim1+30,""))</f>
        <v>44194</v>
      </c>
      <c r="T39" s="5">
        <f>IF(DAY(DécDim1)=1,IF(AND(YEAR(DécDim1+24)=AnnéeCalendrier,MONTH(DécDim1+24)=12),DécDim1+24,""),IF(AND(YEAR(DécDim1+31)=AnnéeCalendrier,MONTH(DécDim1+31)=12),DécDim1+31,""))</f>
        <v>44195</v>
      </c>
      <c r="U39" s="5">
        <f>IF(DAY(DécDim1)=1,IF(AND(YEAR(DécDim1+25)=AnnéeCalendrier,MONTH(DécDim1+25)=12),DécDim1+25,""),IF(AND(YEAR(DécDim1+32)=AnnéeCalendrier,MONTH(DécDim1+32)=12),DécDim1+32,""))</f>
        <v>44196</v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>
        <f>IF(DAY(NovDim1)=1,IF(AND(YEAR(NovDim1+29)=AnnéeCalendrier,MONTH(NovDim1+29)=11),NovDim1+29,""),IF(AND(YEAR(NovDim1+36)=AnnéeCalendrier,MONTH(NovDim1+36)=11),NovDim1+36,""))</f>
        <v>44165</v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363" priority="1">
      <formula>LEN(TRIM(B8))&gt;0</formula>
    </cfRule>
  </conditionalFormatting>
  <conditionalFormatting sqref="J8:P13">
    <cfRule type="notContainsBlanks" dxfId="1362" priority="2">
      <formula>LEN(TRIM(J8))&gt;0</formula>
    </cfRule>
  </conditionalFormatting>
  <conditionalFormatting sqref="R8:X13">
    <cfRule type="notContainsBlanks" dxfId="1361" priority="3">
      <formula>LEN(TRIM(R8))&gt;0</formula>
    </cfRule>
  </conditionalFormatting>
  <conditionalFormatting sqref="B17:H22">
    <cfRule type="notContainsBlanks" dxfId="1360" priority="4">
      <formula>LEN(TRIM(B17))&gt;0</formula>
    </cfRule>
  </conditionalFormatting>
  <conditionalFormatting sqref="J17:P22">
    <cfRule type="notContainsBlanks" dxfId="1359" priority="5">
      <formula>LEN(TRIM(J17))&gt;0</formula>
    </cfRule>
  </conditionalFormatting>
  <conditionalFormatting sqref="R17:X22">
    <cfRule type="notContainsBlanks" dxfId="1358" priority="6">
      <formula>LEN(TRIM(R17))&gt;0</formula>
    </cfRule>
  </conditionalFormatting>
  <conditionalFormatting sqref="R35:X40">
    <cfRule type="notContainsBlanks" dxfId="1357" priority="12">
      <formula>LEN(TRIM(R35))&gt;0</formula>
    </cfRule>
  </conditionalFormatting>
  <conditionalFormatting sqref="B26:H31">
    <cfRule type="notContainsBlanks" dxfId="1356" priority="7">
      <formula>LEN(TRIM(B26))&gt;0</formula>
    </cfRule>
  </conditionalFormatting>
  <conditionalFormatting sqref="J26:P31">
    <cfRule type="notContainsBlanks" dxfId="1355" priority="8">
      <formula>LEN(TRIM(J26))&gt;0</formula>
    </cfRule>
  </conditionalFormatting>
  <conditionalFormatting sqref="R26:X31">
    <cfRule type="notContainsBlanks" dxfId="1354" priority="9">
      <formula>LEN(TRIM(R26))&gt;0</formula>
    </cfRule>
  </conditionalFormatting>
  <conditionalFormatting sqref="B35:H40">
    <cfRule type="notContainsBlanks" dxfId="1353" priority="10">
      <formula>LEN(TRIM(B35))&gt;0</formula>
    </cfRule>
  </conditionalFormatting>
  <conditionalFormatting sqref="J35:P40">
    <cfRule type="notContainsBlanks" dxfId="1352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3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3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sTCalendar5">
    <pageSetUpPr autoPageBreaks="0" fitToPage="1"/>
  </sheetPr>
  <dimension ref="A1:AC40"/>
  <sheetViews>
    <sheetView showGridLines="0" tabSelected="1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2021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>
        <f>IF(DAY(JanDim1)=1,"",IF(AND(YEAR(JanDim1+5)=AnnéeCalendrier,MONTH(JanDim1+5)=1),JanDim1+5,""))</f>
        <v>44197</v>
      </c>
      <c r="G8" s="5">
        <f>IF(DAY(JanDim1)=1,"",IF(AND(YEAR(JanDim1+6)=AnnéeCalendrier,MONTH(JanDim1+6)=1),JanDim1+6,""))</f>
        <v>44198</v>
      </c>
      <c r="H8" s="5">
        <f>IF(DAY(JanDim1)=1,IF(AND(YEAR(JanDim1)=AnnéeCalendrier,MONTH(JanDim1)=1),JanDim1,""),IF(AND(YEAR(JanDim1+7)=AnnéeCalendrier,MONTH(JanDim1+7)=1),JanDim1+7,""))</f>
        <v>44199</v>
      </c>
      <c r="I8" s="4"/>
      <c r="J8" s="5">
        <f>IF(DAY(FévDim1)=1,"",IF(AND(YEAR(FévDim1+1)=AnnéeCalendrier,MONTH(FévDim1+1)=2),FévDim1+1,""))</f>
        <v>44228</v>
      </c>
      <c r="K8" s="5">
        <f>IF(DAY(FévDim1)=1,"",IF(AND(YEAR(FévDim1+2)=AnnéeCalendrier,MONTH(FévDim1+2)=2),FévDim1+2,""))</f>
        <v>44229</v>
      </c>
      <c r="L8" s="5">
        <f>IF(DAY(FévDim1)=1,"",IF(AND(YEAR(FévDim1+3)=AnnéeCalendrier,MONTH(FévDim1+3)=2),FévDim1+3,""))</f>
        <v>44230</v>
      </c>
      <c r="M8" s="5">
        <f>IF(DAY(FévDim1)=1,"",IF(AND(YEAR(FévDim1+4)=AnnéeCalendrier,MONTH(FévDim1+4)=2),FévDim1+4,""))</f>
        <v>44231</v>
      </c>
      <c r="N8" s="5">
        <f>IF(DAY(FévDim1)=1,"",IF(AND(YEAR(FévDim1+5)=AnnéeCalendrier,MONTH(FévDim1+5)=2),FévDim1+5,""))</f>
        <v>44232</v>
      </c>
      <c r="O8" s="5">
        <f>IF(DAY(FévDim1)=1,"",IF(AND(YEAR(FévDim1+6)=AnnéeCalendrier,MONTH(FévDim1+6)=2),FévDim1+6,""))</f>
        <v>44233</v>
      </c>
      <c r="P8" s="5">
        <f>IF(DAY(FévDim1)=1,IF(AND(YEAR(FévDim1)=AnnéeCalendrier,MONTH(FévDim1)=2),FévDim1,""),IF(AND(YEAR(FévDim1+7)=AnnéeCalendrier,MONTH(FévDim1+7)=2),FévDim1+7,""))</f>
        <v>44234</v>
      </c>
      <c r="Q8" s="4"/>
      <c r="R8" s="5">
        <f>IF(DAY(MarDim1)=1,"",IF(AND(YEAR(MarDim1+1)=AnnéeCalendrier,MONTH(MarDim1+1)=3),MarDim1+1,""))</f>
        <v>44256</v>
      </c>
      <c r="S8" s="5">
        <f>IF(DAY(MarDim1)=1,"",IF(AND(YEAR(MarDim1+2)=AnnéeCalendrier,MONTH(MarDim1+2)=3),MarDim1+2,""))</f>
        <v>44257</v>
      </c>
      <c r="T8" s="5">
        <f>IF(DAY(MarDim1)=1,"",IF(AND(YEAR(MarDim1+3)=AnnéeCalendrier,MONTH(MarDim1+3)=3),MarDim1+3,""))</f>
        <v>44258</v>
      </c>
      <c r="U8" s="5">
        <f>IF(DAY(MarDim1)=1,"",IF(AND(YEAR(MarDim1+4)=AnnéeCalendrier,MONTH(MarDim1+4)=3),MarDim1+4,""))</f>
        <v>44259</v>
      </c>
      <c r="V8" s="5">
        <f>IF(DAY(MarDim1)=1,"",IF(AND(YEAR(MarDim1+5)=AnnéeCalendrier,MONTH(MarDim1+5)=3),MarDim1+5,""))</f>
        <v>44260</v>
      </c>
      <c r="W8" s="5">
        <f>IF(DAY(MarDim1)=1,"",IF(AND(YEAR(MarDim1+6)=AnnéeCalendrier,MONTH(MarDim1+6)=3),MarDim1+6,""))</f>
        <v>44261</v>
      </c>
      <c r="X8" s="5">
        <f>IF(DAY(MarDim1)=1,IF(AND(YEAR(MarDim1)=AnnéeCalendrier,MONTH(MarDim1)=3),MarDim1,""),IF(AND(YEAR(MarDim1+7)=AnnéeCalendrier,MONTH(MarDim1+7)=3),MarDim1+7,""))</f>
        <v>44262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44200</v>
      </c>
      <c r="C9" s="5">
        <f>IF(DAY(JanDim1)=1,IF(AND(YEAR(JanDim1+2)=AnnéeCalendrier,MONTH(JanDim1+2)=1),JanDim1+2,""),IF(AND(YEAR(JanDim1+9)=AnnéeCalendrier,MONTH(JanDim1+9)=1),JanDim1+9,""))</f>
        <v>44201</v>
      </c>
      <c r="D9" s="5">
        <f>IF(DAY(JanDim1)=1,IF(AND(YEAR(JanDim1+3)=AnnéeCalendrier,MONTH(JanDim1+3)=1),JanDim1+3,""),IF(AND(YEAR(JanDim1+10)=AnnéeCalendrier,MONTH(JanDim1+10)=1),JanDim1+10,""))</f>
        <v>44202</v>
      </c>
      <c r="E9" s="5">
        <f>IF(DAY(JanDim1)=1,IF(AND(YEAR(JanDim1+4)=AnnéeCalendrier,MONTH(JanDim1+4)=1),JanDim1+4,""),IF(AND(YEAR(JanDim1+11)=AnnéeCalendrier,MONTH(JanDim1+11)=1),JanDim1+11,""))</f>
        <v>44203</v>
      </c>
      <c r="F9" s="5">
        <f>IF(DAY(JanDim1)=1,IF(AND(YEAR(JanDim1+5)=AnnéeCalendrier,MONTH(JanDim1+5)=1),JanDim1+5,""),IF(AND(YEAR(JanDim1+12)=AnnéeCalendrier,MONTH(JanDim1+12)=1),JanDim1+12,""))</f>
        <v>44204</v>
      </c>
      <c r="G9" s="5">
        <f>IF(DAY(JanDim1)=1,IF(AND(YEAR(JanDim1+6)=AnnéeCalendrier,MONTH(JanDim1+6)=1),JanDim1+6,""),IF(AND(YEAR(JanDim1+13)=AnnéeCalendrier,MONTH(JanDim1+13)=1),JanDim1+13,""))</f>
        <v>44205</v>
      </c>
      <c r="H9" s="5">
        <f>IF(DAY(JanDim1)=1,IF(AND(YEAR(JanDim1+7)=AnnéeCalendrier,MONTH(JanDim1+7)=1),JanDim1+7,""),IF(AND(YEAR(JanDim1+14)=AnnéeCalendrier,MONTH(JanDim1+14)=1),JanDim1+14,""))</f>
        <v>44206</v>
      </c>
      <c r="I9" s="4"/>
      <c r="J9" s="5">
        <f>IF(DAY(FévDim1)=1,IF(AND(YEAR(FévDim1+1)=AnnéeCalendrier,MONTH(FévDim1+1)=2),FévDim1+1,""),IF(AND(YEAR(FévDim1+8)=AnnéeCalendrier,MONTH(FévDim1+8)=2),FévDim1+8,""))</f>
        <v>44235</v>
      </c>
      <c r="K9" s="5">
        <f>IF(DAY(FévDim1)=1,IF(AND(YEAR(FévDim1+2)=AnnéeCalendrier,MONTH(FévDim1+2)=2),FévDim1+2,""),IF(AND(YEAR(FévDim1+9)=AnnéeCalendrier,MONTH(FévDim1+9)=2),FévDim1+9,""))</f>
        <v>44236</v>
      </c>
      <c r="L9" s="5">
        <f>IF(DAY(FévDim1)=1,IF(AND(YEAR(FévDim1+3)=AnnéeCalendrier,MONTH(FévDim1+3)=2),FévDim1+3,""),IF(AND(YEAR(FévDim1+10)=AnnéeCalendrier,MONTH(FévDim1+10)=2),FévDim1+10,""))</f>
        <v>44237</v>
      </c>
      <c r="M9" s="5">
        <f>IF(DAY(FévDim1)=1,IF(AND(YEAR(FévDim1+4)=AnnéeCalendrier,MONTH(FévDim1+4)=2),FévDim1+4,""),IF(AND(YEAR(FévDim1+11)=AnnéeCalendrier,MONTH(FévDim1+11)=2),FévDim1+11,""))</f>
        <v>44238</v>
      </c>
      <c r="N9" s="5">
        <f>IF(DAY(FévDim1)=1,IF(AND(YEAR(FévDim1+5)=AnnéeCalendrier,MONTH(FévDim1+5)=2),FévDim1+5,""),IF(AND(YEAR(FévDim1+12)=AnnéeCalendrier,MONTH(FévDim1+12)=2),FévDim1+12,""))</f>
        <v>44239</v>
      </c>
      <c r="O9" s="5">
        <f>IF(DAY(FévDim1)=1,IF(AND(YEAR(FévDim1+6)=AnnéeCalendrier,MONTH(FévDim1+6)=2),FévDim1+6,""),IF(AND(YEAR(FévDim1+13)=AnnéeCalendrier,MONTH(FévDim1+13)=2),FévDim1+13,""))</f>
        <v>44240</v>
      </c>
      <c r="P9" s="5">
        <f>IF(DAY(FévDim1)=1,IF(AND(YEAR(FévDim1+7)=AnnéeCalendrier,MONTH(FévDim1+7)=2),FévDim1+7,""),IF(AND(YEAR(FévDim1+14)=AnnéeCalendrier,MONTH(FévDim1+14)=2),FévDim1+14,""))</f>
        <v>44241</v>
      </c>
      <c r="Q9" s="4"/>
      <c r="R9" s="5">
        <f>IF(DAY(MarDim1)=1,IF(AND(YEAR(MarDim1+1)=AnnéeCalendrier,MONTH(MarDim1+1)=3),MarDim1+1,""),IF(AND(YEAR(MarDim1+8)=AnnéeCalendrier,MONTH(MarDim1+8)=3),MarDim1+8,""))</f>
        <v>44263</v>
      </c>
      <c r="S9" s="5">
        <f>IF(DAY(MarDim1)=1,IF(AND(YEAR(MarDim1+2)=AnnéeCalendrier,MONTH(MarDim1+2)=3),MarDim1+2,""),IF(AND(YEAR(MarDim1+9)=AnnéeCalendrier,MONTH(MarDim1+9)=3),MarDim1+9,""))</f>
        <v>44264</v>
      </c>
      <c r="T9" s="5">
        <f>IF(DAY(MarDim1)=1,IF(AND(YEAR(MarDim1+3)=AnnéeCalendrier,MONTH(MarDim1+3)=3),MarDim1+3,""),IF(AND(YEAR(MarDim1+10)=AnnéeCalendrier,MONTH(MarDim1+10)=3),MarDim1+10,""))</f>
        <v>44265</v>
      </c>
      <c r="U9" s="5">
        <f>IF(DAY(MarDim1)=1,IF(AND(YEAR(MarDim1+4)=AnnéeCalendrier,MONTH(MarDim1+4)=3),MarDim1+4,""),IF(AND(YEAR(MarDim1+11)=AnnéeCalendrier,MONTH(MarDim1+11)=3),MarDim1+11,""))</f>
        <v>44266</v>
      </c>
      <c r="V9" s="5">
        <f>IF(DAY(MarDim1)=1,IF(AND(YEAR(MarDim1+5)=AnnéeCalendrier,MONTH(MarDim1+5)=3),MarDim1+5,""),IF(AND(YEAR(MarDim1+12)=AnnéeCalendrier,MONTH(MarDim1+12)=3),MarDim1+12,""))</f>
        <v>44267</v>
      </c>
      <c r="W9" s="5">
        <f>IF(DAY(MarDim1)=1,IF(AND(YEAR(MarDim1+6)=AnnéeCalendrier,MONTH(MarDim1+6)=3),MarDim1+6,""),IF(AND(YEAR(MarDim1+13)=AnnéeCalendrier,MONTH(MarDim1+13)=3),MarDim1+13,""))</f>
        <v>44268</v>
      </c>
      <c r="X9" s="5">
        <f>IF(DAY(MarDim1)=1,IF(AND(YEAR(MarDim1+7)=AnnéeCalendrier,MONTH(MarDim1+7)=3),MarDim1+7,""),IF(AND(YEAR(MarDim1+14)=AnnéeCalendrier,MONTH(MarDim1+14)=3),MarDim1+14,""))</f>
        <v>44269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44207</v>
      </c>
      <c r="C10" s="5">
        <f>IF(DAY(JanDim1)=1,IF(AND(YEAR(JanDim1+9)=AnnéeCalendrier,MONTH(JanDim1+9)=1),JanDim1+9,""),IF(AND(YEAR(JanDim1+16)=AnnéeCalendrier,MONTH(JanDim1+16)=1),JanDim1+16,""))</f>
        <v>44208</v>
      </c>
      <c r="D10" s="5">
        <f>IF(DAY(JanDim1)=1,IF(AND(YEAR(JanDim1+10)=AnnéeCalendrier,MONTH(JanDim1+10)=1),JanDim1+10,""),IF(AND(YEAR(JanDim1+17)=AnnéeCalendrier,MONTH(JanDim1+17)=1),JanDim1+17,""))</f>
        <v>44209</v>
      </c>
      <c r="E10" s="5">
        <f>IF(DAY(JanDim1)=1,IF(AND(YEAR(JanDim1+11)=AnnéeCalendrier,MONTH(JanDim1+11)=1),JanDim1+11,""),IF(AND(YEAR(JanDim1+18)=AnnéeCalendrier,MONTH(JanDim1+18)=1),JanDim1+18,""))</f>
        <v>44210</v>
      </c>
      <c r="F10" s="5">
        <f>IF(DAY(JanDim1)=1,IF(AND(YEAR(JanDim1+12)=AnnéeCalendrier,MONTH(JanDim1+12)=1),JanDim1+12,""),IF(AND(YEAR(JanDim1+19)=AnnéeCalendrier,MONTH(JanDim1+19)=1),JanDim1+19,""))</f>
        <v>44211</v>
      </c>
      <c r="G10" s="5">
        <f>IF(DAY(JanDim1)=1,IF(AND(YEAR(JanDim1+13)=AnnéeCalendrier,MONTH(JanDim1+13)=1),JanDim1+13,""),IF(AND(YEAR(JanDim1+20)=AnnéeCalendrier,MONTH(JanDim1+20)=1),JanDim1+20,""))</f>
        <v>44212</v>
      </c>
      <c r="H10" s="5">
        <f>IF(DAY(JanDim1)=1,IF(AND(YEAR(JanDim1+14)=AnnéeCalendrier,MONTH(JanDim1+14)=1),JanDim1+14,""),IF(AND(YEAR(JanDim1+21)=AnnéeCalendrier,MONTH(JanDim1+21)=1),JanDim1+21,""))</f>
        <v>44213</v>
      </c>
      <c r="I10" s="4"/>
      <c r="J10" s="5">
        <f>IF(DAY(FévDim1)=1,IF(AND(YEAR(FévDim1+8)=AnnéeCalendrier,MONTH(FévDim1+8)=2),FévDim1+8,""),IF(AND(YEAR(FévDim1+15)=AnnéeCalendrier,MONTH(FévDim1+15)=2),FévDim1+15,""))</f>
        <v>44242</v>
      </c>
      <c r="K10" s="5">
        <f>IF(DAY(FévDim1)=1,IF(AND(YEAR(FévDim1+9)=AnnéeCalendrier,MONTH(FévDim1+9)=2),FévDim1+9,""),IF(AND(YEAR(FévDim1+16)=AnnéeCalendrier,MONTH(FévDim1+16)=2),FévDim1+16,""))</f>
        <v>44243</v>
      </c>
      <c r="L10" s="5">
        <f>IF(DAY(FévDim1)=1,IF(AND(YEAR(FévDim1+10)=AnnéeCalendrier,MONTH(FévDim1+10)=2),FévDim1+10,""),IF(AND(YEAR(FévDim1+17)=AnnéeCalendrier,MONTH(FévDim1+17)=2),FévDim1+17,""))</f>
        <v>44244</v>
      </c>
      <c r="M10" s="5">
        <f>IF(DAY(FévDim1)=1,IF(AND(YEAR(FévDim1+11)=AnnéeCalendrier,MONTH(FévDim1+11)=2),FévDim1+11,""),IF(AND(YEAR(FévDim1+18)=AnnéeCalendrier,MONTH(FévDim1+18)=2),FévDim1+18,""))</f>
        <v>44245</v>
      </c>
      <c r="N10" s="5">
        <f>IF(DAY(FévDim1)=1,IF(AND(YEAR(FévDim1+12)=AnnéeCalendrier,MONTH(FévDim1+12)=2),FévDim1+12,""),IF(AND(YEAR(FévDim1+19)=AnnéeCalendrier,MONTH(FévDim1+19)=2),FévDim1+19,""))</f>
        <v>44246</v>
      </c>
      <c r="O10" s="5">
        <f>IF(DAY(FévDim1)=1,IF(AND(YEAR(FévDim1+13)=AnnéeCalendrier,MONTH(FévDim1+13)=2),FévDim1+13,""),IF(AND(YEAR(FévDim1+20)=AnnéeCalendrier,MONTH(FévDim1+20)=2),FévDim1+20,""))</f>
        <v>44247</v>
      </c>
      <c r="P10" s="5">
        <f>IF(DAY(FévDim1)=1,IF(AND(YEAR(FévDim1+14)=AnnéeCalendrier,MONTH(FévDim1+14)=2),FévDim1+14,""),IF(AND(YEAR(FévDim1+21)=AnnéeCalendrier,MONTH(FévDim1+21)=2),FévDim1+21,""))</f>
        <v>44248</v>
      </c>
      <c r="Q10" s="4"/>
      <c r="R10" s="5">
        <f>IF(DAY(MarDim1)=1,IF(AND(YEAR(MarDim1+8)=AnnéeCalendrier,MONTH(MarDim1+8)=3),MarDim1+8,""),IF(AND(YEAR(MarDim1+15)=AnnéeCalendrier,MONTH(MarDim1+15)=3),MarDim1+15,""))</f>
        <v>44270</v>
      </c>
      <c r="S10" s="5">
        <f>IF(DAY(MarDim1)=1,IF(AND(YEAR(MarDim1+9)=AnnéeCalendrier,MONTH(MarDim1+9)=3),MarDim1+9,""),IF(AND(YEAR(MarDim1+16)=AnnéeCalendrier,MONTH(MarDim1+16)=3),MarDim1+16,""))</f>
        <v>44271</v>
      </c>
      <c r="T10" s="5">
        <f>IF(DAY(MarDim1)=1,IF(AND(YEAR(MarDim1+10)=AnnéeCalendrier,MONTH(MarDim1+10)=3),MarDim1+10,""),IF(AND(YEAR(MarDim1+17)=AnnéeCalendrier,MONTH(MarDim1+17)=3),MarDim1+17,""))</f>
        <v>44272</v>
      </c>
      <c r="U10" s="5">
        <f>IF(DAY(MarDim1)=1,IF(AND(YEAR(MarDim1+11)=AnnéeCalendrier,MONTH(MarDim1+11)=3),MarDim1+11,""),IF(AND(YEAR(MarDim1+18)=AnnéeCalendrier,MONTH(MarDim1+18)=3),MarDim1+18,""))</f>
        <v>44273</v>
      </c>
      <c r="V10" s="5">
        <f>IF(DAY(MarDim1)=1,IF(AND(YEAR(MarDim1+12)=AnnéeCalendrier,MONTH(MarDim1+12)=3),MarDim1+12,""),IF(AND(YEAR(MarDim1+19)=AnnéeCalendrier,MONTH(MarDim1+19)=3),MarDim1+19,""))</f>
        <v>44274</v>
      </c>
      <c r="W10" s="5">
        <f>IF(DAY(MarDim1)=1,IF(AND(YEAR(MarDim1+13)=AnnéeCalendrier,MONTH(MarDim1+13)=3),MarDim1+13,""),IF(AND(YEAR(MarDim1+20)=AnnéeCalendrier,MONTH(MarDim1+20)=3),MarDim1+20,""))</f>
        <v>44275</v>
      </c>
      <c r="X10" s="5">
        <f>IF(DAY(MarDim1)=1,IF(AND(YEAR(MarDim1+14)=AnnéeCalendrier,MONTH(MarDim1+14)=3),MarDim1+14,""),IF(AND(YEAR(MarDim1+21)=AnnéeCalendrier,MONTH(MarDim1+21)=3),MarDim1+21,""))</f>
        <v>44276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44214</v>
      </c>
      <c r="C11" s="5">
        <f>IF(DAY(JanDim1)=1,IF(AND(YEAR(JanDim1+16)=AnnéeCalendrier,MONTH(JanDim1+16)=1),JanDim1+16,""),IF(AND(YEAR(JanDim1+23)=AnnéeCalendrier,MONTH(JanDim1+23)=1),JanDim1+23,""))</f>
        <v>44215</v>
      </c>
      <c r="D11" s="5">
        <f>IF(DAY(JanDim1)=1,IF(AND(YEAR(JanDim1+17)=AnnéeCalendrier,MONTH(JanDim1+17)=1),JanDim1+17,""),IF(AND(YEAR(JanDim1+24)=AnnéeCalendrier,MONTH(JanDim1+24)=1),JanDim1+24,""))</f>
        <v>44216</v>
      </c>
      <c r="E11" s="5">
        <f>IF(DAY(JanDim1)=1,IF(AND(YEAR(JanDim1+18)=AnnéeCalendrier,MONTH(JanDim1+18)=1),JanDim1+18,""),IF(AND(YEAR(JanDim1+25)=AnnéeCalendrier,MONTH(JanDim1+25)=1),JanDim1+25,""))</f>
        <v>44217</v>
      </c>
      <c r="F11" s="5">
        <f>IF(DAY(JanDim1)=1,IF(AND(YEAR(JanDim1+19)=AnnéeCalendrier,MONTH(JanDim1+19)=1),JanDim1+19,""),IF(AND(YEAR(JanDim1+26)=AnnéeCalendrier,MONTH(JanDim1+26)=1),JanDim1+26,""))</f>
        <v>44218</v>
      </c>
      <c r="G11" s="5">
        <f>IF(DAY(JanDim1)=1,IF(AND(YEAR(JanDim1+20)=AnnéeCalendrier,MONTH(JanDim1+20)=1),JanDim1+20,""),IF(AND(YEAR(JanDim1+27)=AnnéeCalendrier,MONTH(JanDim1+27)=1),JanDim1+27,""))</f>
        <v>44219</v>
      </c>
      <c r="H11" s="5">
        <f>IF(DAY(JanDim1)=1,IF(AND(YEAR(JanDim1+21)=AnnéeCalendrier,MONTH(JanDim1+21)=1),JanDim1+21,""),IF(AND(YEAR(JanDim1+28)=AnnéeCalendrier,MONTH(JanDim1+28)=1),JanDim1+28,""))</f>
        <v>44220</v>
      </c>
      <c r="I11" s="4"/>
      <c r="J11" s="5">
        <f>IF(DAY(FévDim1)=1,IF(AND(YEAR(FévDim1+15)=AnnéeCalendrier,MONTH(FévDim1+15)=2),FévDim1+15,""),IF(AND(YEAR(FévDim1+22)=AnnéeCalendrier,MONTH(FévDim1+22)=2),FévDim1+22,""))</f>
        <v>44249</v>
      </c>
      <c r="K11" s="5">
        <f>IF(DAY(FévDim1)=1,IF(AND(YEAR(FévDim1+16)=AnnéeCalendrier,MONTH(FévDim1+16)=2),FévDim1+16,""),IF(AND(YEAR(FévDim1+23)=AnnéeCalendrier,MONTH(FévDim1+23)=2),FévDim1+23,""))</f>
        <v>44250</v>
      </c>
      <c r="L11" s="5">
        <f>IF(DAY(FévDim1)=1,IF(AND(YEAR(FévDim1+17)=AnnéeCalendrier,MONTH(FévDim1+17)=2),FévDim1+17,""),IF(AND(YEAR(FévDim1+24)=AnnéeCalendrier,MONTH(FévDim1+24)=2),FévDim1+24,""))</f>
        <v>44251</v>
      </c>
      <c r="M11" s="5">
        <f>IF(DAY(FévDim1)=1,IF(AND(YEAR(FévDim1+18)=AnnéeCalendrier,MONTH(FévDim1+18)=2),FévDim1+18,""),IF(AND(YEAR(FévDim1+25)=AnnéeCalendrier,MONTH(FévDim1+25)=2),FévDim1+25,""))</f>
        <v>44252</v>
      </c>
      <c r="N11" s="5">
        <f>IF(DAY(FévDim1)=1,IF(AND(YEAR(FévDim1+19)=AnnéeCalendrier,MONTH(FévDim1+19)=2),FévDim1+19,""),IF(AND(YEAR(FévDim1+26)=AnnéeCalendrier,MONTH(FévDim1+26)=2),FévDim1+26,""))</f>
        <v>44253</v>
      </c>
      <c r="O11" s="5">
        <f>IF(DAY(FévDim1)=1,IF(AND(YEAR(FévDim1+20)=AnnéeCalendrier,MONTH(FévDim1+20)=2),FévDim1+20,""),IF(AND(YEAR(FévDim1+27)=AnnéeCalendrier,MONTH(FévDim1+27)=2),FévDim1+27,""))</f>
        <v>44254</v>
      </c>
      <c r="P11" s="5">
        <f>IF(DAY(FévDim1)=1,IF(AND(YEAR(FévDim1+21)=AnnéeCalendrier,MONTH(FévDim1+21)=2),FévDim1+21,""),IF(AND(YEAR(FévDim1+28)=AnnéeCalendrier,MONTH(FévDim1+28)=2),FévDim1+28,""))</f>
        <v>44255</v>
      </c>
      <c r="Q11" s="4"/>
      <c r="R11" s="5">
        <f>IF(DAY(MarDim1)=1,IF(AND(YEAR(MarDim1+15)=AnnéeCalendrier,MONTH(MarDim1+15)=3),MarDim1+15,""),IF(AND(YEAR(MarDim1+22)=AnnéeCalendrier,MONTH(MarDim1+22)=3),MarDim1+22,""))</f>
        <v>44277</v>
      </c>
      <c r="S11" s="5">
        <f>IF(DAY(MarDim1)=1,IF(AND(YEAR(MarDim1+16)=AnnéeCalendrier,MONTH(MarDim1+16)=3),MarDim1+16,""),IF(AND(YEAR(MarDim1+23)=AnnéeCalendrier,MONTH(MarDim1+23)=3),MarDim1+23,""))</f>
        <v>44278</v>
      </c>
      <c r="T11" s="5">
        <f>IF(DAY(MarDim1)=1,IF(AND(YEAR(MarDim1+17)=AnnéeCalendrier,MONTH(MarDim1+17)=3),MarDim1+17,""),IF(AND(YEAR(MarDim1+24)=AnnéeCalendrier,MONTH(MarDim1+24)=3),MarDim1+24,""))</f>
        <v>44279</v>
      </c>
      <c r="U11" s="5">
        <f>IF(DAY(MarDim1)=1,IF(AND(YEAR(MarDim1+18)=AnnéeCalendrier,MONTH(MarDim1+18)=3),MarDim1+18,""),IF(AND(YEAR(MarDim1+25)=AnnéeCalendrier,MONTH(MarDim1+25)=3),MarDim1+25,""))</f>
        <v>44280</v>
      </c>
      <c r="V11" s="5">
        <f>IF(DAY(MarDim1)=1,IF(AND(YEAR(MarDim1+19)=AnnéeCalendrier,MONTH(MarDim1+19)=3),MarDim1+19,""),IF(AND(YEAR(MarDim1+26)=AnnéeCalendrier,MONTH(MarDim1+26)=3),MarDim1+26,""))</f>
        <v>44281</v>
      </c>
      <c r="W11" s="5">
        <f>IF(DAY(MarDim1)=1,IF(AND(YEAR(MarDim1+20)=AnnéeCalendrier,MONTH(MarDim1+20)=3),MarDim1+20,""),IF(AND(YEAR(MarDim1+27)=AnnéeCalendrier,MONTH(MarDim1+27)=3),MarDim1+27,""))</f>
        <v>44282</v>
      </c>
      <c r="X11" s="5">
        <f>IF(DAY(MarDim1)=1,IF(AND(YEAR(MarDim1+21)=AnnéeCalendrier,MONTH(MarDim1+21)=3),MarDim1+21,""),IF(AND(YEAR(MarDim1+28)=AnnéeCalendrier,MONTH(MarDim1+28)=3),MarDim1+28,""))</f>
        <v>44283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44221</v>
      </c>
      <c r="C12" s="5">
        <f>IF(DAY(JanDim1)=1,IF(AND(YEAR(JanDim1+23)=AnnéeCalendrier,MONTH(JanDim1+23)=1),JanDim1+23,""),IF(AND(YEAR(JanDim1+30)=AnnéeCalendrier,MONTH(JanDim1+30)=1),JanDim1+30,""))</f>
        <v>44222</v>
      </c>
      <c r="D12" s="5">
        <f>IF(DAY(JanDim1)=1,IF(AND(YEAR(JanDim1+24)=AnnéeCalendrier,MONTH(JanDim1+24)=1),JanDim1+24,""),IF(AND(YEAR(JanDim1+31)=AnnéeCalendrier,MONTH(JanDim1+31)=1),JanDim1+31,""))</f>
        <v>44223</v>
      </c>
      <c r="E12" s="5">
        <f>IF(DAY(JanDim1)=1,IF(AND(YEAR(JanDim1+25)=AnnéeCalendrier,MONTH(JanDim1+25)=1),JanDim1+25,""),IF(AND(YEAR(JanDim1+32)=AnnéeCalendrier,MONTH(JanDim1+32)=1),JanDim1+32,""))</f>
        <v>44224</v>
      </c>
      <c r="F12" s="5">
        <f>IF(DAY(JanDim1)=1,IF(AND(YEAR(JanDim1+26)=AnnéeCalendrier,MONTH(JanDim1+26)=1),JanDim1+26,""),IF(AND(YEAR(JanDim1+33)=AnnéeCalendrier,MONTH(JanDim1+33)=1),JanDim1+33,""))</f>
        <v>44225</v>
      </c>
      <c r="G12" s="5">
        <f>IF(DAY(JanDim1)=1,IF(AND(YEAR(JanDim1+27)=AnnéeCalendrier,MONTH(JanDim1+27)=1),JanDim1+27,""),IF(AND(YEAR(JanDim1+34)=AnnéeCalendrier,MONTH(JanDim1+34)=1),JanDim1+34,""))</f>
        <v>44226</v>
      </c>
      <c r="H12" s="5">
        <f>IF(DAY(JanDim1)=1,IF(AND(YEAR(JanDim1+28)=AnnéeCalendrier,MONTH(JanDim1+28)=1),JanDim1+28,""),IF(AND(YEAR(JanDim1+35)=AnnéeCalendrier,MONTH(JanDim1+35)=1),JanDim1+35,""))</f>
        <v>44227</v>
      </c>
      <c r="I12" s="4"/>
      <c r="J12" s="5" t="str">
        <f>IF(DAY(FévDim1)=1,IF(AND(YEAR(FévDim1+22)=AnnéeCalendrier,MONTH(FévDim1+22)=2),FévDim1+22,""),IF(AND(YEAR(FévDim1+29)=AnnéeCalendrier,MONTH(FévDim1+29)=2),FévDim1+29,""))</f>
        <v/>
      </c>
      <c r="K12" s="5" t="str">
        <f>IF(DAY(FévDim1)=1,IF(AND(YEAR(FévDim1+23)=AnnéeCalendrier,MONTH(FévDim1+23)=2),FévDim1+23,""),IF(AND(YEAR(FévDim1+30)=AnnéeCalendrier,MONTH(FévDim1+30)=2),FévDim1+30,""))</f>
        <v/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44284</v>
      </c>
      <c r="S12" s="5">
        <f>IF(DAY(MarDim1)=1,IF(AND(YEAR(MarDim1+23)=AnnéeCalendrier,MONTH(MarDim1+23)=3),MarDim1+23,""),IF(AND(YEAR(MarDim1+30)=AnnéeCalendrier,MONTH(MarDim1+30)=3),MarDim1+30,""))</f>
        <v>44285</v>
      </c>
      <c r="T12" s="5">
        <f>IF(DAY(MarDim1)=1,IF(AND(YEAR(MarDim1+24)=AnnéeCalendrier,MONTH(MarDim1+24)=3),MarDim1+24,""),IF(AND(YEAR(MarDim1+31)=AnnéeCalendrier,MONTH(MarDim1+31)=3),MarDim1+31,""))</f>
        <v>44286</v>
      </c>
      <c r="U12" s="5" t="str">
        <f>IF(DAY(MarDim1)=1,IF(AND(YEAR(MarDim1+25)=AnnéeCalendrier,MONTH(MarDim1+25)=3),MarDim1+25,""),IF(AND(YEAR(MarDim1+32)=AnnéeCalendrier,MONTH(MarDim1+32)=3),MarDim1+32,""))</f>
        <v/>
      </c>
      <c r="V12" s="5" t="str">
        <f>IF(DAY(MarDim1)=1,IF(AND(YEAR(MarDim1+26)=AnnéeCalendrier,MONTH(MarDim1+26)=3),MarDim1+26,""),IF(AND(YEAR(MarDim1+33)=AnnéeCalendrier,MONTH(MarDim1+33)=3),MarDim1+33,""))</f>
        <v/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>
        <f>IF(DAY(AvrDim1)=1,"",IF(AND(YEAR(AvrDim1+4)=AnnéeCalendrier,MONTH(AvrDim1+4)=4),AvrDim1+4,""))</f>
        <v>44287</v>
      </c>
      <c r="F17" s="5">
        <f>IF(DAY(AvrDim1)=1,"",IF(AND(YEAR(AvrDim1+5)=AnnéeCalendrier,MONTH(AvrDim1+5)=4),AvrDim1+5,""))</f>
        <v>44288</v>
      </c>
      <c r="G17" s="5">
        <f>IF(DAY(AvrDim1)=1,"",IF(AND(YEAR(AvrDim1+6)=AnnéeCalendrier,MONTH(AvrDim1+6)=4),AvrDim1+6,""))</f>
        <v>44289</v>
      </c>
      <c r="H17" s="7">
        <f>IF(DAY(AvrDim1)=1,IF(AND(YEAR(AvrDim1)=AnnéeCalendrier,MONTH(AvrDim1)=4),AvrDim1,""),IF(AND(YEAR(AvrDim1+7)=AnnéeCalendrier,MONTH(AvrDim1+7)=4),AvrDim1+7,""))</f>
        <v>44290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 t="str">
        <f>IF(DAY(MaiDim1)=1,"",IF(AND(YEAR(MaiDim1+5)=AnnéeCalendrier,MONTH(MaiDim1+5)=5),MaiDim1+5,""))</f>
        <v/>
      </c>
      <c r="O17" s="5">
        <f>IF(DAY(MaiDim1)=1,"",IF(AND(YEAR(MaiDim1+6)=AnnéeCalendrier,MONTH(MaiDim1+6)=5),MaiDim1+6,""))</f>
        <v>44317</v>
      </c>
      <c r="P17" s="7">
        <f>IF(DAY(MaiDim1)=1,IF(AND(YEAR(MaiDim1)=AnnéeCalendrier,MONTH(MaiDim1)=5),MaiDim1,""),IF(AND(YEAR(MaiDim1+7)=AnnéeCalendrier,MONTH(MaiDim1+7)=5),MaiDim1+7,""))</f>
        <v>44318</v>
      </c>
      <c r="Q17" s="4"/>
      <c r="R17" s="6" t="str">
        <f>IF(DAY(JunDim1)=1,"",IF(AND(YEAR(JunDim1+1)=AnnéeCalendrier,MONTH(JunDim1+1)=6),JunDim1+1,""))</f>
        <v/>
      </c>
      <c r="S17" s="5">
        <f>IF(DAY(JunDim1)=1,"",IF(AND(YEAR(JunDim1+2)=AnnéeCalendrier,MONTH(JunDim1+2)=6),JunDim1+2,""))</f>
        <v>44348</v>
      </c>
      <c r="T17" s="5">
        <f>IF(DAY(JunDim1)=1,"",IF(AND(YEAR(JunDim1+3)=AnnéeCalendrier,MONTH(JunDim1+3)=6),JunDim1+3,""))</f>
        <v>44349</v>
      </c>
      <c r="U17" s="5">
        <f>IF(DAY(JunDim1)=1,"",IF(AND(YEAR(JunDim1+4)=AnnéeCalendrier,MONTH(JunDim1+4)=6),JunDim1+4,""))</f>
        <v>44350</v>
      </c>
      <c r="V17" s="5">
        <f>IF(DAY(JunDim1)=1,"",IF(AND(YEAR(JunDim1+5)=AnnéeCalendrier,MONTH(JunDim1+5)=6),JunDim1+5,""))</f>
        <v>44351</v>
      </c>
      <c r="W17" s="5">
        <f>IF(DAY(JunDim1)=1,"",IF(AND(YEAR(JunDim1+6)=AnnéeCalendrier,MONTH(JunDim1+6)=6),JunDim1+6,""))</f>
        <v>44352</v>
      </c>
      <c r="X17" s="7">
        <f>IF(DAY(JunDim1)=1,IF(AND(YEAR(JunDim1)=AnnéeCalendrier,MONTH(JunDim1)=6),JunDim1,""),IF(AND(YEAR(JunDim1+7)=AnnéeCalendrier,MONTH(JunDim1+7)=6),JunDim1+7,""))</f>
        <v>44353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44291</v>
      </c>
      <c r="C18" s="5">
        <f>IF(DAY(AvrDim1)=1,IF(AND(YEAR(AvrDim1+2)=AnnéeCalendrier,MONTH(AvrDim1+2)=4),AvrDim1+2,""),IF(AND(YEAR(AvrDim1+9)=AnnéeCalendrier,MONTH(AvrDim1+9)=4),AvrDim1+9,""))</f>
        <v>44292</v>
      </c>
      <c r="D18" s="5">
        <f>IF(DAY(AvrDim1)=1,IF(AND(YEAR(AvrDim1+3)=AnnéeCalendrier,MONTH(AvrDim1+3)=4),AvrDim1+3,""),IF(AND(YEAR(AvrDim1+10)=AnnéeCalendrier,MONTH(AvrDim1+10)=4),AvrDim1+10,""))</f>
        <v>44293</v>
      </c>
      <c r="E18" s="5">
        <f>IF(DAY(AvrDim1)=1,IF(AND(YEAR(AvrDim1+4)=AnnéeCalendrier,MONTH(AvrDim1+4)=4),AvrDim1+4,""),IF(AND(YEAR(AvrDim1+11)=AnnéeCalendrier,MONTH(AvrDim1+11)=4),AvrDim1+11,""))</f>
        <v>44294</v>
      </c>
      <c r="F18" s="5">
        <f>IF(DAY(AvrDim1)=1,IF(AND(YEAR(AvrDim1+5)=AnnéeCalendrier,MONTH(AvrDim1+5)=4),AvrDim1+5,""),IF(AND(YEAR(AvrDim1+12)=AnnéeCalendrier,MONTH(AvrDim1+12)=4),AvrDim1+12,""))</f>
        <v>44295</v>
      </c>
      <c r="G18" s="5">
        <f>IF(DAY(AvrDim1)=1,IF(AND(YEAR(AvrDim1+6)=AnnéeCalendrier,MONTH(AvrDim1+6)=4),AvrDim1+6,""),IF(AND(YEAR(AvrDim1+13)=AnnéeCalendrier,MONTH(AvrDim1+13)=4),AvrDim1+13,""))</f>
        <v>44296</v>
      </c>
      <c r="H18" s="7">
        <f>IF(DAY(AvrDim1)=1,IF(AND(YEAR(AvrDim1+7)=AnnéeCalendrier,MONTH(AvrDim1+7)=4),AvrDim1+7,""),IF(AND(YEAR(AvrDim1+14)=AnnéeCalendrier,MONTH(AvrDim1+14)=4),AvrDim1+14,""))</f>
        <v>44297</v>
      </c>
      <c r="I18" s="4"/>
      <c r="J18" s="6">
        <f>IF(DAY(MaiDim1)=1,IF(AND(YEAR(MaiDim1+1)=AnnéeCalendrier,MONTH(MaiDim1+1)=5),MaiDim1+1,""),IF(AND(YEAR(MaiDim1+8)=AnnéeCalendrier,MONTH(MaiDim1+8)=5),MaiDim1+8,""))</f>
        <v>44319</v>
      </c>
      <c r="K18" s="5">
        <f>IF(DAY(MaiDim1)=1,IF(AND(YEAR(MaiDim1+2)=AnnéeCalendrier,MONTH(MaiDim1+2)=5),MaiDim1+2,""),IF(AND(YEAR(MaiDim1+9)=AnnéeCalendrier,MONTH(MaiDim1+9)=5),MaiDim1+9,""))</f>
        <v>44320</v>
      </c>
      <c r="L18" s="5">
        <f>IF(DAY(MaiDim1)=1,IF(AND(YEAR(MaiDim1+3)=AnnéeCalendrier,MONTH(MaiDim1+3)=5),MaiDim1+3,""),IF(AND(YEAR(MaiDim1+10)=AnnéeCalendrier,MONTH(MaiDim1+10)=5),MaiDim1+10,""))</f>
        <v>44321</v>
      </c>
      <c r="M18" s="5">
        <f>IF(DAY(MaiDim1)=1,IF(AND(YEAR(MaiDim1+4)=AnnéeCalendrier,MONTH(MaiDim1+4)=5),MaiDim1+4,""),IF(AND(YEAR(MaiDim1+11)=AnnéeCalendrier,MONTH(MaiDim1+11)=5),MaiDim1+11,""))</f>
        <v>44322</v>
      </c>
      <c r="N18" s="5">
        <f>IF(DAY(MaiDim1)=1,IF(AND(YEAR(MaiDim1+5)=AnnéeCalendrier,MONTH(MaiDim1+5)=5),MaiDim1+5,""),IF(AND(YEAR(MaiDim1+12)=AnnéeCalendrier,MONTH(MaiDim1+12)=5),MaiDim1+12,""))</f>
        <v>44323</v>
      </c>
      <c r="O18" s="5">
        <f>IF(DAY(MaiDim1)=1,IF(AND(YEAR(MaiDim1+6)=AnnéeCalendrier,MONTH(MaiDim1+6)=5),MaiDim1+6,""),IF(AND(YEAR(MaiDim1+13)=AnnéeCalendrier,MONTH(MaiDim1+13)=5),MaiDim1+13,""))</f>
        <v>44324</v>
      </c>
      <c r="P18" s="7">
        <f>IF(DAY(MaiDim1)=1,IF(AND(YEAR(MaiDim1+7)=AnnéeCalendrier,MONTH(MaiDim1+7)=5),MaiDim1+7,""),IF(AND(YEAR(MaiDim1+14)=AnnéeCalendrier,MONTH(MaiDim1+14)=5),MaiDim1+14,""))</f>
        <v>44325</v>
      </c>
      <c r="Q18" s="4"/>
      <c r="R18" s="6">
        <f>IF(DAY(JunDim1)=1,IF(AND(YEAR(JunDim1+1)=AnnéeCalendrier,MONTH(JunDim1+1)=6),JunDim1+1,""),IF(AND(YEAR(JunDim1+8)=AnnéeCalendrier,MONTH(JunDim1+8)=6),JunDim1+8,""))</f>
        <v>44354</v>
      </c>
      <c r="S18" s="5">
        <f>IF(DAY(JunDim1)=1,IF(AND(YEAR(JunDim1+2)=AnnéeCalendrier,MONTH(JunDim1+2)=6),JunDim1+2,""),IF(AND(YEAR(JunDim1+9)=AnnéeCalendrier,MONTH(JunDim1+9)=6),JunDim1+9,""))</f>
        <v>44355</v>
      </c>
      <c r="T18" s="5">
        <f>IF(DAY(JunDim1)=1,IF(AND(YEAR(JunDim1+3)=AnnéeCalendrier,MONTH(JunDim1+3)=6),JunDim1+3,""),IF(AND(YEAR(JunDim1+10)=AnnéeCalendrier,MONTH(JunDim1+10)=6),JunDim1+10,""))</f>
        <v>44356</v>
      </c>
      <c r="U18" s="5">
        <f>IF(DAY(JunDim1)=1,IF(AND(YEAR(JunDim1+4)=AnnéeCalendrier,MONTH(JunDim1+4)=6),JunDim1+4,""),IF(AND(YEAR(JunDim1+11)=AnnéeCalendrier,MONTH(JunDim1+11)=6),JunDim1+11,""))</f>
        <v>44357</v>
      </c>
      <c r="V18" s="5">
        <f>IF(DAY(JunDim1)=1,IF(AND(YEAR(JunDim1+5)=AnnéeCalendrier,MONTH(JunDim1+5)=6),JunDim1+5,""),IF(AND(YEAR(JunDim1+12)=AnnéeCalendrier,MONTH(JunDim1+12)=6),JunDim1+12,""))</f>
        <v>44358</v>
      </c>
      <c r="W18" s="5">
        <f>IF(DAY(JunDim1)=1,IF(AND(YEAR(JunDim1+6)=AnnéeCalendrier,MONTH(JunDim1+6)=6),JunDim1+6,""),IF(AND(YEAR(JunDim1+13)=AnnéeCalendrier,MONTH(JunDim1+13)=6),JunDim1+13,""))</f>
        <v>44359</v>
      </c>
      <c r="X18" s="7">
        <f>IF(DAY(JunDim1)=1,IF(AND(YEAR(JunDim1+7)=AnnéeCalendrier,MONTH(JunDim1+7)=6),JunDim1+7,""),IF(AND(YEAR(JunDim1+14)=AnnéeCalendrier,MONTH(JunDim1+14)=6),JunDim1+14,""))</f>
        <v>44360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44298</v>
      </c>
      <c r="C19" s="5">
        <f>IF(DAY(AvrDim1)=1,IF(AND(YEAR(AvrDim1+9)=AnnéeCalendrier,MONTH(AvrDim1+9)=4),AvrDim1+9,""),IF(AND(YEAR(AvrDim1+16)=AnnéeCalendrier,MONTH(AvrDim1+16)=4),AvrDim1+16,""))</f>
        <v>44299</v>
      </c>
      <c r="D19" s="5">
        <f>IF(DAY(AvrDim1)=1,IF(AND(YEAR(AvrDim1+10)=AnnéeCalendrier,MONTH(AvrDim1+10)=4),AvrDim1+10,""),IF(AND(YEAR(AvrDim1+17)=AnnéeCalendrier,MONTH(AvrDim1+17)=4),AvrDim1+17,""))</f>
        <v>44300</v>
      </c>
      <c r="E19" s="5">
        <f>IF(DAY(AvrDim1)=1,IF(AND(YEAR(AvrDim1+11)=AnnéeCalendrier,MONTH(AvrDim1+11)=4),AvrDim1+11,""),IF(AND(YEAR(AvrDim1+18)=AnnéeCalendrier,MONTH(AvrDim1+18)=4),AvrDim1+18,""))</f>
        <v>44301</v>
      </c>
      <c r="F19" s="5">
        <f>IF(DAY(AvrDim1)=1,IF(AND(YEAR(AvrDim1+12)=AnnéeCalendrier,MONTH(AvrDim1+12)=4),AvrDim1+12,""),IF(AND(YEAR(AvrDim1+19)=AnnéeCalendrier,MONTH(AvrDim1+19)=4),AvrDim1+19,""))</f>
        <v>44302</v>
      </c>
      <c r="G19" s="5">
        <f>IF(DAY(AvrDim1)=1,IF(AND(YEAR(AvrDim1+13)=AnnéeCalendrier,MONTH(AvrDim1+13)=4),AvrDim1+13,""),IF(AND(YEAR(AvrDim1+20)=AnnéeCalendrier,MONTH(AvrDim1+20)=4),AvrDim1+20,""))</f>
        <v>44303</v>
      </c>
      <c r="H19" s="7">
        <f>IF(DAY(AvrDim1)=1,IF(AND(YEAR(AvrDim1+14)=AnnéeCalendrier,MONTH(AvrDim1+14)=4),AvrDim1+14,""),IF(AND(YEAR(AvrDim1+21)=AnnéeCalendrier,MONTH(AvrDim1+21)=4),AvrDim1+21,""))</f>
        <v>44304</v>
      </c>
      <c r="I19" s="4"/>
      <c r="J19" s="6">
        <f>IF(DAY(MaiDim1)=1,IF(AND(YEAR(MaiDim1+8)=AnnéeCalendrier,MONTH(MaiDim1+8)=5),MaiDim1+8,""),IF(AND(YEAR(MaiDim1+15)=AnnéeCalendrier,MONTH(MaiDim1+15)=5),MaiDim1+15,""))</f>
        <v>44326</v>
      </c>
      <c r="K19" s="5">
        <f>IF(DAY(MaiDim1)=1,IF(AND(YEAR(MaiDim1+9)=AnnéeCalendrier,MONTH(MaiDim1+9)=5),MaiDim1+9,""),IF(AND(YEAR(MaiDim1+16)=AnnéeCalendrier,MONTH(MaiDim1+16)=5),MaiDim1+16,""))</f>
        <v>44327</v>
      </c>
      <c r="L19" s="5">
        <f>IF(DAY(MaiDim1)=1,IF(AND(YEAR(MaiDim1+10)=AnnéeCalendrier,MONTH(MaiDim1+10)=5),MaiDim1+10,""),IF(AND(YEAR(MaiDim1+17)=AnnéeCalendrier,MONTH(MaiDim1+17)=5),MaiDim1+17,""))</f>
        <v>44328</v>
      </c>
      <c r="M19" s="5">
        <f>IF(DAY(MaiDim1)=1,IF(AND(YEAR(MaiDim1+11)=AnnéeCalendrier,MONTH(MaiDim1+11)=5),MaiDim1+11,""),IF(AND(YEAR(MaiDim1+18)=AnnéeCalendrier,MONTH(MaiDim1+18)=5),MaiDim1+18,""))</f>
        <v>44329</v>
      </c>
      <c r="N19" s="5">
        <f>IF(DAY(MaiDim1)=1,IF(AND(YEAR(MaiDim1+12)=AnnéeCalendrier,MONTH(MaiDim1+12)=5),MaiDim1+12,""),IF(AND(YEAR(MaiDim1+19)=AnnéeCalendrier,MONTH(MaiDim1+19)=5),MaiDim1+19,""))</f>
        <v>44330</v>
      </c>
      <c r="O19" s="5">
        <f>IF(DAY(MaiDim1)=1,IF(AND(YEAR(MaiDim1+13)=AnnéeCalendrier,MONTH(MaiDim1+13)=5),MaiDim1+13,""),IF(AND(YEAR(MaiDim1+20)=AnnéeCalendrier,MONTH(MaiDim1+20)=5),MaiDim1+20,""))</f>
        <v>44331</v>
      </c>
      <c r="P19" s="7">
        <f>IF(DAY(MaiDim1)=1,IF(AND(YEAR(MaiDim1+14)=AnnéeCalendrier,MONTH(MaiDim1+14)=5),MaiDim1+14,""),IF(AND(YEAR(MaiDim1+21)=AnnéeCalendrier,MONTH(MaiDim1+21)=5),MaiDim1+21,""))</f>
        <v>44332</v>
      </c>
      <c r="Q19" s="4"/>
      <c r="R19" s="6">
        <f>IF(DAY(JunDim1)=1,IF(AND(YEAR(JunDim1+8)=AnnéeCalendrier,MONTH(JunDim1+8)=6),JunDim1+8,""),IF(AND(YEAR(JunDim1+15)=AnnéeCalendrier,MONTH(JunDim1+15)=6),JunDim1+15,""))</f>
        <v>44361</v>
      </c>
      <c r="S19" s="5">
        <f>IF(DAY(JunDim1)=1,IF(AND(YEAR(JunDim1+9)=AnnéeCalendrier,MONTH(JunDim1+9)=6),JunDim1+9,""),IF(AND(YEAR(JunDim1+16)=AnnéeCalendrier,MONTH(JunDim1+16)=6),JunDim1+16,""))</f>
        <v>44362</v>
      </c>
      <c r="T19" s="5">
        <f>IF(DAY(JunDim1)=1,IF(AND(YEAR(JunDim1+10)=AnnéeCalendrier,MONTH(JunDim1+10)=6),JunDim1+10,""),IF(AND(YEAR(JunDim1+17)=AnnéeCalendrier,MONTH(JunDim1+17)=6),JunDim1+17,""))</f>
        <v>44363</v>
      </c>
      <c r="U19" s="5">
        <f>IF(DAY(JunDim1)=1,IF(AND(YEAR(JunDim1+11)=AnnéeCalendrier,MONTH(JunDim1+11)=6),JunDim1+11,""),IF(AND(YEAR(JunDim1+18)=AnnéeCalendrier,MONTH(JunDim1+18)=6),JunDim1+18,""))</f>
        <v>44364</v>
      </c>
      <c r="V19" s="5">
        <f>IF(DAY(JunDim1)=1,IF(AND(YEAR(JunDim1+12)=AnnéeCalendrier,MONTH(JunDim1+12)=6),JunDim1+12,""),IF(AND(YEAR(JunDim1+19)=AnnéeCalendrier,MONTH(JunDim1+19)=6),JunDim1+19,""))</f>
        <v>44365</v>
      </c>
      <c r="W19" s="5">
        <f>IF(DAY(JunDim1)=1,IF(AND(YEAR(JunDim1+13)=AnnéeCalendrier,MONTH(JunDim1+13)=6),JunDim1+13,""),IF(AND(YEAR(JunDim1+20)=AnnéeCalendrier,MONTH(JunDim1+20)=6),JunDim1+20,""))</f>
        <v>44366</v>
      </c>
      <c r="X19" s="7">
        <f>IF(DAY(JunDim1)=1,IF(AND(YEAR(JunDim1+14)=AnnéeCalendrier,MONTH(JunDim1+14)=6),JunDim1+14,""),IF(AND(YEAR(JunDim1+21)=AnnéeCalendrier,MONTH(JunDim1+21)=6),JunDim1+21,""))</f>
        <v>44367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44305</v>
      </c>
      <c r="C20" s="5">
        <f>IF(DAY(AvrDim1)=1,IF(AND(YEAR(AvrDim1+16)=AnnéeCalendrier,MONTH(AvrDim1+16)=4),AvrDim1+16,""),IF(AND(YEAR(AvrDim1+23)=AnnéeCalendrier,MONTH(AvrDim1+23)=4),AvrDim1+23,""))</f>
        <v>44306</v>
      </c>
      <c r="D20" s="5">
        <f>IF(DAY(AvrDim1)=1,IF(AND(YEAR(AvrDim1+17)=AnnéeCalendrier,MONTH(AvrDim1+17)=4),AvrDim1+17,""),IF(AND(YEAR(AvrDim1+24)=AnnéeCalendrier,MONTH(AvrDim1+24)=4),AvrDim1+24,""))</f>
        <v>44307</v>
      </c>
      <c r="E20" s="5">
        <f>IF(DAY(AvrDim1)=1,IF(AND(YEAR(AvrDim1+18)=AnnéeCalendrier,MONTH(AvrDim1+18)=4),AvrDim1+18,""),IF(AND(YEAR(AvrDim1+25)=AnnéeCalendrier,MONTH(AvrDim1+25)=4),AvrDim1+25,""))</f>
        <v>44308</v>
      </c>
      <c r="F20" s="5">
        <f>IF(DAY(AvrDim1)=1,IF(AND(YEAR(AvrDim1+19)=AnnéeCalendrier,MONTH(AvrDim1+19)=4),AvrDim1+19,""),IF(AND(YEAR(AvrDim1+26)=AnnéeCalendrier,MONTH(AvrDim1+26)=4),AvrDim1+26,""))</f>
        <v>44309</v>
      </c>
      <c r="G20" s="5">
        <f>IF(DAY(AvrDim1)=1,IF(AND(YEAR(AvrDim1+20)=AnnéeCalendrier,MONTH(AvrDim1+20)=4),AvrDim1+20,""),IF(AND(YEAR(AvrDim1+27)=AnnéeCalendrier,MONTH(AvrDim1+27)=4),AvrDim1+27,""))</f>
        <v>44310</v>
      </c>
      <c r="H20" s="7">
        <f>IF(DAY(AvrDim1)=1,IF(AND(YEAR(AvrDim1+21)=AnnéeCalendrier,MONTH(AvrDim1+21)=4),AvrDim1+21,""),IF(AND(YEAR(AvrDim1+28)=AnnéeCalendrier,MONTH(AvrDim1+28)=4),AvrDim1+28,""))</f>
        <v>44311</v>
      </c>
      <c r="I20" s="4"/>
      <c r="J20" s="6">
        <f>IF(DAY(MaiDim1)=1,IF(AND(YEAR(MaiDim1+15)=AnnéeCalendrier,MONTH(MaiDim1+15)=5),MaiDim1+15,""),IF(AND(YEAR(MaiDim1+22)=AnnéeCalendrier,MONTH(MaiDim1+22)=5),MaiDim1+22,""))</f>
        <v>44333</v>
      </c>
      <c r="K20" s="5">
        <f>IF(DAY(MaiDim1)=1,IF(AND(YEAR(MaiDim1+16)=AnnéeCalendrier,MONTH(MaiDim1+16)=5),MaiDim1+16,""),IF(AND(YEAR(MaiDim1+23)=AnnéeCalendrier,MONTH(MaiDim1+23)=5),MaiDim1+23,""))</f>
        <v>44334</v>
      </c>
      <c r="L20" s="5">
        <f>IF(DAY(MaiDim1)=1,IF(AND(YEAR(MaiDim1+17)=AnnéeCalendrier,MONTH(MaiDim1+17)=5),MaiDim1+17,""),IF(AND(YEAR(MaiDim1+24)=AnnéeCalendrier,MONTH(MaiDim1+24)=5),MaiDim1+24,""))</f>
        <v>44335</v>
      </c>
      <c r="M20" s="5">
        <f>IF(DAY(MaiDim1)=1,IF(AND(YEAR(MaiDim1+18)=AnnéeCalendrier,MONTH(MaiDim1+18)=5),MaiDim1+18,""),IF(AND(YEAR(MaiDim1+25)=AnnéeCalendrier,MONTH(MaiDim1+25)=5),MaiDim1+25,""))</f>
        <v>44336</v>
      </c>
      <c r="N20" s="5">
        <f>IF(DAY(MaiDim1)=1,IF(AND(YEAR(MaiDim1+19)=AnnéeCalendrier,MONTH(MaiDim1+19)=5),MaiDim1+19,""),IF(AND(YEAR(MaiDim1+26)=AnnéeCalendrier,MONTH(MaiDim1+26)=5),MaiDim1+26,""))</f>
        <v>44337</v>
      </c>
      <c r="O20" s="5">
        <f>IF(DAY(MaiDim1)=1,IF(AND(YEAR(MaiDim1+20)=AnnéeCalendrier,MONTH(MaiDim1+20)=5),MaiDim1+20,""),IF(AND(YEAR(MaiDim1+27)=AnnéeCalendrier,MONTH(MaiDim1+27)=5),MaiDim1+27,""))</f>
        <v>44338</v>
      </c>
      <c r="P20" s="7">
        <f>IF(DAY(MaiDim1)=1,IF(AND(YEAR(MaiDim1+21)=AnnéeCalendrier,MONTH(MaiDim1+21)=5),MaiDim1+21,""),IF(AND(YEAR(MaiDim1+28)=AnnéeCalendrier,MONTH(MaiDim1+28)=5),MaiDim1+28,""))</f>
        <v>44339</v>
      </c>
      <c r="Q20" s="4"/>
      <c r="R20" s="6">
        <f>IF(DAY(JunDim1)=1,IF(AND(YEAR(JunDim1+15)=AnnéeCalendrier,MONTH(JunDim1+15)=6),JunDim1+15,""),IF(AND(YEAR(JunDim1+22)=AnnéeCalendrier,MONTH(JunDim1+22)=6),JunDim1+22,""))</f>
        <v>44368</v>
      </c>
      <c r="S20" s="5">
        <f>IF(DAY(JunDim1)=1,IF(AND(YEAR(JunDim1+16)=AnnéeCalendrier,MONTH(JunDim1+16)=6),JunDim1+16,""),IF(AND(YEAR(JunDim1+23)=AnnéeCalendrier,MONTH(JunDim1+23)=6),JunDim1+23,""))</f>
        <v>44369</v>
      </c>
      <c r="T20" s="5">
        <f>IF(DAY(JunDim1)=1,IF(AND(YEAR(JunDim1+17)=AnnéeCalendrier,MONTH(JunDim1+17)=6),JunDim1+17,""),IF(AND(YEAR(JunDim1+24)=AnnéeCalendrier,MONTH(JunDim1+24)=6),JunDim1+24,""))</f>
        <v>44370</v>
      </c>
      <c r="U20" s="5">
        <f>IF(DAY(JunDim1)=1,IF(AND(YEAR(JunDim1+18)=AnnéeCalendrier,MONTH(JunDim1+18)=6),JunDim1+18,""),IF(AND(YEAR(JunDim1+25)=AnnéeCalendrier,MONTH(JunDim1+25)=6),JunDim1+25,""))</f>
        <v>44371</v>
      </c>
      <c r="V20" s="5">
        <f>IF(DAY(JunDim1)=1,IF(AND(YEAR(JunDim1+19)=AnnéeCalendrier,MONTH(JunDim1+19)=6),JunDim1+19,""),IF(AND(YEAR(JunDim1+26)=AnnéeCalendrier,MONTH(JunDim1+26)=6),JunDim1+26,""))</f>
        <v>44372</v>
      </c>
      <c r="W20" s="5">
        <f>IF(DAY(JunDim1)=1,IF(AND(YEAR(JunDim1+20)=AnnéeCalendrier,MONTH(JunDim1+20)=6),JunDim1+20,""),IF(AND(YEAR(JunDim1+27)=AnnéeCalendrier,MONTH(JunDim1+27)=6),JunDim1+27,""))</f>
        <v>44373</v>
      </c>
      <c r="X20" s="7">
        <f>IF(DAY(JunDim1)=1,IF(AND(YEAR(JunDim1+21)=AnnéeCalendrier,MONTH(JunDim1+21)=6),JunDim1+21,""),IF(AND(YEAR(JunDim1+28)=AnnéeCalendrier,MONTH(JunDim1+28)=6),JunDim1+28,""))</f>
        <v>44374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44312</v>
      </c>
      <c r="C21" s="5">
        <f>IF(DAY(AvrDim1)=1,IF(AND(YEAR(AvrDim1+23)=AnnéeCalendrier,MONTH(AvrDim1+23)=4),AvrDim1+23,""),IF(AND(YEAR(AvrDim1+30)=AnnéeCalendrier,MONTH(AvrDim1+30)=4),AvrDim1+30,""))</f>
        <v>44313</v>
      </c>
      <c r="D21" s="5">
        <f>IF(DAY(AvrDim1)=1,IF(AND(YEAR(AvrDim1+24)=AnnéeCalendrier,MONTH(AvrDim1+24)=4),AvrDim1+24,""),IF(AND(YEAR(AvrDim1+31)=AnnéeCalendrier,MONTH(AvrDim1+31)=4),AvrDim1+31,""))</f>
        <v>44314</v>
      </c>
      <c r="E21" s="5">
        <f>IF(DAY(AvrDim1)=1,IF(AND(YEAR(AvrDim1+25)=AnnéeCalendrier,MONTH(AvrDim1+25)=4),AvrDim1+25,""),IF(AND(YEAR(AvrDim1+32)=AnnéeCalendrier,MONTH(AvrDim1+32)=4),AvrDim1+32,""))</f>
        <v>44315</v>
      </c>
      <c r="F21" s="5">
        <f>IF(DAY(AvrDim1)=1,IF(AND(YEAR(AvrDim1+26)=AnnéeCalendrier,MONTH(AvrDim1+26)=4),AvrDim1+26,""),IF(AND(YEAR(AvrDim1+33)=AnnéeCalendrier,MONTH(AvrDim1+33)=4),AvrDim1+33,""))</f>
        <v>44316</v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44340</v>
      </c>
      <c r="K21" s="5">
        <f>IF(DAY(MaiDim1)=1,IF(AND(YEAR(MaiDim1+23)=AnnéeCalendrier,MONTH(MaiDim1+23)=5),MaiDim1+23,""),IF(AND(YEAR(MaiDim1+30)=AnnéeCalendrier,MONTH(MaiDim1+30)=5),MaiDim1+30,""))</f>
        <v>44341</v>
      </c>
      <c r="L21" s="5">
        <f>IF(DAY(MaiDim1)=1,IF(AND(YEAR(MaiDim1+24)=AnnéeCalendrier,MONTH(MaiDim1+24)=5),MaiDim1+24,""),IF(AND(YEAR(MaiDim1+31)=AnnéeCalendrier,MONTH(MaiDim1+31)=5),MaiDim1+31,""))</f>
        <v>44342</v>
      </c>
      <c r="M21" s="5">
        <f>IF(DAY(MaiDim1)=1,IF(AND(YEAR(MaiDim1+25)=AnnéeCalendrier,MONTH(MaiDim1+25)=5),MaiDim1+25,""),IF(AND(YEAR(MaiDim1+32)=AnnéeCalendrier,MONTH(MaiDim1+32)=5),MaiDim1+32,""))</f>
        <v>44343</v>
      </c>
      <c r="N21" s="5">
        <f>IF(DAY(MaiDim1)=1,IF(AND(YEAR(MaiDim1+26)=AnnéeCalendrier,MONTH(MaiDim1+26)=5),MaiDim1+26,""),IF(AND(YEAR(MaiDim1+33)=AnnéeCalendrier,MONTH(MaiDim1+33)=5),MaiDim1+33,""))</f>
        <v>44344</v>
      </c>
      <c r="O21" s="5">
        <f>IF(DAY(MaiDim1)=1,IF(AND(YEAR(MaiDim1+27)=AnnéeCalendrier,MONTH(MaiDim1+27)=5),MaiDim1+27,""),IF(AND(YEAR(MaiDim1+34)=AnnéeCalendrier,MONTH(MaiDim1+34)=5),MaiDim1+34,""))</f>
        <v>44345</v>
      </c>
      <c r="P21" s="7">
        <f>IF(DAY(MaiDim1)=1,IF(AND(YEAR(MaiDim1+28)=AnnéeCalendrier,MONTH(MaiDim1+28)=5),MaiDim1+28,""),IF(AND(YEAR(MaiDim1+35)=AnnéeCalendrier,MONTH(MaiDim1+35)=5),MaiDim1+35,""))</f>
        <v>44346</v>
      </c>
      <c r="Q21" s="4"/>
      <c r="R21" s="6">
        <f>IF(DAY(JunDim1)=1,IF(AND(YEAR(JunDim1+22)=AnnéeCalendrier,MONTH(JunDim1+22)=6),JunDim1+22,""),IF(AND(YEAR(JunDim1+29)=AnnéeCalendrier,MONTH(JunDim1+29)=6),JunDim1+29,""))</f>
        <v>44375</v>
      </c>
      <c r="S21" s="5">
        <f>IF(DAY(JunDim1)=1,IF(AND(YEAR(JunDim1+23)=AnnéeCalendrier,MONTH(JunDim1+23)=6),JunDim1+23,""),IF(AND(YEAR(JunDim1+30)=AnnéeCalendrier,MONTH(JunDim1+30)=6),JunDim1+30,""))</f>
        <v>44376</v>
      </c>
      <c r="T21" s="5">
        <f>IF(DAY(JunDim1)=1,IF(AND(YEAR(JunDim1+24)=AnnéeCalendrier,MONTH(JunDim1+24)=6),JunDim1+24,""),IF(AND(YEAR(JunDim1+31)=AnnéeCalendrier,MONTH(JunDim1+31)=6),JunDim1+31,""))</f>
        <v>44377</v>
      </c>
      <c r="U21" s="5" t="str">
        <f>IF(DAY(JunDim1)=1,IF(AND(YEAR(JunDim1+25)=AnnéeCalendrier,MONTH(JunDim1+25)=6),JunDim1+25,""),IF(AND(YEAR(JunDim1+32)=AnnéeCalendrier,MONTH(JunDim1+32)=6),JunDim1+32,""))</f>
        <v/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>
        <f>IF(DAY(MaiDim1)=1,IF(AND(YEAR(MaiDim1+29)=AnnéeCalendrier,MONTH(MaiDim1+29)=5),MaiDim1+29,""),IF(AND(YEAR(MaiDim1+36)=AnnéeCalendrier,MONTH(MaiDim1+36)=5),MaiDim1+36,""))</f>
        <v>44347</v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>
        <f>IF(DAY(JulDim1)=1,"",IF(AND(YEAR(JulDim1+4)=AnnéeCalendrier,MONTH(JulDim1+4)=7),JulDim1+4,""))</f>
        <v>44378</v>
      </c>
      <c r="F26" s="5">
        <f>IF(DAY(JulDim1)=1,"",IF(AND(YEAR(JulDim1+5)=AnnéeCalendrier,MONTH(JulDim1+5)=7),JulDim1+5,""))</f>
        <v>44379</v>
      </c>
      <c r="G26" s="5">
        <f>IF(DAY(JulDim1)=1,"",IF(AND(YEAR(JulDim1+6)=AnnéeCalendrier,MONTH(JulDim1+6)=7),JulDim1+6,""))</f>
        <v>44380</v>
      </c>
      <c r="H26" s="7">
        <f>IF(DAY(JulDim1)=1,IF(AND(YEAR(JulDim1)=AnnéeCalendrier,MONTH(JulDim1)=7),JulDim1,""),IF(AND(YEAR(JulDim1+7)=AnnéeCalendrier,MONTH(JulDim1+7)=7),JulDim1+7,""))</f>
        <v>44381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 t="str">
        <f>IF(DAY(AouDim1)=1,"",IF(AND(YEAR(AouDim1+5)=AnnéeCalendrier,MONTH(AouDim1+5)=8),AouDim1+5,""))</f>
        <v/>
      </c>
      <c r="O26" s="5" t="str">
        <f>IF(DAY(AouDim1)=1,"",IF(AND(YEAR(AouDim1+6)=AnnéeCalendrier,MONTH(AouDim1+6)=8),AouDim1+6,""))</f>
        <v/>
      </c>
      <c r="P26" s="7">
        <f>IF(DAY(AouDim1)=1,IF(AND(YEAR(AouDim1)=AnnéeCalendrier,MONTH(AouDim1)=8),AouDim1,""),IF(AND(YEAR(AouDim1+7)=AnnéeCalendrier,MONTH(AouDim1+7)=8),AouDim1+7,""))</f>
        <v>44409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>
        <f>IF(DAY(SepDim1)=1,"",IF(AND(YEAR(SepDim1+3)=AnnéeCalendrier,MONTH(SepDim1+3)=9),SepDim1+3,""))</f>
        <v>44440</v>
      </c>
      <c r="U26" s="5">
        <f>IF(DAY(SepDim1)=1,"",IF(AND(YEAR(SepDim1+4)=AnnéeCalendrier,MONTH(SepDim1+4)=9),SepDim1+4,""))</f>
        <v>44441</v>
      </c>
      <c r="V26" s="5">
        <f>IF(DAY(SepDim1)=1,"",IF(AND(YEAR(SepDim1+5)=AnnéeCalendrier,MONTH(SepDim1+5)=9),SepDim1+5,""))</f>
        <v>44442</v>
      </c>
      <c r="W26" s="5">
        <f>IF(DAY(SepDim1)=1,"",IF(AND(YEAR(SepDim1+6)=AnnéeCalendrier,MONTH(SepDim1+6)=9),SepDim1+6,""))</f>
        <v>44443</v>
      </c>
      <c r="X26" s="7">
        <f>IF(DAY(SepDim1)=1,IF(AND(YEAR(SepDim1)=AnnéeCalendrier,MONTH(SepDim1)=9),SepDim1,""),IF(AND(YEAR(SepDim1+7)=AnnéeCalendrier,MONTH(SepDim1+7)=9),SepDim1+7,""))</f>
        <v>44444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44382</v>
      </c>
      <c r="C27" s="5">
        <f>IF(DAY(JulDim1)=1,IF(AND(YEAR(JulDim1+2)=AnnéeCalendrier,MONTH(JulDim1+2)=7),JulDim1+2,""),IF(AND(YEAR(JulDim1+9)=AnnéeCalendrier,MONTH(JulDim1+9)=7),JulDim1+9,""))</f>
        <v>44383</v>
      </c>
      <c r="D27" s="5">
        <f>IF(DAY(JulDim1)=1,IF(AND(YEAR(JulDim1+3)=AnnéeCalendrier,MONTH(JulDim1+3)=7),JulDim1+3,""),IF(AND(YEAR(JulDim1+10)=AnnéeCalendrier,MONTH(JulDim1+10)=7),JulDim1+10,""))</f>
        <v>44384</v>
      </c>
      <c r="E27" s="5">
        <f>IF(DAY(JulDim1)=1,IF(AND(YEAR(JulDim1+4)=AnnéeCalendrier,MONTH(JulDim1+4)=7),JulDim1+4,""),IF(AND(YEAR(JulDim1+11)=AnnéeCalendrier,MONTH(JulDim1+11)=7),JulDim1+11,""))</f>
        <v>44385</v>
      </c>
      <c r="F27" s="5">
        <f>IF(DAY(JulDim1)=1,IF(AND(YEAR(JulDim1+5)=AnnéeCalendrier,MONTH(JulDim1+5)=7),JulDim1+5,""),IF(AND(YEAR(JulDim1+12)=AnnéeCalendrier,MONTH(JulDim1+12)=7),JulDim1+12,""))</f>
        <v>44386</v>
      </c>
      <c r="G27" s="5">
        <f>IF(DAY(JulDim1)=1,IF(AND(YEAR(JulDim1+6)=AnnéeCalendrier,MONTH(JulDim1+6)=7),JulDim1+6,""),IF(AND(YEAR(JulDim1+13)=AnnéeCalendrier,MONTH(JulDim1+13)=7),JulDim1+13,""))</f>
        <v>44387</v>
      </c>
      <c r="H27" s="7">
        <f>IF(DAY(JulDim1)=1,IF(AND(YEAR(JulDim1+7)=AnnéeCalendrier,MONTH(JulDim1+7)=7),JulDim1+7,""),IF(AND(YEAR(JulDim1+14)=AnnéeCalendrier,MONTH(JulDim1+14)=7),JulDim1+14,""))</f>
        <v>44388</v>
      </c>
      <c r="J27" s="6">
        <f>IF(DAY(AouDim1)=1,IF(AND(YEAR(AouDim1+1)=AnnéeCalendrier,MONTH(AouDim1+1)=8),AouDim1+1,""),IF(AND(YEAR(AouDim1+8)=AnnéeCalendrier,MONTH(AouDim1+8)=8),AouDim1+8,""))</f>
        <v>44410</v>
      </c>
      <c r="K27" s="5">
        <f>IF(DAY(AouDim1)=1,IF(AND(YEAR(AouDim1+2)=AnnéeCalendrier,MONTH(AouDim1+2)=8),AouDim1+2,""),IF(AND(YEAR(AouDim1+9)=AnnéeCalendrier,MONTH(AouDim1+9)=8),AouDim1+9,""))</f>
        <v>44411</v>
      </c>
      <c r="L27" s="5">
        <f>IF(DAY(AouDim1)=1,IF(AND(YEAR(AouDim1+3)=AnnéeCalendrier,MONTH(AouDim1+3)=8),AouDim1+3,""),IF(AND(YEAR(AouDim1+10)=AnnéeCalendrier,MONTH(AouDim1+10)=8),AouDim1+10,""))</f>
        <v>44412</v>
      </c>
      <c r="M27" s="5">
        <f>IF(DAY(AouDim1)=1,IF(AND(YEAR(AouDim1+4)=AnnéeCalendrier,MONTH(AouDim1+4)=8),AouDim1+4,""),IF(AND(YEAR(AouDim1+11)=AnnéeCalendrier,MONTH(AouDim1+11)=8),AouDim1+11,""))</f>
        <v>44413</v>
      </c>
      <c r="N27" s="5">
        <f>IF(DAY(AouDim1)=1,IF(AND(YEAR(AouDim1+5)=AnnéeCalendrier,MONTH(AouDim1+5)=8),AouDim1+5,""),IF(AND(YEAR(AouDim1+12)=AnnéeCalendrier,MONTH(AouDim1+12)=8),AouDim1+12,""))</f>
        <v>44414</v>
      </c>
      <c r="O27" s="5">
        <f>IF(DAY(AouDim1)=1,IF(AND(YEAR(AouDim1+6)=AnnéeCalendrier,MONTH(AouDim1+6)=8),AouDim1+6,""),IF(AND(YEAR(AouDim1+13)=AnnéeCalendrier,MONTH(AouDim1+13)=8),AouDim1+13,""))</f>
        <v>44415</v>
      </c>
      <c r="P27" s="7">
        <f>IF(DAY(AouDim1)=1,IF(AND(YEAR(AouDim1+7)=AnnéeCalendrier,MONTH(AouDim1+7)=8),AouDim1+7,""),IF(AND(YEAR(AouDim1+14)=AnnéeCalendrier,MONTH(AouDim1+14)=8),AouDim1+14,""))</f>
        <v>44416</v>
      </c>
      <c r="Q27" s="1"/>
      <c r="R27" s="6">
        <f>IF(DAY(SepDim1)=1,IF(AND(YEAR(SepDim1+1)=AnnéeCalendrier,MONTH(SepDim1+1)=9),SepDim1+1,""),IF(AND(YEAR(SepDim1+8)=AnnéeCalendrier,MONTH(SepDim1+8)=9),SepDim1+8,""))</f>
        <v>44445</v>
      </c>
      <c r="S27" s="5">
        <f>IF(DAY(SepDim1)=1,IF(AND(YEAR(SepDim1+2)=AnnéeCalendrier,MONTH(SepDim1+2)=9),SepDim1+2,""),IF(AND(YEAR(SepDim1+9)=AnnéeCalendrier,MONTH(SepDim1+9)=9),SepDim1+9,""))</f>
        <v>44446</v>
      </c>
      <c r="T27" s="5">
        <f>IF(DAY(SepDim1)=1,IF(AND(YEAR(SepDim1+3)=AnnéeCalendrier,MONTH(SepDim1+3)=9),SepDim1+3,""),IF(AND(YEAR(SepDim1+10)=AnnéeCalendrier,MONTH(SepDim1+10)=9),SepDim1+10,""))</f>
        <v>44447</v>
      </c>
      <c r="U27" s="5">
        <f>IF(DAY(SepDim1)=1,IF(AND(YEAR(SepDim1+4)=AnnéeCalendrier,MONTH(SepDim1+4)=9),SepDim1+4,""),IF(AND(YEAR(SepDim1+11)=AnnéeCalendrier,MONTH(SepDim1+11)=9),SepDim1+11,""))</f>
        <v>44448</v>
      </c>
      <c r="V27" s="5">
        <f>IF(DAY(SepDim1)=1,IF(AND(YEAR(SepDim1+5)=AnnéeCalendrier,MONTH(SepDim1+5)=9),SepDim1+5,""),IF(AND(YEAR(SepDim1+12)=AnnéeCalendrier,MONTH(SepDim1+12)=9),SepDim1+12,""))</f>
        <v>44449</v>
      </c>
      <c r="W27" s="5">
        <f>IF(DAY(SepDim1)=1,IF(AND(YEAR(SepDim1+6)=AnnéeCalendrier,MONTH(SepDim1+6)=9),SepDim1+6,""),IF(AND(YEAR(SepDim1+13)=AnnéeCalendrier,MONTH(SepDim1+13)=9),SepDim1+13,""))</f>
        <v>44450</v>
      </c>
      <c r="X27" s="7">
        <f>IF(DAY(SepDim1)=1,IF(AND(YEAR(SepDim1+7)=AnnéeCalendrier,MONTH(SepDim1+7)=9),SepDim1+7,""),IF(AND(YEAR(SepDim1+14)=AnnéeCalendrier,MONTH(SepDim1+14)=9),SepDim1+14,""))</f>
        <v>44451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44389</v>
      </c>
      <c r="C28" s="5">
        <f>IF(DAY(JulDim1)=1,IF(AND(YEAR(JulDim1+9)=AnnéeCalendrier,MONTH(JulDim1+9)=7),JulDim1+9,""),IF(AND(YEAR(JulDim1+16)=AnnéeCalendrier,MONTH(JulDim1+16)=7),JulDim1+16,""))</f>
        <v>44390</v>
      </c>
      <c r="D28" s="5">
        <f>IF(DAY(JulDim1)=1,IF(AND(YEAR(JulDim1+10)=AnnéeCalendrier,MONTH(JulDim1+10)=7),JulDim1+10,""),IF(AND(YEAR(JulDim1+17)=AnnéeCalendrier,MONTH(JulDim1+17)=7),JulDim1+17,""))</f>
        <v>44391</v>
      </c>
      <c r="E28" s="5">
        <f>IF(DAY(JulDim1)=1,IF(AND(YEAR(JulDim1+11)=AnnéeCalendrier,MONTH(JulDim1+11)=7),JulDim1+11,""),IF(AND(YEAR(JulDim1+18)=AnnéeCalendrier,MONTH(JulDim1+18)=7),JulDim1+18,""))</f>
        <v>44392</v>
      </c>
      <c r="F28" s="5">
        <f>IF(DAY(JulDim1)=1,IF(AND(YEAR(JulDim1+12)=AnnéeCalendrier,MONTH(JulDim1+12)=7),JulDim1+12,""),IF(AND(YEAR(JulDim1+19)=AnnéeCalendrier,MONTH(JulDim1+19)=7),JulDim1+19,""))</f>
        <v>44393</v>
      </c>
      <c r="G28" s="5">
        <f>IF(DAY(JulDim1)=1,IF(AND(YEAR(JulDim1+13)=AnnéeCalendrier,MONTH(JulDim1+13)=7),JulDim1+13,""),IF(AND(YEAR(JulDim1+20)=AnnéeCalendrier,MONTH(JulDim1+20)=7),JulDim1+20,""))</f>
        <v>44394</v>
      </c>
      <c r="H28" s="7">
        <f>IF(DAY(JulDim1)=1,IF(AND(YEAR(JulDim1+14)=AnnéeCalendrier,MONTH(JulDim1+14)=7),JulDim1+14,""),IF(AND(YEAR(JulDim1+21)=AnnéeCalendrier,MONTH(JulDim1+21)=7),JulDim1+21,""))</f>
        <v>44395</v>
      </c>
      <c r="J28" s="6">
        <f>IF(DAY(AouDim1)=1,IF(AND(YEAR(AouDim1+8)=AnnéeCalendrier,MONTH(AouDim1+8)=8),AouDim1+8,""),IF(AND(YEAR(AouDim1+15)=AnnéeCalendrier,MONTH(AouDim1+15)=8),AouDim1+15,""))</f>
        <v>44417</v>
      </c>
      <c r="K28" s="5">
        <f>IF(DAY(AouDim1)=1,IF(AND(YEAR(AouDim1+9)=AnnéeCalendrier,MONTH(AouDim1+9)=8),AouDim1+9,""),IF(AND(YEAR(AouDim1+16)=AnnéeCalendrier,MONTH(AouDim1+16)=8),AouDim1+16,""))</f>
        <v>44418</v>
      </c>
      <c r="L28" s="5">
        <f>IF(DAY(AouDim1)=1,IF(AND(YEAR(AouDim1+10)=AnnéeCalendrier,MONTH(AouDim1+10)=8),AouDim1+10,""),IF(AND(YEAR(AouDim1+17)=AnnéeCalendrier,MONTH(AouDim1+17)=8),AouDim1+17,""))</f>
        <v>44419</v>
      </c>
      <c r="M28" s="5">
        <f>IF(DAY(AouDim1)=1,IF(AND(YEAR(AouDim1+11)=AnnéeCalendrier,MONTH(AouDim1+11)=8),AouDim1+11,""),IF(AND(YEAR(AouDim1+18)=AnnéeCalendrier,MONTH(AouDim1+18)=8),AouDim1+18,""))</f>
        <v>44420</v>
      </c>
      <c r="N28" s="5">
        <f>IF(DAY(AouDim1)=1,IF(AND(YEAR(AouDim1+12)=AnnéeCalendrier,MONTH(AouDim1+12)=8),AouDim1+12,""),IF(AND(YEAR(AouDim1+19)=AnnéeCalendrier,MONTH(AouDim1+19)=8),AouDim1+19,""))</f>
        <v>44421</v>
      </c>
      <c r="O28" s="5">
        <f>IF(DAY(AouDim1)=1,IF(AND(YEAR(AouDim1+13)=AnnéeCalendrier,MONTH(AouDim1+13)=8),AouDim1+13,""),IF(AND(YEAR(AouDim1+20)=AnnéeCalendrier,MONTH(AouDim1+20)=8),AouDim1+20,""))</f>
        <v>44422</v>
      </c>
      <c r="P28" s="7">
        <f>IF(DAY(AouDim1)=1,IF(AND(YEAR(AouDim1+14)=AnnéeCalendrier,MONTH(AouDim1+14)=8),AouDim1+14,""),IF(AND(YEAR(AouDim1+21)=AnnéeCalendrier,MONTH(AouDim1+21)=8),AouDim1+21,""))</f>
        <v>44423</v>
      </c>
      <c r="Q28" s="1"/>
      <c r="R28" s="6">
        <f>IF(DAY(SepDim1)=1,IF(AND(YEAR(SepDim1+8)=AnnéeCalendrier,MONTH(SepDim1+8)=9),SepDim1+8,""),IF(AND(YEAR(SepDim1+15)=AnnéeCalendrier,MONTH(SepDim1+15)=9),SepDim1+15,""))</f>
        <v>44452</v>
      </c>
      <c r="S28" s="5">
        <f>IF(DAY(SepDim1)=1,IF(AND(YEAR(SepDim1+9)=AnnéeCalendrier,MONTH(SepDim1+9)=9),SepDim1+9,""),IF(AND(YEAR(SepDim1+16)=AnnéeCalendrier,MONTH(SepDim1+16)=9),SepDim1+16,""))</f>
        <v>44453</v>
      </c>
      <c r="T28" s="5">
        <f>IF(DAY(SepDim1)=1,IF(AND(YEAR(SepDim1+10)=AnnéeCalendrier,MONTH(SepDim1+10)=9),SepDim1+10,""),IF(AND(YEAR(SepDim1+17)=AnnéeCalendrier,MONTH(SepDim1+17)=9),SepDim1+17,""))</f>
        <v>44454</v>
      </c>
      <c r="U28" s="5">
        <f>IF(DAY(SepDim1)=1,IF(AND(YEAR(SepDim1+11)=AnnéeCalendrier,MONTH(SepDim1+11)=9),SepDim1+11,""),IF(AND(YEAR(SepDim1+18)=AnnéeCalendrier,MONTH(SepDim1+18)=9),SepDim1+18,""))</f>
        <v>44455</v>
      </c>
      <c r="V28" s="5">
        <f>IF(DAY(SepDim1)=1,IF(AND(YEAR(SepDim1+12)=AnnéeCalendrier,MONTH(SepDim1+12)=9),SepDim1+12,""),IF(AND(YEAR(SepDim1+19)=AnnéeCalendrier,MONTH(SepDim1+19)=9),SepDim1+19,""))</f>
        <v>44456</v>
      </c>
      <c r="W28" s="5">
        <f>IF(DAY(SepDim1)=1,IF(AND(YEAR(SepDim1+13)=AnnéeCalendrier,MONTH(SepDim1+13)=9),SepDim1+13,""),IF(AND(YEAR(SepDim1+20)=AnnéeCalendrier,MONTH(SepDim1+20)=9),SepDim1+20,""))</f>
        <v>44457</v>
      </c>
      <c r="X28" s="7">
        <f>IF(DAY(SepDim1)=1,IF(AND(YEAR(SepDim1+14)=AnnéeCalendrier,MONTH(SepDim1+14)=9),SepDim1+14,""),IF(AND(YEAR(SepDim1+21)=AnnéeCalendrier,MONTH(SepDim1+21)=9),SepDim1+21,""))</f>
        <v>44458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44396</v>
      </c>
      <c r="C29" s="5">
        <f>IF(DAY(JulDim1)=1,IF(AND(YEAR(JulDim1+16)=AnnéeCalendrier,MONTH(JulDim1+16)=7),JulDim1+16,""),IF(AND(YEAR(JulDim1+23)=AnnéeCalendrier,MONTH(JulDim1+23)=7),JulDim1+23,""))</f>
        <v>44397</v>
      </c>
      <c r="D29" s="5">
        <f>IF(DAY(JulDim1)=1,IF(AND(YEAR(JulDim1+17)=AnnéeCalendrier,MONTH(JulDim1+17)=7),JulDim1+17,""),IF(AND(YEAR(JulDim1+24)=AnnéeCalendrier,MONTH(JulDim1+24)=7),JulDim1+24,""))</f>
        <v>44398</v>
      </c>
      <c r="E29" s="5">
        <f>IF(DAY(JulDim1)=1,IF(AND(YEAR(JulDim1+18)=AnnéeCalendrier,MONTH(JulDim1+18)=7),JulDim1+18,""),IF(AND(YEAR(JulDim1+25)=AnnéeCalendrier,MONTH(JulDim1+25)=7),JulDim1+25,""))</f>
        <v>44399</v>
      </c>
      <c r="F29" s="5">
        <f>IF(DAY(JulDim1)=1,IF(AND(YEAR(JulDim1+19)=AnnéeCalendrier,MONTH(JulDim1+19)=7),JulDim1+19,""),IF(AND(YEAR(JulDim1+26)=AnnéeCalendrier,MONTH(JulDim1+26)=7),JulDim1+26,""))</f>
        <v>44400</v>
      </c>
      <c r="G29" s="5">
        <f>IF(DAY(JulDim1)=1,IF(AND(YEAR(JulDim1+20)=AnnéeCalendrier,MONTH(JulDim1+20)=7),JulDim1+20,""),IF(AND(YEAR(JulDim1+27)=AnnéeCalendrier,MONTH(JulDim1+27)=7),JulDim1+27,""))</f>
        <v>44401</v>
      </c>
      <c r="H29" s="7">
        <f>IF(DAY(JulDim1)=1,IF(AND(YEAR(JulDim1+21)=AnnéeCalendrier,MONTH(JulDim1+21)=7),JulDim1+21,""),IF(AND(YEAR(JulDim1+28)=AnnéeCalendrier,MONTH(JulDim1+28)=7),JulDim1+28,""))</f>
        <v>44402</v>
      </c>
      <c r="J29" s="6">
        <f>IF(DAY(AouDim1)=1,IF(AND(YEAR(AouDim1+15)=AnnéeCalendrier,MONTH(AouDim1+15)=8),AouDim1+15,""),IF(AND(YEAR(AouDim1+22)=AnnéeCalendrier,MONTH(AouDim1+22)=8),AouDim1+22,""))</f>
        <v>44424</v>
      </c>
      <c r="K29" s="5">
        <f>IF(DAY(AouDim1)=1,IF(AND(YEAR(AouDim1+16)=AnnéeCalendrier,MONTH(AouDim1+16)=8),AouDim1+16,""),IF(AND(YEAR(AouDim1+23)=AnnéeCalendrier,MONTH(AouDim1+23)=8),AouDim1+23,""))</f>
        <v>44425</v>
      </c>
      <c r="L29" s="5">
        <f>IF(DAY(AouDim1)=1,IF(AND(YEAR(AouDim1+17)=AnnéeCalendrier,MONTH(AouDim1+17)=8),AouDim1+17,""),IF(AND(YEAR(AouDim1+24)=AnnéeCalendrier,MONTH(AouDim1+24)=8),AouDim1+24,""))</f>
        <v>44426</v>
      </c>
      <c r="M29" s="5">
        <f>IF(DAY(AouDim1)=1,IF(AND(YEAR(AouDim1+18)=AnnéeCalendrier,MONTH(AouDim1+18)=8),AouDim1+18,""),IF(AND(YEAR(AouDim1+25)=AnnéeCalendrier,MONTH(AouDim1+25)=8),AouDim1+25,""))</f>
        <v>44427</v>
      </c>
      <c r="N29" s="5">
        <f>IF(DAY(AouDim1)=1,IF(AND(YEAR(AouDim1+19)=AnnéeCalendrier,MONTH(AouDim1+19)=8),AouDim1+19,""),IF(AND(YEAR(AouDim1+26)=AnnéeCalendrier,MONTH(AouDim1+26)=8),AouDim1+26,""))</f>
        <v>44428</v>
      </c>
      <c r="O29" s="5">
        <f>IF(DAY(AouDim1)=1,IF(AND(YEAR(AouDim1+20)=AnnéeCalendrier,MONTH(AouDim1+20)=8),AouDim1+20,""),IF(AND(YEAR(AouDim1+27)=AnnéeCalendrier,MONTH(AouDim1+27)=8),AouDim1+27,""))</f>
        <v>44429</v>
      </c>
      <c r="P29" s="7">
        <f>IF(DAY(AouDim1)=1,IF(AND(YEAR(AouDim1+21)=AnnéeCalendrier,MONTH(AouDim1+21)=8),AouDim1+21,""),IF(AND(YEAR(AouDim1+28)=AnnéeCalendrier,MONTH(AouDim1+28)=8),AouDim1+28,""))</f>
        <v>44430</v>
      </c>
      <c r="Q29" s="1"/>
      <c r="R29" s="6">
        <f>IF(DAY(SepDim1)=1,IF(AND(YEAR(SepDim1+15)=AnnéeCalendrier,MONTH(SepDim1+15)=9),SepDim1+15,""),IF(AND(YEAR(SepDim1+22)=AnnéeCalendrier,MONTH(SepDim1+22)=9),SepDim1+22,""))</f>
        <v>44459</v>
      </c>
      <c r="S29" s="5">
        <f>IF(DAY(SepDim1)=1,IF(AND(YEAR(SepDim1+16)=AnnéeCalendrier,MONTH(SepDim1+16)=9),SepDim1+16,""),IF(AND(YEAR(SepDim1+23)=AnnéeCalendrier,MONTH(SepDim1+23)=9),SepDim1+23,""))</f>
        <v>44460</v>
      </c>
      <c r="T29" s="5">
        <f>IF(DAY(SepDim1)=1,IF(AND(YEAR(SepDim1+17)=AnnéeCalendrier,MONTH(SepDim1+17)=9),SepDim1+17,""),IF(AND(YEAR(SepDim1+24)=AnnéeCalendrier,MONTH(SepDim1+24)=9),SepDim1+24,""))</f>
        <v>44461</v>
      </c>
      <c r="U29" s="5">
        <f>IF(DAY(SepDim1)=1,IF(AND(YEAR(SepDim1+18)=AnnéeCalendrier,MONTH(SepDim1+18)=9),SepDim1+18,""),IF(AND(YEAR(SepDim1+25)=AnnéeCalendrier,MONTH(SepDim1+25)=9),SepDim1+25,""))</f>
        <v>44462</v>
      </c>
      <c r="V29" s="5">
        <f>IF(DAY(SepDim1)=1,IF(AND(YEAR(SepDim1+19)=AnnéeCalendrier,MONTH(SepDim1+19)=9),SepDim1+19,""),IF(AND(YEAR(SepDim1+26)=AnnéeCalendrier,MONTH(SepDim1+26)=9),SepDim1+26,""))</f>
        <v>44463</v>
      </c>
      <c r="W29" s="5">
        <f>IF(DAY(SepDim1)=1,IF(AND(YEAR(SepDim1+20)=AnnéeCalendrier,MONTH(SepDim1+20)=9),SepDim1+20,""),IF(AND(YEAR(SepDim1+27)=AnnéeCalendrier,MONTH(SepDim1+27)=9),SepDim1+27,""))</f>
        <v>44464</v>
      </c>
      <c r="X29" s="7">
        <f>IF(DAY(SepDim1)=1,IF(AND(YEAR(SepDim1+21)=AnnéeCalendrier,MONTH(SepDim1+21)=9),SepDim1+21,""),IF(AND(YEAR(SepDim1+28)=AnnéeCalendrier,MONTH(SepDim1+28)=9),SepDim1+28,""))</f>
        <v>44465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44403</v>
      </c>
      <c r="C30" s="5">
        <f>IF(DAY(JulDim1)=1,IF(AND(YEAR(JulDim1+23)=AnnéeCalendrier,MONTH(JulDim1+23)=7),JulDim1+23,""),IF(AND(YEAR(JulDim1+30)=AnnéeCalendrier,MONTH(JulDim1+30)=7),JulDim1+30,""))</f>
        <v>44404</v>
      </c>
      <c r="D30" s="5">
        <f>IF(DAY(JulDim1)=1,IF(AND(YEAR(JulDim1+24)=AnnéeCalendrier,MONTH(JulDim1+24)=7),JulDim1+24,""),IF(AND(YEAR(JulDim1+31)=AnnéeCalendrier,MONTH(JulDim1+31)=7),JulDim1+31,""))</f>
        <v>44405</v>
      </c>
      <c r="E30" s="5">
        <f>IF(DAY(JulDim1)=1,IF(AND(YEAR(JulDim1+25)=AnnéeCalendrier,MONTH(JulDim1+25)=7),JulDim1+25,""),IF(AND(YEAR(JulDim1+32)=AnnéeCalendrier,MONTH(JulDim1+32)=7),JulDim1+32,""))</f>
        <v>44406</v>
      </c>
      <c r="F30" s="5">
        <f>IF(DAY(JulDim1)=1,IF(AND(YEAR(JulDim1+26)=AnnéeCalendrier,MONTH(JulDim1+26)=7),JulDim1+26,""),IF(AND(YEAR(JulDim1+33)=AnnéeCalendrier,MONTH(JulDim1+33)=7),JulDim1+33,""))</f>
        <v>44407</v>
      </c>
      <c r="G30" s="5">
        <f>IF(DAY(JulDim1)=1,IF(AND(YEAR(JulDim1+27)=AnnéeCalendrier,MONTH(JulDim1+27)=7),JulDim1+27,""),IF(AND(YEAR(JulDim1+34)=AnnéeCalendrier,MONTH(JulDim1+34)=7),JulDim1+34,""))</f>
        <v>44408</v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44431</v>
      </c>
      <c r="K30" s="5">
        <f>IF(DAY(AouDim1)=1,IF(AND(YEAR(AouDim1+23)=AnnéeCalendrier,MONTH(AouDim1+23)=8),AouDim1+23,""),IF(AND(YEAR(AouDim1+30)=AnnéeCalendrier,MONTH(AouDim1+30)=8),AouDim1+30,""))</f>
        <v>44432</v>
      </c>
      <c r="L30" s="5">
        <f>IF(DAY(AouDim1)=1,IF(AND(YEAR(AouDim1+24)=AnnéeCalendrier,MONTH(AouDim1+24)=8),AouDim1+24,""),IF(AND(YEAR(AouDim1+31)=AnnéeCalendrier,MONTH(AouDim1+31)=8),AouDim1+31,""))</f>
        <v>44433</v>
      </c>
      <c r="M30" s="5">
        <f>IF(DAY(AouDim1)=1,IF(AND(YEAR(AouDim1+25)=AnnéeCalendrier,MONTH(AouDim1+25)=8),AouDim1+25,""),IF(AND(YEAR(AouDim1+32)=AnnéeCalendrier,MONTH(AouDim1+32)=8),AouDim1+32,""))</f>
        <v>44434</v>
      </c>
      <c r="N30" s="5">
        <f>IF(DAY(AouDim1)=1,IF(AND(YEAR(AouDim1+26)=AnnéeCalendrier,MONTH(AouDim1+26)=8),AouDim1+26,""),IF(AND(YEAR(AouDim1+33)=AnnéeCalendrier,MONTH(AouDim1+33)=8),AouDim1+33,""))</f>
        <v>44435</v>
      </c>
      <c r="O30" s="5">
        <f>IF(DAY(AouDim1)=1,IF(AND(YEAR(AouDim1+27)=AnnéeCalendrier,MONTH(AouDim1+27)=8),AouDim1+27,""),IF(AND(YEAR(AouDim1+34)=AnnéeCalendrier,MONTH(AouDim1+34)=8),AouDim1+34,""))</f>
        <v>44436</v>
      </c>
      <c r="P30" s="7">
        <f>IF(DAY(AouDim1)=1,IF(AND(YEAR(AouDim1+28)=AnnéeCalendrier,MONTH(AouDim1+28)=8),AouDim1+28,""),IF(AND(YEAR(AouDim1+35)=AnnéeCalendrier,MONTH(AouDim1+35)=8),AouDim1+35,""))</f>
        <v>44437</v>
      </c>
      <c r="Q30" s="1"/>
      <c r="R30" s="6">
        <f>IF(DAY(SepDim1)=1,IF(AND(YEAR(SepDim1+22)=AnnéeCalendrier,MONTH(SepDim1+22)=9),SepDim1+22,""),IF(AND(YEAR(SepDim1+29)=AnnéeCalendrier,MONTH(SepDim1+29)=9),SepDim1+29,""))</f>
        <v>44466</v>
      </c>
      <c r="S30" s="5">
        <f>IF(DAY(SepDim1)=1,IF(AND(YEAR(SepDim1+23)=AnnéeCalendrier,MONTH(SepDim1+23)=9),SepDim1+23,""),IF(AND(YEAR(SepDim1+30)=AnnéeCalendrier,MONTH(SepDim1+30)=9),SepDim1+30,""))</f>
        <v>44467</v>
      </c>
      <c r="T30" s="5">
        <f>IF(DAY(SepDim1)=1,IF(AND(YEAR(SepDim1+24)=AnnéeCalendrier,MONTH(SepDim1+24)=9),SepDim1+24,""),IF(AND(YEAR(SepDim1+31)=AnnéeCalendrier,MONTH(SepDim1+31)=9),SepDim1+31,""))</f>
        <v>44468</v>
      </c>
      <c r="U30" s="5">
        <f>IF(DAY(SepDim1)=1,IF(AND(YEAR(SepDim1+25)=AnnéeCalendrier,MONTH(SepDim1+25)=9),SepDim1+25,""),IF(AND(YEAR(SepDim1+32)=AnnéeCalendrier,MONTH(SepDim1+32)=9),SepDim1+32,""))</f>
        <v>44469</v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>
        <f>IF(DAY(AouDim1)=1,IF(AND(YEAR(AouDim1+29)=AnnéeCalendrier,MONTH(AouDim1+29)=8),AouDim1+29,""),IF(AND(YEAR(AouDim1+36)=AnnéeCalendrier,MONTH(AouDim1+36)=8),AouDim1+36,""))</f>
        <v>44438</v>
      </c>
      <c r="K31" s="9">
        <f>IF(DAY(AouDim1)=1,IF(AND(YEAR(AouDim1+30)=AnnéeCalendrier,MONTH(AouDim1+30)=8),AouDim1+30,""),IF(AND(YEAR(AouDim1+37)=AnnéeCalendrier,MONTH(AouDim1+37)=8),AouDim1+37,""))</f>
        <v>44439</v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>
        <f>IF(DAY(OctDim1)=1,"",IF(AND(YEAR(OctDim1+5)=AnnéeCalendrier,MONTH(OctDim1+5)=10),OctDim1+5,""))</f>
        <v>44470</v>
      </c>
      <c r="G35" s="5">
        <f>IF(DAY(OctDim1)=1,"",IF(AND(YEAR(OctDim1+6)=AnnéeCalendrier,MONTH(OctDim1+6)=10),OctDim1+6,""))</f>
        <v>44471</v>
      </c>
      <c r="H35" s="7">
        <f>IF(DAY(OctDim1)=1,IF(AND(YEAR(OctDim1)=AnnéeCalendrier,MONTH(OctDim1)=10),OctDim1,""),IF(AND(YEAR(OctDim1+7)=AnnéeCalendrier,MONTH(OctDim1+7)=10),OctDim1+7,""))</f>
        <v>44472</v>
      </c>
      <c r="I35" s="4"/>
      <c r="J35" s="6">
        <f>IF(DAY(NovDim1)=1,"",IF(AND(YEAR(NovDim1+1)=AnnéeCalendrier,MONTH(NovDim1+1)=11),NovDim1+1,""))</f>
        <v>44501</v>
      </c>
      <c r="K35" s="5">
        <f>IF(DAY(NovDim1)=1,"",IF(AND(YEAR(NovDim1+2)=AnnéeCalendrier,MONTH(NovDim1+2)=11),NovDim1+2,""))</f>
        <v>44502</v>
      </c>
      <c r="L35" s="5">
        <f>IF(DAY(NovDim1)=1,"",IF(AND(YEAR(NovDim1+3)=AnnéeCalendrier,MONTH(NovDim1+3)=11),NovDim1+3,""))</f>
        <v>44503</v>
      </c>
      <c r="M35" s="5">
        <f>IF(DAY(NovDim1)=1,"",IF(AND(YEAR(NovDim1+4)=AnnéeCalendrier,MONTH(NovDim1+4)=11),NovDim1+4,""))</f>
        <v>44504</v>
      </c>
      <c r="N35" s="5">
        <f>IF(DAY(NovDim1)=1,"",IF(AND(YEAR(NovDim1+5)=AnnéeCalendrier,MONTH(NovDim1+5)=11),NovDim1+5,""))</f>
        <v>44505</v>
      </c>
      <c r="O35" s="5">
        <f>IF(DAY(NovDim1)=1,"",IF(AND(YEAR(NovDim1+6)=AnnéeCalendrier,MONTH(NovDim1+6)=11),NovDim1+6,""))</f>
        <v>44506</v>
      </c>
      <c r="P35" s="7">
        <f>IF(DAY(NovDim1)=1,IF(AND(YEAR(NovDim1)=AnnéeCalendrier,MONTH(NovDim1)=11),NovDim1,""),IF(AND(YEAR(NovDim1+7)=AnnéeCalendrier,MONTH(NovDim1+7)=11),NovDim1+7,""))</f>
        <v>44507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44473</v>
      </c>
      <c r="C36" s="5">
        <f>IF(DAY(OctDim1)=1,IF(AND(YEAR(OctDim1+2)=AnnéeCalendrier,MONTH(OctDim1+2)=10),OctDim1+2,""),IF(AND(YEAR(OctDim1+9)=AnnéeCalendrier,MONTH(OctDim1+9)=10),OctDim1+9,""))</f>
        <v>44474</v>
      </c>
      <c r="D36" s="5">
        <f>IF(DAY(OctDim1)=1,IF(AND(YEAR(OctDim1+3)=AnnéeCalendrier,MONTH(OctDim1+3)=10),OctDim1+3,""),IF(AND(YEAR(OctDim1+10)=AnnéeCalendrier,MONTH(OctDim1+10)=10),OctDim1+10,""))</f>
        <v>44475</v>
      </c>
      <c r="E36" s="5">
        <f>IF(DAY(OctDim1)=1,IF(AND(YEAR(OctDim1+4)=AnnéeCalendrier,MONTH(OctDim1+4)=10),OctDim1+4,""),IF(AND(YEAR(OctDim1+11)=AnnéeCalendrier,MONTH(OctDim1+11)=10),OctDim1+11,""))</f>
        <v>44476</v>
      </c>
      <c r="F36" s="5">
        <f>IF(DAY(OctDim1)=1,IF(AND(YEAR(OctDim1+5)=AnnéeCalendrier,MONTH(OctDim1+5)=10),OctDim1+5,""),IF(AND(YEAR(OctDim1+12)=AnnéeCalendrier,MONTH(OctDim1+12)=10),OctDim1+12,""))</f>
        <v>44477</v>
      </c>
      <c r="G36" s="5">
        <f>IF(DAY(OctDim1)=1,IF(AND(YEAR(OctDim1+6)=AnnéeCalendrier,MONTH(OctDim1+6)=10),OctDim1+6,""),IF(AND(YEAR(OctDim1+13)=AnnéeCalendrier,MONTH(OctDim1+13)=10),OctDim1+13,""))</f>
        <v>44478</v>
      </c>
      <c r="H36" s="7">
        <f>IF(DAY(OctDim1)=1,IF(AND(YEAR(OctDim1+7)=AnnéeCalendrier,MONTH(OctDim1+7)=10),OctDim1+7,""),IF(AND(YEAR(OctDim1+14)=AnnéeCalendrier,MONTH(OctDim1+14)=10),OctDim1+14,""))</f>
        <v>44479</v>
      </c>
      <c r="I36" s="4"/>
      <c r="J36" s="6">
        <f>IF(DAY(NovDim1)=1,IF(AND(YEAR(NovDim1+1)=AnnéeCalendrier,MONTH(NovDim1+1)=11),NovDim1+1,""),IF(AND(YEAR(NovDim1+8)=AnnéeCalendrier,MONTH(NovDim1+8)=11),NovDim1+8,""))</f>
        <v>44508</v>
      </c>
      <c r="K36" s="5">
        <f>IF(DAY(NovDim1)=1,IF(AND(YEAR(NovDim1+2)=AnnéeCalendrier,MONTH(NovDim1+2)=11),NovDim1+2,""),IF(AND(YEAR(NovDim1+9)=AnnéeCalendrier,MONTH(NovDim1+9)=11),NovDim1+9,""))</f>
        <v>44509</v>
      </c>
      <c r="L36" s="5">
        <f>IF(DAY(NovDim1)=1,IF(AND(YEAR(NovDim1+3)=AnnéeCalendrier,MONTH(NovDim1+3)=11),NovDim1+3,""),IF(AND(YEAR(NovDim1+10)=AnnéeCalendrier,MONTH(NovDim1+10)=11),NovDim1+10,""))</f>
        <v>44510</v>
      </c>
      <c r="M36" s="5">
        <f>IF(DAY(NovDim1)=1,IF(AND(YEAR(NovDim1+4)=AnnéeCalendrier,MONTH(NovDim1+4)=11),NovDim1+4,""),IF(AND(YEAR(NovDim1+11)=AnnéeCalendrier,MONTH(NovDim1+11)=11),NovDim1+11,""))</f>
        <v>44511</v>
      </c>
      <c r="N36" s="5">
        <f>IF(DAY(NovDim1)=1,IF(AND(YEAR(NovDim1+5)=AnnéeCalendrier,MONTH(NovDim1+5)=11),NovDim1+5,""),IF(AND(YEAR(NovDim1+12)=AnnéeCalendrier,MONTH(NovDim1+12)=11),NovDim1+12,""))</f>
        <v>44512</v>
      </c>
      <c r="O36" s="5">
        <f>IF(DAY(NovDim1)=1,IF(AND(YEAR(NovDim1+6)=AnnéeCalendrier,MONTH(NovDim1+6)=11),NovDim1+6,""),IF(AND(YEAR(NovDim1+13)=AnnéeCalendrier,MONTH(NovDim1+13)=11),NovDim1+13,""))</f>
        <v>44513</v>
      </c>
      <c r="P36" s="7">
        <f>IF(DAY(NovDim1)=1,IF(AND(YEAR(NovDim1+7)=AnnéeCalendrier,MONTH(NovDim1+7)=11),NovDim1+7,""),IF(AND(YEAR(NovDim1+14)=AnnéeCalendrier,MONTH(NovDim1+14)=11),NovDim1+14,""))</f>
        <v>44514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44480</v>
      </c>
      <c r="C37" s="5">
        <f>IF(DAY(OctDim1)=1,IF(AND(YEAR(OctDim1+9)=AnnéeCalendrier,MONTH(OctDim1+9)=10),OctDim1+9,""),IF(AND(YEAR(OctDim1+16)=AnnéeCalendrier,MONTH(OctDim1+16)=10),OctDim1+16,""))</f>
        <v>44481</v>
      </c>
      <c r="D37" s="5">
        <f>IF(DAY(OctDim1)=1,IF(AND(YEAR(OctDim1+10)=AnnéeCalendrier,MONTH(OctDim1+10)=10),OctDim1+10,""),IF(AND(YEAR(OctDim1+17)=AnnéeCalendrier,MONTH(OctDim1+17)=10),OctDim1+17,""))</f>
        <v>44482</v>
      </c>
      <c r="E37" s="5">
        <f>IF(DAY(OctDim1)=1,IF(AND(YEAR(OctDim1+11)=AnnéeCalendrier,MONTH(OctDim1+11)=10),OctDim1+11,""),IF(AND(YEAR(OctDim1+18)=AnnéeCalendrier,MONTH(OctDim1+18)=10),OctDim1+18,""))</f>
        <v>44483</v>
      </c>
      <c r="F37" s="5">
        <f>IF(DAY(OctDim1)=1,IF(AND(YEAR(OctDim1+12)=AnnéeCalendrier,MONTH(OctDim1+12)=10),OctDim1+12,""),IF(AND(YEAR(OctDim1+19)=AnnéeCalendrier,MONTH(OctDim1+19)=10),OctDim1+19,""))</f>
        <v>44484</v>
      </c>
      <c r="G37" s="5">
        <f>IF(DAY(OctDim1)=1,IF(AND(YEAR(OctDim1+13)=AnnéeCalendrier,MONTH(OctDim1+13)=10),OctDim1+13,""),IF(AND(YEAR(OctDim1+20)=AnnéeCalendrier,MONTH(OctDim1+20)=10),OctDim1+20,""))</f>
        <v>44485</v>
      </c>
      <c r="H37" s="7">
        <f>IF(DAY(OctDim1)=1,IF(AND(YEAR(OctDim1+14)=AnnéeCalendrier,MONTH(OctDim1+14)=10),OctDim1+14,""),IF(AND(YEAR(OctDim1+21)=AnnéeCalendrier,MONTH(OctDim1+21)=10),OctDim1+21,""))</f>
        <v>44486</v>
      </c>
      <c r="I37" s="4"/>
      <c r="J37" s="6">
        <f>IF(DAY(NovDim1)=1,IF(AND(YEAR(NovDim1+8)=AnnéeCalendrier,MONTH(NovDim1+8)=11),NovDim1+8,""),IF(AND(YEAR(NovDim1+15)=AnnéeCalendrier,MONTH(NovDim1+15)=11),NovDim1+15,""))</f>
        <v>44515</v>
      </c>
      <c r="K37" s="5">
        <f>IF(DAY(NovDim1)=1,IF(AND(YEAR(NovDim1+9)=AnnéeCalendrier,MONTH(NovDim1+9)=11),NovDim1+9,""),IF(AND(YEAR(NovDim1+16)=AnnéeCalendrier,MONTH(NovDim1+16)=11),NovDim1+16,""))</f>
        <v>44516</v>
      </c>
      <c r="L37" s="5">
        <f>IF(DAY(NovDim1)=1,IF(AND(YEAR(NovDim1+10)=AnnéeCalendrier,MONTH(NovDim1+10)=11),NovDim1+10,""),IF(AND(YEAR(NovDim1+17)=AnnéeCalendrier,MONTH(NovDim1+17)=11),NovDim1+17,""))</f>
        <v>44517</v>
      </c>
      <c r="M37" s="5">
        <f>IF(DAY(NovDim1)=1,IF(AND(YEAR(NovDim1+11)=AnnéeCalendrier,MONTH(NovDim1+11)=11),NovDim1+11,""),IF(AND(YEAR(NovDim1+18)=AnnéeCalendrier,MONTH(NovDim1+18)=11),NovDim1+18,""))</f>
        <v>44518</v>
      </c>
      <c r="N37" s="5">
        <f>IF(DAY(NovDim1)=1,IF(AND(YEAR(NovDim1+12)=AnnéeCalendrier,MONTH(NovDim1+12)=11),NovDim1+12,""),IF(AND(YEAR(NovDim1+19)=AnnéeCalendrier,MONTH(NovDim1+19)=11),NovDim1+19,""))</f>
        <v>44519</v>
      </c>
      <c r="O37" s="5">
        <f>IF(DAY(NovDim1)=1,IF(AND(YEAR(NovDim1+13)=AnnéeCalendrier,MONTH(NovDim1+13)=11),NovDim1+13,""),IF(AND(YEAR(NovDim1+20)=AnnéeCalendrier,MONTH(NovDim1+20)=11),NovDim1+20,""))</f>
        <v>44520</v>
      </c>
      <c r="P37" s="7">
        <f>IF(DAY(NovDim1)=1,IF(AND(YEAR(NovDim1+14)=AnnéeCalendrier,MONTH(NovDim1+14)=11),NovDim1+14,""),IF(AND(YEAR(NovDim1+21)=AnnéeCalendrier,MONTH(NovDim1+21)=11),NovDim1+21,""))</f>
        <v>44521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44487</v>
      </c>
      <c r="C38" s="5">
        <f>IF(DAY(OctDim1)=1,IF(AND(YEAR(OctDim1+16)=AnnéeCalendrier,MONTH(OctDim1+16)=10),OctDim1+16,""),IF(AND(YEAR(OctDim1+23)=AnnéeCalendrier,MONTH(OctDim1+23)=10),OctDim1+23,""))</f>
        <v>44488</v>
      </c>
      <c r="D38" s="5">
        <f>IF(DAY(OctDim1)=1,IF(AND(YEAR(OctDim1+17)=AnnéeCalendrier,MONTH(OctDim1+17)=10),OctDim1+17,""),IF(AND(YEAR(OctDim1+24)=AnnéeCalendrier,MONTH(OctDim1+24)=10),OctDim1+24,""))</f>
        <v>44489</v>
      </c>
      <c r="E38" s="5">
        <f>IF(DAY(OctDim1)=1,IF(AND(YEAR(OctDim1+18)=AnnéeCalendrier,MONTH(OctDim1+18)=10),OctDim1+18,""),IF(AND(YEAR(OctDim1+25)=AnnéeCalendrier,MONTH(OctDim1+25)=10),OctDim1+25,""))</f>
        <v>44490</v>
      </c>
      <c r="F38" s="5">
        <f>IF(DAY(OctDim1)=1,IF(AND(YEAR(OctDim1+19)=AnnéeCalendrier,MONTH(OctDim1+19)=10),OctDim1+19,""),IF(AND(YEAR(OctDim1+26)=AnnéeCalendrier,MONTH(OctDim1+26)=10),OctDim1+26,""))</f>
        <v>44491</v>
      </c>
      <c r="G38" s="5">
        <f>IF(DAY(OctDim1)=1,IF(AND(YEAR(OctDim1+20)=AnnéeCalendrier,MONTH(OctDim1+20)=10),OctDim1+20,""),IF(AND(YEAR(OctDim1+27)=AnnéeCalendrier,MONTH(OctDim1+27)=10),OctDim1+27,""))</f>
        <v>44492</v>
      </c>
      <c r="H38" s="7">
        <f>IF(DAY(OctDim1)=1,IF(AND(YEAR(OctDim1+21)=AnnéeCalendrier,MONTH(OctDim1+21)=10),OctDim1+21,""),IF(AND(YEAR(OctDim1+28)=AnnéeCalendrier,MONTH(OctDim1+28)=10),OctDim1+28,""))</f>
        <v>44493</v>
      </c>
      <c r="I38" s="4"/>
      <c r="J38" s="6">
        <f>IF(DAY(NovDim1)=1,IF(AND(YEAR(NovDim1+15)=AnnéeCalendrier,MONTH(NovDim1+15)=11),NovDim1+15,""),IF(AND(YEAR(NovDim1+22)=AnnéeCalendrier,MONTH(NovDim1+22)=11),NovDim1+22,""))</f>
        <v>44522</v>
      </c>
      <c r="K38" s="5">
        <f>IF(DAY(NovDim1)=1,IF(AND(YEAR(NovDim1+16)=AnnéeCalendrier,MONTH(NovDim1+16)=11),NovDim1+16,""),IF(AND(YEAR(NovDim1+23)=AnnéeCalendrier,MONTH(NovDim1+23)=11),NovDim1+23,""))</f>
        <v>44523</v>
      </c>
      <c r="L38" s="5">
        <f>IF(DAY(NovDim1)=1,IF(AND(YEAR(NovDim1+17)=AnnéeCalendrier,MONTH(NovDim1+17)=11),NovDim1+17,""),IF(AND(YEAR(NovDim1+24)=AnnéeCalendrier,MONTH(NovDim1+24)=11),NovDim1+24,""))</f>
        <v>44524</v>
      </c>
      <c r="M38" s="5">
        <f>IF(DAY(NovDim1)=1,IF(AND(YEAR(NovDim1+18)=AnnéeCalendrier,MONTH(NovDim1+18)=11),NovDim1+18,""),IF(AND(YEAR(NovDim1+25)=AnnéeCalendrier,MONTH(NovDim1+25)=11),NovDim1+25,""))</f>
        <v>44525</v>
      </c>
      <c r="N38" s="5">
        <f>IF(DAY(NovDim1)=1,IF(AND(YEAR(NovDim1+19)=AnnéeCalendrier,MONTH(NovDim1+19)=11),NovDim1+19,""),IF(AND(YEAR(NovDim1+26)=AnnéeCalendrier,MONTH(NovDim1+26)=11),NovDim1+26,""))</f>
        <v>44526</v>
      </c>
      <c r="O38" s="5">
        <f>IF(DAY(NovDim1)=1,IF(AND(YEAR(NovDim1+20)=AnnéeCalendrier,MONTH(NovDim1+20)=11),NovDim1+20,""),IF(AND(YEAR(NovDim1+27)=AnnéeCalendrier,MONTH(NovDim1+27)=11),NovDim1+27,""))</f>
        <v>44527</v>
      </c>
      <c r="P38" s="7">
        <f>IF(DAY(NovDim1)=1,IF(AND(YEAR(NovDim1+21)=AnnéeCalendrier,MONTH(NovDim1+21)=11),NovDim1+21,""),IF(AND(YEAR(NovDim1+28)=AnnéeCalendrier,MONTH(NovDim1+28)=11),NovDim1+28,""))</f>
        <v>44528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44494</v>
      </c>
      <c r="C39" s="5">
        <f>IF(DAY(OctDim1)=1,IF(AND(YEAR(OctDim1+23)=AnnéeCalendrier,MONTH(OctDim1+23)=10),OctDim1+23,""),IF(AND(YEAR(OctDim1+30)=AnnéeCalendrier,MONTH(OctDim1+30)=10),OctDim1+30,""))</f>
        <v>44495</v>
      </c>
      <c r="D39" s="5">
        <f>IF(DAY(OctDim1)=1,IF(AND(YEAR(OctDim1+24)=AnnéeCalendrier,MONTH(OctDim1+24)=10),OctDim1+24,""),IF(AND(YEAR(OctDim1+31)=AnnéeCalendrier,MONTH(OctDim1+31)=10),OctDim1+31,""))</f>
        <v>44496</v>
      </c>
      <c r="E39" s="5">
        <f>IF(DAY(OctDim1)=1,IF(AND(YEAR(OctDim1+25)=AnnéeCalendrier,MONTH(OctDim1+25)=10),OctDim1+25,""),IF(AND(YEAR(OctDim1+32)=AnnéeCalendrier,MONTH(OctDim1+32)=10),OctDim1+32,""))</f>
        <v>44497</v>
      </c>
      <c r="F39" s="5">
        <f>IF(DAY(OctDim1)=1,IF(AND(YEAR(OctDim1+26)=AnnéeCalendrier,MONTH(OctDim1+26)=10),OctDim1+26,""),IF(AND(YEAR(OctDim1+33)=AnnéeCalendrier,MONTH(OctDim1+33)=10),OctDim1+33,""))</f>
        <v>44498</v>
      </c>
      <c r="G39" s="5">
        <f>IF(DAY(OctDim1)=1,IF(AND(YEAR(OctDim1+27)=AnnéeCalendrier,MONTH(OctDim1+27)=10),OctDim1+27,""),IF(AND(YEAR(OctDim1+34)=AnnéeCalendrier,MONTH(OctDim1+34)=10),OctDim1+34,""))</f>
        <v>44499</v>
      </c>
      <c r="H39" s="7">
        <f>IF(DAY(OctDim1)=1,IF(AND(YEAR(OctDim1+28)=AnnéeCalendrier,MONTH(OctDim1+28)=10),OctDim1+28,""),IF(AND(YEAR(OctDim1+35)=AnnéeCalendrier,MONTH(OctDim1+35)=10),OctDim1+35,""))</f>
        <v>44500</v>
      </c>
      <c r="I39" s="4"/>
      <c r="J39" s="6">
        <f>IF(DAY(NovDim1)=1,IF(AND(YEAR(NovDim1+22)=AnnéeCalendrier,MONTH(NovDim1+22)=11),NovDim1+22,""),IF(AND(YEAR(NovDim1+29)=AnnéeCalendrier,MONTH(NovDim1+29)=11),NovDim1+29,""))</f>
        <v>44529</v>
      </c>
      <c r="K39" s="5">
        <f>IF(DAY(NovDim1)=1,IF(AND(YEAR(NovDim1+23)=AnnéeCalendrier,MONTH(NovDim1+23)=11),NovDim1+23,""),IF(AND(YEAR(NovDim1+30)=AnnéeCalendrier,MONTH(NovDim1+30)=11),NovDim1+30,""))</f>
        <v>44530</v>
      </c>
      <c r="L39" s="5" t="str">
        <f>IF(DAY(NovDim1)=1,IF(AND(YEAR(NovDim1+24)=AnnéeCalendrier,MONTH(NovDim1+24)=11),NovDim1+24,""),IF(AND(YEAR(NovDim1+31)=AnnéeCalendrier,MONTH(NovDim1+31)=11),NovDim1+31,""))</f>
        <v/>
      </c>
      <c r="M39" s="5" t="str">
        <f>IF(DAY(NovDim1)=1,IF(AND(YEAR(NovDim1+25)=AnnéeCalendrier,MONTH(NovDim1+25)=11),NovDim1+25,""),IF(AND(YEAR(NovDim1+32)=AnnéeCalendrier,MONTH(NovDim1+32)=11),NovDim1+32,""))</f>
        <v/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240" priority="1">
      <formula>LEN(TRIM(B8))&gt;0</formula>
    </cfRule>
  </conditionalFormatting>
  <conditionalFormatting sqref="J8:P13">
    <cfRule type="notContainsBlanks" dxfId="1239" priority="2">
      <formula>LEN(TRIM(J8))&gt;0</formula>
    </cfRule>
  </conditionalFormatting>
  <conditionalFormatting sqref="R8:X13">
    <cfRule type="notContainsBlanks" dxfId="1238" priority="3">
      <formula>LEN(TRIM(R8))&gt;0</formula>
    </cfRule>
  </conditionalFormatting>
  <conditionalFormatting sqref="B17:H22">
    <cfRule type="notContainsBlanks" dxfId="1237" priority="4">
      <formula>LEN(TRIM(B17))&gt;0</formula>
    </cfRule>
  </conditionalFormatting>
  <conditionalFormatting sqref="J17:P22">
    <cfRule type="notContainsBlanks" dxfId="1236" priority="5">
      <formula>LEN(TRIM(J17))&gt;0</formula>
    </cfRule>
  </conditionalFormatting>
  <conditionalFormatting sqref="R17:X22">
    <cfRule type="notContainsBlanks" dxfId="1235" priority="6">
      <formula>LEN(TRIM(R17))&gt;0</formula>
    </cfRule>
  </conditionalFormatting>
  <conditionalFormatting sqref="R35:X40">
    <cfRule type="notContainsBlanks" dxfId="1234" priority="12">
      <formula>LEN(TRIM(R35))&gt;0</formula>
    </cfRule>
  </conditionalFormatting>
  <conditionalFormatting sqref="B26:H31">
    <cfRule type="notContainsBlanks" dxfId="1233" priority="7">
      <formula>LEN(TRIM(B26))&gt;0</formula>
    </cfRule>
  </conditionalFormatting>
  <conditionalFormatting sqref="J26:P31">
    <cfRule type="notContainsBlanks" dxfId="1232" priority="8">
      <formula>LEN(TRIM(J26))&gt;0</formula>
    </cfRule>
  </conditionalFormatting>
  <conditionalFormatting sqref="R26:X31">
    <cfRule type="notContainsBlanks" dxfId="1231" priority="9">
      <formula>LEN(TRIM(R26))&gt;0</formula>
    </cfRule>
  </conditionalFormatting>
  <conditionalFormatting sqref="B35:H40">
    <cfRule type="notContainsBlanks" dxfId="1230" priority="10">
      <formula>LEN(TRIM(B35))&gt;0</formula>
    </cfRule>
  </conditionalFormatting>
  <conditionalFormatting sqref="J35:P40">
    <cfRule type="notContainsBlanks" dxfId="1229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4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4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wsTCalendar6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2022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>
        <f>IF(DAY(JanDim1)=1,"",IF(AND(YEAR(JanDim1+6)=AnnéeCalendrier,MONTH(JanDim1+6)=1),JanDim1+6,""))</f>
        <v>44562</v>
      </c>
      <c r="H8" s="5">
        <f>IF(DAY(JanDim1)=1,IF(AND(YEAR(JanDim1)=AnnéeCalendrier,MONTH(JanDim1)=1),JanDim1,""),IF(AND(YEAR(JanDim1+7)=AnnéeCalendrier,MONTH(JanDim1+7)=1),JanDim1+7,""))</f>
        <v>44563</v>
      </c>
      <c r="I8" s="4"/>
      <c r="J8" s="5" t="str">
        <f>IF(DAY(FévDim1)=1,"",IF(AND(YEAR(FévDim1+1)=AnnéeCalendrier,MONTH(FévDim1+1)=2),FévDim1+1,""))</f>
        <v/>
      </c>
      <c r="K8" s="5">
        <f>IF(DAY(FévDim1)=1,"",IF(AND(YEAR(FévDim1+2)=AnnéeCalendrier,MONTH(FévDim1+2)=2),FévDim1+2,""))</f>
        <v>44593</v>
      </c>
      <c r="L8" s="5">
        <f>IF(DAY(FévDim1)=1,"",IF(AND(YEAR(FévDim1+3)=AnnéeCalendrier,MONTH(FévDim1+3)=2),FévDim1+3,""))</f>
        <v>44594</v>
      </c>
      <c r="M8" s="5">
        <f>IF(DAY(FévDim1)=1,"",IF(AND(YEAR(FévDim1+4)=AnnéeCalendrier,MONTH(FévDim1+4)=2),FévDim1+4,""))</f>
        <v>44595</v>
      </c>
      <c r="N8" s="5">
        <f>IF(DAY(FévDim1)=1,"",IF(AND(YEAR(FévDim1+5)=AnnéeCalendrier,MONTH(FévDim1+5)=2),FévDim1+5,""))</f>
        <v>44596</v>
      </c>
      <c r="O8" s="5">
        <f>IF(DAY(FévDim1)=1,"",IF(AND(YEAR(FévDim1+6)=AnnéeCalendrier,MONTH(FévDim1+6)=2),FévDim1+6,""))</f>
        <v>44597</v>
      </c>
      <c r="P8" s="5">
        <f>IF(DAY(FévDim1)=1,IF(AND(YEAR(FévDim1)=AnnéeCalendrier,MONTH(FévDim1)=2),FévDim1,""),IF(AND(YEAR(FévDim1+7)=AnnéeCalendrier,MONTH(FévDim1+7)=2),FévDim1+7,""))</f>
        <v>44598</v>
      </c>
      <c r="Q8" s="4"/>
      <c r="R8" s="5" t="str">
        <f>IF(DAY(MarDim1)=1,"",IF(AND(YEAR(MarDim1+1)=AnnéeCalendrier,MONTH(MarDim1+1)=3),MarDim1+1,""))</f>
        <v/>
      </c>
      <c r="S8" s="5">
        <f>IF(DAY(MarDim1)=1,"",IF(AND(YEAR(MarDim1+2)=AnnéeCalendrier,MONTH(MarDim1+2)=3),MarDim1+2,""))</f>
        <v>44621</v>
      </c>
      <c r="T8" s="5">
        <f>IF(DAY(MarDim1)=1,"",IF(AND(YEAR(MarDim1+3)=AnnéeCalendrier,MONTH(MarDim1+3)=3),MarDim1+3,""))</f>
        <v>44622</v>
      </c>
      <c r="U8" s="5">
        <f>IF(DAY(MarDim1)=1,"",IF(AND(YEAR(MarDim1+4)=AnnéeCalendrier,MONTH(MarDim1+4)=3),MarDim1+4,""))</f>
        <v>44623</v>
      </c>
      <c r="V8" s="5">
        <f>IF(DAY(MarDim1)=1,"",IF(AND(YEAR(MarDim1+5)=AnnéeCalendrier,MONTH(MarDim1+5)=3),MarDim1+5,""))</f>
        <v>44624</v>
      </c>
      <c r="W8" s="5">
        <f>IF(DAY(MarDim1)=1,"",IF(AND(YEAR(MarDim1+6)=AnnéeCalendrier,MONTH(MarDim1+6)=3),MarDim1+6,""))</f>
        <v>44625</v>
      </c>
      <c r="X8" s="5">
        <f>IF(DAY(MarDim1)=1,IF(AND(YEAR(MarDim1)=AnnéeCalendrier,MONTH(MarDim1)=3),MarDim1,""),IF(AND(YEAR(MarDim1+7)=AnnéeCalendrier,MONTH(MarDim1+7)=3),MarDim1+7,""))</f>
        <v>44626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44564</v>
      </c>
      <c r="C9" s="5">
        <f>IF(DAY(JanDim1)=1,IF(AND(YEAR(JanDim1+2)=AnnéeCalendrier,MONTH(JanDim1+2)=1),JanDim1+2,""),IF(AND(YEAR(JanDim1+9)=AnnéeCalendrier,MONTH(JanDim1+9)=1),JanDim1+9,""))</f>
        <v>44565</v>
      </c>
      <c r="D9" s="5">
        <f>IF(DAY(JanDim1)=1,IF(AND(YEAR(JanDim1+3)=AnnéeCalendrier,MONTH(JanDim1+3)=1),JanDim1+3,""),IF(AND(YEAR(JanDim1+10)=AnnéeCalendrier,MONTH(JanDim1+10)=1),JanDim1+10,""))</f>
        <v>44566</v>
      </c>
      <c r="E9" s="5">
        <f>IF(DAY(JanDim1)=1,IF(AND(YEAR(JanDim1+4)=AnnéeCalendrier,MONTH(JanDim1+4)=1),JanDim1+4,""),IF(AND(YEAR(JanDim1+11)=AnnéeCalendrier,MONTH(JanDim1+11)=1),JanDim1+11,""))</f>
        <v>44567</v>
      </c>
      <c r="F9" s="5">
        <f>IF(DAY(JanDim1)=1,IF(AND(YEAR(JanDim1+5)=AnnéeCalendrier,MONTH(JanDim1+5)=1),JanDim1+5,""),IF(AND(YEAR(JanDim1+12)=AnnéeCalendrier,MONTH(JanDim1+12)=1),JanDim1+12,""))</f>
        <v>44568</v>
      </c>
      <c r="G9" s="5">
        <f>IF(DAY(JanDim1)=1,IF(AND(YEAR(JanDim1+6)=AnnéeCalendrier,MONTH(JanDim1+6)=1),JanDim1+6,""),IF(AND(YEAR(JanDim1+13)=AnnéeCalendrier,MONTH(JanDim1+13)=1),JanDim1+13,""))</f>
        <v>44569</v>
      </c>
      <c r="H9" s="5">
        <f>IF(DAY(JanDim1)=1,IF(AND(YEAR(JanDim1+7)=AnnéeCalendrier,MONTH(JanDim1+7)=1),JanDim1+7,""),IF(AND(YEAR(JanDim1+14)=AnnéeCalendrier,MONTH(JanDim1+14)=1),JanDim1+14,""))</f>
        <v>44570</v>
      </c>
      <c r="I9" s="4"/>
      <c r="J9" s="5">
        <f>IF(DAY(FévDim1)=1,IF(AND(YEAR(FévDim1+1)=AnnéeCalendrier,MONTH(FévDim1+1)=2),FévDim1+1,""),IF(AND(YEAR(FévDim1+8)=AnnéeCalendrier,MONTH(FévDim1+8)=2),FévDim1+8,""))</f>
        <v>44599</v>
      </c>
      <c r="K9" s="5">
        <f>IF(DAY(FévDim1)=1,IF(AND(YEAR(FévDim1+2)=AnnéeCalendrier,MONTH(FévDim1+2)=2),FévDim1+2,""),IF(AND(YEAR(FévDim1+9)=AnnéeCalendrier,MONTH(FévDim1+9)=2),FévDim1+9,""))</f>
        <v>44600</v>
      </c>
      <c r="L9" s="5">
        <f>IF(DAY(FévDim1)=1,IF(AND(YEAR(FévDim1+3)=AnnéeCalendrier,MONTH(FévDim1+3)=2),FévDim1+3,""),IF(AND(YEAR(FévDim1+10)=AnnéeCalendrier,MONTH(FévDim1+10)=2),FévDim1+10,""))</f>
        <v>44601</v>
      </c>
      <c r="M9" s="5">
        <f>IF(DAY(FévDim1)=1,IF(AND(YEAR(FévDim1+4)=AnnéeCalendrier,MONTH(FévDim1+4)=2),FévDim1+4,""),IF(AND(YEAR(FévDim1+11)=AnnéeCalendrier,MONTH(FévDim1+11)=2),FévDim1+11,""))</f>
        <v>44602</v>
      </c>
      <c r="N9" s="5">
        <f>IF(DAY(FévDim1)=1,IF(AND(YEAR(FévDim1+5)=AnnéeCalendrier,MONTH(FévDim1+5)=2),FévDim1+5,""),IF(AND(YEAR(FévDim1+12)=AnnéeCalendrier,MONTH(FévDim1+12)=2),FévDim1+12,""))</f>
        <v>44603</v>
      </c>
      <c r="O9" s="5">
        <f>IF(DAY(FévDim1)=1,IF(AND(YEAR(FévDim1+6)=AnnéeCalendrier,MONTH(FévDim1+6)=2),FévDim1+6,""),IF(AND(YEAR(FévDim1+13)=AnnéeCalendrier,MONTH(FévDim1+13)=2),FévDim1+13,""))</f>
        <v>44604</v>
      </c>
      <c r="P9" s="5">
        <f>IF(DAY(FévDim1)=1,IF(AND(YEAR(FévDim1+7)=AnnéeCalendrier,MONTH(FévDim1+7)=2),FévDim1+7,""),IF(AND(YEAR(FévDim1+14)=AnnéeCalendrier,MONTH(FévDim1+14)=2),FévDim1+14,""))</f>
        <v>44605</v>
      </c>
      <c r="Q9" s="4"/>
      <c r="R9" s="5">
        <f>IF(DAY(MarDim1)=1,IF(AND(YEAR(MarDim1+1)=AnnéeCalendrier,MONTH(MarDim1+1)=3),MarDim1+1,""),IF(AND(YEAR(MarDim1+8)=AnnéeCalendrier,MONTH(MarDim1+8)=3),MarDim1+8,""))</f>
        <v>44627</v>
      </c>
      <c r="S9" s="5">
        <f>IF(DAY(MarDim1)=1,IF(AND(YEAR(MarDim1+2)=AnnéeCalendrier,MONTH(MarDim1+2)=3),MarDim1+2,""),IF(AND(YEAR(MarDim1+9)=AnnéeCalendrier,MONTH(MarDim1+9)=3),MarDim1+9,""))</f>
        <v>44628</v>
      </c>
      <c r="T9" s="5">
        <f>IF(DAY(MarDim1)=1,IF(AND(YEAR(MarDim1+3)=AnnéeCalendrier,MONTH(MarDim1+3)=3),MarDim1+3,""),IF(AND(YEAR(MarDim1+10)=AnnéeCalendrier,MONTH(MarDim1+10)=3),MarDim1+10,""))</f>
        <v>44629</v>
      </c>
      <c r="U9" s="5">
        <f>IF(DAY(MarDim1)=1,IF(AND(YEAR(MarDim1+4)=AnnéeCalendrier,MONTH(MarDim1+4)=3),MarDim1+4,""),IF(AND(YEAR(MarDim1+11)=AnnéeCalendrier,MONTH(MarDim1+11)=3),MarDim1+11,""))</f>
        <v>44630</v>
      </c>
      <c r="V9" s="5">
        <f>IF(DAY(MarDim1)=1,IF(AND(YEAR(MarDim1+5)=AnnéeCalendrier,MONTH(MarDim1+5)=3),MarDim1+5,""),IF(AND(YEAR(MarDim1+12)=AnnéeCalendrier,MONTH(MarDim1+12)=3),MarDim1+12,""))</f>
        <v>44631</v>
      </c>
      <c r="W9" s="5">
        <f>IF(DAY(MarDim1)=1,IF(AND(YEAR(MarDim1+6)=AnnéeCalendrier,MONTH(MarDim1+6)=3),MarDim1+6,""),IF(AND(YEAR(MarDim1+13)=AnnéeCalendrier,MONTH(MarDim1+13)=3),MarDim1+13,""))</f>
        <v>44632</v>
      </c>
      <c r="X9" s="5">
        <f>IF(DAY(MarDim1)=1,IF(AND(YEAR(MarDim1+7)=AnnéeCalendrier,MONTH(MarDim1+7)=3),MarDim1+7,""),IF(AND(YEAR(MarDim1+14)=AnnéeCalendrier,MONTH(MarDim1+14)=3),MarDim1+14,""))</f>
        <v>44633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44571</v>
      </c>
      <c r="C10" s="5">
        <f>IF(DAY(JanDim1)=1,IF(AND(YEAR(JanDim1+9)=AnnéeCalendrier,MONTH(JanDim1+9)=1),JanDim1+9,""),IF(AND(YEAR(JanDim1+16)=AnnéeCalendrier,MONTH(JanDim1+16)=1),JanDim1+16,""))</f>
        <v>44572</v>
      </c>
      <c r="D10" s="5">
        <f>IF(DAY(JanDim1)=1,IF(AND(YEAR(JanDim1+10)=AnnéeCalendrier,MONTH(JanDim1+10)=1),JanDim1+10,""),IF(AND(YEAR(JanDim1+17)=AnnéeCalendrier,MONTH(JanDim1+17)=1),JanDim1+17,""))</f>
        <v>44573</v>
      </c>
      <c r="E10" s="5">
        <f>IF(DAY(JanDim1)=1,IF(AND(YEAR(JanDim1+11)=AnnéeCalendrier,MONTH(JanDim1+11)=1),JanDim1+11,""),IF(AND(YEAR(JanDim1+18)=AnnéeCalendrier,MONTH(JanDim1+18)=1),JanDim1+18,""))</f>
        <v>44574</v>
      </c>
      <c r="F10" s="5">
        <f>IF(DAY(JanDim1)=1,IF(AND(YEAR(JanDim1+12)=AnnéeCalendrier,MONTH(JanDim1+12)=1),JanDim1+12,""),IF(AND(YEAR(JanDim1+19)=AnnéeCalendrier,MONTH(JanDim1+19)=1),JanDim1+19,""))</f>
        <v>44575</v>
      </c>
      <c r="G10" s="5">
        <f>IF(DAY(JanDim1)=1,IF(AND(YEAR(JanDim1+13)=AnnéeCalendrier,MONTH(JanDim1+13)=1),JanDim1+13,""),IF(AND(YEAR(JanDim1+20)=AnnéeCalendrier,MONTH(JanDim1+20)=1),JanDim1+20,""))</f>
        <v>44576</v>
      </c>
      <c r="H10" s="5">
        <f>IF(DAY(JanDim1)=1,IF(AND(YEAR(JanDim1+14)=AnnéeCalendrier,MONTH(JanDim1+14)=1),JanDim1+14,""),IF(AND(YEAR(JanDim1+21)=AnnéeCalendrier,MONTH(JanDim1+21)=1),JanDim1+21,""))</f>
        <v>44577</v>
      </c>
      <c r="I10" s="4"/>
      <c r="J10" s="5">
        <f>IF(DAY(FévDim1)=1,IF(AND(YEAR(FévDim1+8)=AnnéeCalendrier,MONTH(FévDim1+8)=2),FévDim1+8,""),IF(AND(YEAR(FévDim1+15)=AnnéeCalendrier,MONTH(FévDim1+15)=2),FévDim1+15,""))</f>
        <v>44606</v>
      </c>
      <c r="K10" s="5">
        <f>IF(DAY(FévDim1)=1,IF(AND(YEAR(FévDim1+9)=AnnéeCalendrier,MONTH(FévDim1+9)=2),FévDim1+9,""),IF(AND(YEAR(FévDim1+16)=AnnéeCalendrier,MONTH(FévDim1+16)=2),FévDim1+16,""))</f>
        <v>44607</v>
      </c>
      <c r="L10" s="5">
        <f>IF(DAY(FévDim1)=1,IF(AND(YEAR(FévDim1+10)=AnnéeCalendrier,MONTH(FévDim1+10)=2),FévDim1+10,""),IF(AND(YEAR(FévDim1+17)=AnnéeCalendrier,MONTH(FévDim1+17)=2),FévDim1+17,""))</f>
        <v>44608</v>
      </c>
      <c r="M10" s="5">
        <f>IF(DAY(FévDim1)=1,IF(AND(YEAR(FévDim1+11)=AnnéeCalendrier,MONTH(FévDim1+11)=2),FévDim1+11,""),IF(AND(YEAR(FévDim1+18)=AnnéeCalendrier,MONTH(FévDim1+18)=2),FévDim1+18,""))</f>
        <v>44609</v>
      </c>
      <c r="N10" s="5">
        <f>IF(DAY(FévDim1)=1,IF(AND(YEAR(FévDim1+12)=AnnéeCalendrier,MONTH(FévDim1+12)=2),FévDim1+12,""),IF(AND(YEAR(FévDim1+19)=AnnéeCalendrier,MONTH(FévDim1+19)=2),FévDim1+19,""))</f>
        <v>44610</v>
      </c>
      <c r="O10" s="5">
        <f>IF(DAY(FévDim1)=1,IF(AND(YEAR(FévDim1+13)=AnnéeCalendrier,MONTH(FévDim1+13)=2),FévDim1+13,""),IF(AND(YEAR(FévDim1+20)=AnnéeCalendrier,MONTH(FévDim1+20)=2),FévDim1+20,""))</f>
        <v>44611</v>
      </c>
      <c r="P10" s="5">
        <f>IF(DAY(FévDim1)=1,IF(AND(YEAR(FévDim1+14)=AnnéeCalendrier,MONTH(FévDim1+14)=2),FévDim1+14,""),IF(AND(YEAR(FévDim1+21)=AnnéeCalendrier,MONTH(FévDim1+21)=2),FévDim1+21,""))</f>
        <v>44612</v>
      </c>
      <c r="Q10" s="4"/>
      <c r="R10" s="5">
        <f>IF(DAY(MarDim1)=1,IF(AND(YEAR(MarDim1+8)=AnnéeCalendrier,MONTH(MarDim1+8)=3),MarDim1+8,""),IF(AND(YEAR(MarDim1+15)=AnnéeCalendrier,MONTH(MarDim1+15)=3),MarDim1+15,""))</f>
        <v>44634</v>
      </c>
      <c r="S10" s="5">
        <f>IF(DAY(MarDim1)=1,IF(AND(YEAR(MarDim1+9)=AnnéeCalendrier,MONTH(MarDim1+9)=3),MarDim1+9,""),IF(AND(YEAR(MarDim1+16)=AnnéeCalendrier,MONTH(MarDim1+16)=3),MarDim1+16,""))</f>
        <v>44635</v>
      </c>
      <c r="T10" s="5">
        <f>IF(DAY(MarDim1)=1,IF(AND(YEAR(MarDim1+10)=AnnéeCalendrier,MONTH(MarDim1+10)=3),MarDim1+10,""),IF(AND(YEAR(MarDim1+17)=AnnéeCalendrier,MONTH(MarDim1+17)=3),MarDim1+17,""))</f>
        <v>44636</v>
      </c>
      <c r="U10" s="5">
        <f>IF(DAY(MarDim1)=1,IF(AND(YEAR(MarDim1+11)=AnnéeCalendrier,MONTH(MarDim1+11)=3),MarDim1+11,""),IF(AND(YEAR(MarDim1+18)=AnnéeCalendrier,MONTH(MarDim1+18)=3),MarDim1+18,""))</f>
        <v>44637</v>
      </c>
      <c r="V10" s="5">
        <f>IF(DAY(MarDim1)=1,IF(AND(YEAR(MarDim1+12)=AnnéeCalendrier,MONTH(MarDim1+12)=3),MarDim1+12,""),IF(AND(YEAR(MarDim1+19)=AnnéeCalendrier,MONTH(MarDim1+19)=3),MarDim1+19,""))</f>
        <v>44638</v>
      </c>
      <c r="W10" s="5">
        <f>IF(DAY(MarDim1)=1,IF(AND(YEAR(MarDim1+13)=AnnéeCalendrier,MONTH(MarDim1+13)=3),MarDim1+13,""),IF(AND(YEAR(MarDim1+20)=AnnéeCalendrier,MONTH(MarDim1+20)=3),MarDim1+20,""))</f>
        <v>44639</v>
      </c>
      <c r="X10" s="5">
        <f>IF(DAY(MarDim1)=1,IF(AND(YEAR(MarDim1+14)=AnnéeCalendrier,MONTH(MarDim1+14)=3),MarDim1+14,""),IF(AND(YEAR(MarDim1+21)=AnnéeCalendrier,MONTH(MarDim1+21)=3),MarDim1+21,""))</f>
        <v>44640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44578</v>
      </c>
      <c r="C11" s="5">
        <f>IF(DAY(JanDim1)=1,IF(AND(YEAR(JanDim1+16)=AnnéeCalendrier,MONTH(JanDim1+16)=1),JanDim1+16,""),IF(AND(YEAR(JanDim1+23)=AnnéeCalendrier,MONTH(JanDim1+23)=1),JanDim1+23,""))</f>
        <v>44579</v>
      </c>
      <c r="D11" s="5">
        <f>IF(DAY(JanDim1)=1,IF(AND(YEAR(JanDim1+17)=AnnéeCalendrier,MONTH(JanDim1+17)=1),JanDim1+17,""),IF(AND(YEAR(JanDim1+24)=AnnéeCalendrier,MONTH(JanDim1+24)=1),JanDim1+24,""))</f>
        <v>44580</v>
      </c>
      <c r="E11" s="5">
        <f>IF(DAY(JanDim1)=1,IF(AND(YEAR(JanDim1+18)=AnnéeCalendrier,MONTH(JanDim1+18)=1),JanDim1+18,""),IF(AND(YEAR(JanDim1+25)=AnnéeCalendrier,MONTH(JanDim1+25)=1),JanDim1+25,""))</f>
        <v>44581</v>
      </c>
      <c r="F11" s="5">
        <f>IF(DAY(JanDim1)=1,IF(AND(YEAR(JanDim1+19)=AnnéeCalendrier,MONTH(JanDim1+19)=1),JanDim1+19,""),IF(AND(YEAR(JanDim1+26)=AnnéeCalendrier,MONTH(JanDim1+26)=1),JanDim1+26,""))</f>
        <v>44582</v>
      </c>
      <c r="G11" s="5">
        <f>IF(DAY(JanDim1)=1,IF(AND(YEAR(JanDim1+20)=AnnéeCalendrier,MONTH(JanDim1+20)=1),JanDim1+20,""),IF(AND(YEAR(JanDim1+27)=AnnéeCalendrier,MONTH(JanDim1+27)=1),JanDim1+27,""))</f>
        <v>44583</v>
      </c>
      <c r="H11" s="5">
        <f>IF(DAY(JanDim1)=1,IF(AND(YEAR(JanDim1+21)=AnnéeCalendrier,MONTH(JanDim1+21)=1),JanDim1+21,""),IF(AND(YEAR(JanDim1+28)=AnnéeCalendrier,MONTH(JanDim1+28)=1),JanDim1+28,""))</f>
        <v>44584</v>
      </c>
      <c r="I11" s="4"/>
      <c r="J11" s="5">
        <f>IF(DAY(FévDim1)=1,IF(AND(YEAR(FévDim1+15)=AnnéeCalendrier,MONTH(FévDim1+15)=2),FévDim1+15,""),IF(AND(YEAR(FévDim1+22)=AnnéeCalendrier,MONTH(FévDim1+22)=2),FévDim1+22,""))</f>
        <v>44613</v>
      </c>
      <c r="K11" s="5">
        <f>IF(DAY(FévDim1)=1,IF(AND(YEAR(FévDim1+16)=AnnéeCalendrier,MONTH(FévDim1+16)=2),FévDim1+16,""),IF(AND(YEAR(FévDim1+23)=AnnéeCalendrier,MONTH(FévDim1+23)=2),FévDim1+23,""))</f>
        <v>44614</v>
      </c>
      <c r="L11" s="5">
        <f>IF(DAY(FévDim1)=1,IF(AND(YEAR(FévDim1+17)=AnnéeCalendrier,MONTH(FévDim1+17)=2),FévDim1+17,""),IF(AND(YEAR(FévDim1+24)=AnnéeCalendrier,MONTH(FévDim1+24)=2),FévDim1+24,""))</f>
        <v>44615</v>
      </c>
      <c r="M11" s="5">
        <f>IF(DAY(FévDim1)=1,IF(AND(YEAR(FévDim1+18)=AnnéeCalendrier,MONTH(FévDim1+18)=2),FévDim1+18,""),IF(AND(YEAR(FévDim1+25)=AnnéeCalendrier,MONTH(FévDim1+25)=2),FévDim1+25,""))</f>
        <v>44616</v>
      </c>
      <c r="N11" s="5">
        <f>IF(DAY(FévDim1)=1,IF(AND(YEAR(FévDim1+19)=AnnéeCalendrier,MONTH(FévDim1+19)=2),FévDim1+19,""),IF(AND(YEAR(FévDim1+26)=AnnéeCalendrier,MONTH(FévDim1+26)=2),FévDim1+26,""))</f>
        <v>44617</v>
      </c>
      <c r="O11" s="5">
        <f>IF(DAY(FévDim1)=1,IF(AND(YEAR(FévDim1+20)=AnnéeCalendrier,MONTH(FévDim1+20)=2),FévDim1+20,""),IF(AND(YEAR(FévDim1+27)=AnnéeCalendrier,MONTH(FévDim1+27)=2),FévDim1+27,""))</f>
        <v>44618</v>
      </c>
      <c r="P11" s="5">
        <f>IF(DAY(FévDim1)=1,IF(AND(YEAR(FévDim1+21)=AnnéeCalendrier,MONTH(FévDim1+21)=2),FévDim1+21,""),IF(AND(YEAR(FévDim1+28)=AnnéeCalendrier,MONTH(FévDim1+28)=2),FévDim1+28,""))</f>
        <v>44619</v>
      </c>
      <c r="Q11" s="4"/>
      <c r="R11" s="5">
        <f>IF(DAY(MarDim1)=1,IF(AND(YEAR(MarDim1+15)=AnnéeCalendrier,MONTH(MarDim1+15)=3),MarDim1+15,""),IF(AND(YEAR(MarDim1+22)=AnnéeCalendrier,MONTH(MarDim1+22)=3),MarDim1+22,""))</f>
        <v>44641</v>
      </c>
      <c r="S11" s="5">
        <f>IF(DAY(MarDim1)=1,IF(AND(YEAR(MarDim1+16)=AnnéeCalendrier,MONTH(MarDim1+16)=3),MarDim1+16,""),IF(AND(YEAR(MarDim1+23)=AnnéeCalendrier,MONTH(MarDim1+23)=3),MarDim1+23,""))</f>
        <v>44642</v>
      </c>
      <c r="T11" s="5">
        <f>IF(DAY(MarDim1)=1,IF(AND(YEAR(MarDim1+17)=AnnéeCalendrier,MONTH(MarDim1+17)=3),MarDim1+17,""),IF(AND(YEAR(MarDim1+24)=AnnéeCalendrier,MONTH(MarDim1+24)=3),MarDim1+24,""))</f>
        <v>44643</v>
      </c>
      <c r="U11" s="5">
        <f>IF(DAY(MarDim1)=1,IF(AND(YEAR(MarDim1+18)=AnnéeCalendrier,MONTH(MarDim1+18)=3),MarDim1+18,""),IF(AND(YEAR(MarDim1+25)=AnnéeCalendrier,MONTH(MarDim1+25)=3),MarDim1+25,""))</f>
        <v>44644</v>
      </c>
      <c r="V11" s="5">
        <f>IF(DAY(MarDim1)=1,IF(AND(YEAR(MarDim1+19)=AnnéeCalendrier,MONTH(MarDim1+19)=3),MarDim1+19,""),IF(AND(YEAR(MarDim1+26)=AnnéeCalendrier,MONTH(MarDim1+26)=3),MarDim1+26,""))</f>
        <v>44645</v>
      </c>
      <c r="W11" s="5">
        <f>IF(DAY(MarDim1)=1,IF(AND(YEAR(MarDim1+20)=AnnéeCalendrier,MONTH(MarDim1+20)=3),MarDim1+20,""),IF(AND(YEAR(MarDim1+27)=AnnéeCalendrier,MONTH(MarDim1+27)=3),MarDim1+27,""))</f>
        <v>44646</v>
      </c>
      <c r="X11" s="5">
        <f>IF(DAY(MarDim1)=1,IF(AND(YEAR(MarDim1+21)=AnnéeCalendrier,MONTH(MarDim1+21)=3),MarDim1+21,""),IF(AND(YEAR(MarDim1+28)=AnnéeCalendrier,MONTH(MarDim1+28)=3),MarDim1+28,""))</f>
        <v>44647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44585</v>
      </c>
      <c r="C12" s="5">
        <f>IF(DAY(JanDim1)=1,IF(AND(YEAR(JanDim1+23)=AnnéeCalendrier,MONTH(JanDim1+23)=1),JanDim1+23,""),IF(AND(YEAR(JanDim1+30)=AnnéeCalendrier,MONTH(JanDim1+30)=1),JanDim1+30,""))</f>
        <v>44586</v>
      </c>
      <c r="D12" s="5">
        <f>IF(DAY(JanDim1)=1,IF(AND(YEAR(JanDim1+24)=AnnéeCalendrier,MONTH(JanDim1+24)=1),JanDim1+24,""),IF(AND(YEAR(JanDim1+31)=AnnéeCalendrier,MONTH(JanDim1+31)=1),JanDim1+31,""))</f>
        <v>44587</v>
      </c>
      <c r="E12" s="5">
        <f>IF(DAY(JanDim1)=1,IF(AND(YEAR(JanDim1+25)=AnnéeCalendrier,MONTH(JanDim1+25)=1),JanDim1+25,""),IF(AND(YEAR(JanDim1+32)=AnnéeCalendrier,MONTH(JanDim1+32)=1),JanDim1+32,""))</f>
        <v>44588</v>
      </c>
      <c r="F12" s="5">
        <f>IF(DAY(JanDim1)=1,IF(AND(YEAR(JanDim1+26)=AnnéeCalendrier,MONTH(JanDim1+26)=1),JanDim1+26,""),IF(AND(YEAR(JanDim1+33)=AnnéeCalendrier,MONTH(JanDim1+33)=1),JanDim1+33,""))</f>
        <v>44589</v>
      </c>
      <c r="G12" s="5">
        <f>IF(DAY(JanDim1)=1,IF(AND(YEAR(JanDim1+27)=AnnéeCalendrier,MONTH(JanDim1+27)=1),JanDim1+27,""),IF(AND(YEAR(JanDim1+34)=AnnéeCalendrier,MONTH(JanDim1+34)=1),JanDim1+34,""))</f>
        <v>44590</v>
      </c>
      <c r="H12" s="5">
        <f>IF(DAY(JanDim1)=1,IF(AND(YEAR(JanDim1+28)=AnnéeCalendrier,MONTH(JanDim1+28)=1),JanDim1+28,""),IF(AND(YEAR(JanDim1+35)=AnnéeCalendrier,MONTH(JanDim1+35)=1),JanDim1+35,""))</f>
        <v>44591</v>
      </c>
      <c r="I12" s="4"/>
      <c r="J12" s="5">
        <f>IF(DAY(FévDim1)=1,IF(AND(YEAR(FévDim1+22)=AnnéeCalendrier,MONTH(FévDim1+22)=2),FévDim1+22,""),IF(AND(YEAR(FévDim1+29)=AnnéeCalendrier,MONTH(FévDim1+29)=2),FévDim1+29,""))</f>
        <v>44620</v>
      </c>
      <c r="K12" s="5" t="str">
        <f>IF(DAY(FévDim1)=1,IF(AND(YEAR(FévDim1+23)=AnnéeCalendrier,MONTH(FévDim1+23)=2),FévDim1+23,""),IF(AND(YEAR(FévDim1+30)=AnnéeCalendrier,MONTH(FévDim1+30)=2),FévDim1+30,""))</f>
        <v/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44648</v>
      </c>
      <c r="S12" s="5">
        <f>IF(DAY(MarDim1)=1,IF(AND(YEAR(MarDim1+23)=AnnéeCalendrier,MONTH(MarDim1+23)=3),MarDim1+23,""),IF(AND(YEAR(MarDim1+30)=AnnéeCalendrier,MONTH(MarDim1+30)=3),MarDim1+30,""))</f>
        <v>44649</v>
      </c>
      <c r="T12" s="5">
        <f>IF(DAY(MarDim1)=1,IF(AND(YEAR(MarDim1+24)=AnnéeCalendrier,MONTH(MarDim1+24)=3),MarDim1+24,""),IF(AND(YEAR(MarDim1+31)=AnnéeCalendrier,MONTH(MarDim1+31)=3),MarDim1+31,""))</f>
        <v>44650</v>
      </c>
      <c r="U12" s="5">
        <f>IF(DAY(MarDim1)=1,IF(AND(YEAR(MarDim1+25)=AnnéeCalendrier,MONTH(MarDim1+25)=3),MarDim1+25,""),IF(AND(YEAR(MarDim1+32)=AnnéeCalendrier,MONTH(MarDim1+32)=3),MarDim1+32,""))</f>
        <v>44651</v>
      </c>
      <c r="V12" s="5" t="str">
        <f>IF(DAY(MarDim1)=1,IF(AND(YEAR(MarDim1+26)=AnnéeCalendrier,MONTH(MarDim1+26)=3),MarDim1+26,""),IF(AND(YEAR(MarDim1+33)=AnnéeCalendrier,MONTH(MarDim1+33)=3),MarDim1+33,""))</f>
        <v/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44592</v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>
        <f>IF(DAY(AvrDim1)=1,"",IF(AND(YEAR(AvrDim1+5)=AnnéeCalendrier,MONTH(AvrDim1+5)=4),AvrDim1+5,""))</f>
        <v>44652</v>
      </c>
      <c r="G17" s="5">
        <f>IF(DAY(AvrDim1)=1,"",IF(AND(YEAR(AvrDim1+6)=AnnéeCalendrier,MONTH(AvrDim1+6)=4),AvrDim1+6,""))</f>
        <v>44653</v>
      </c>
      <c r="H17" s="7">
        <f>IF(DAY(AvrDim1)=1,IF(AND(YEAR(AvrDim1)=AnnéeCalendrier,MONTH(AvrDim1)=4),AvrDim1,""),IF(AND(YEAR(AvrDim1+7)=AnnéeCalendrier,MONTH(AvrDim1+7)=4),AvrDim1+7,""))</f>
        <v>44654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 t="str">
        <f>IF(DAY(MaiDim1)=1,"",IF(AND(YEAR(MaiDim1+4)=AnnéeCalendrier,MONTH(MaiDim1+4)=5),MaiDim1+4,""))</f>
        <v/>
      </c>
      <c r="N17" s="5" t="str">
        <f>IF(DAY(MaiDim1)=1,"",IF(AND(YEAR(MaiDim1+5)=AnnéeCalendrier,MONTH(MaiDim1+5)=5),MaiDim1+5,""))</f>
        <v/>
      </c>
      <c r="O17" s="5" t="str">
        <f>IF(DAY(MaiDim1)=1,"",IF(AND(YEAR(MaiDim1+6)=AnnéeCalendrier,MONTH(MaiDim1+6)=5),MaiDim1+6,""))</f>
        <v/>
      </c>
      <c r="P17" s="7">
        <f>IF(DAY(MaiDim1)=1,IF(AND(YEAR(MaiDim1)=AnnéeCalendrier,MONTH(MaiDim1)=5),MaiDim1,""),IF(AND(YEAR(MaiDim1+7)=AnnéeCalendrier,MONTH(MaiDim1+7)=5),MaiDim1+7,""))</f>
        <v>44682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>
        <f>IF(DAY(JunDim1)=1,"",IF(AND(YEAR(JunDim1+3)=AnnéeCalendrier,MONTH(JunDim1+3)=6),JunDim1+3,""))</f>
        <v>44713</v>
      </c>
      <c r="U17" s="5">
        <f>IF(DAY(JunDim1)=1,"",IF(AND(YEAR(JunDim1+4)=AnnéeCalendrier,MONTH(JunDim1+4)=6),JunDim1+4,""))</f>
        <v>44714</v>
      </c>
      <c r="V17" s="5">
        <f>IF(DAY(JunDim1)=1,"",IF(AND(YEAR(JunDim1+5)=AnnéeCalendrier,MONTH(JunDim1+5)=6),JunDim1+5,""))</f>
        <v>44715</v>
      </c>
      <c r="W17" s="5">
        <f>IF(DAY(JunDim1)=1,"",IF(AND(YEAR(JunDim1+6)=AnnéeCalendrier,MONTH(JunDim1+6)=6),JunDim1+6,""))</f>
        <v>44716</v>
      </c>
      <c r="X17" s="7">
        <f>IF(DAY(JunDim1)=1,IF(AND(YEAR(JunDim1)=AnnéeCalendrier,MONTH(JunDim1)=6),JunDim1,""),IF(AND(YEAR(JunDim1+7)=AnnéeCalendrier,MONTH(JunDim1+7)=6),JunDim1+7,""))</f>
        <v>44717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44655</v>
      </c>
      <c r="C18" s="5">
        <f>IF(DAY(AvrDim1)=1,IF(AND(YEAR(AvrDim1+2)=AnnéeCalendrier,MONTH(AvrDim1+2)=4),AvrDim1+2,""),IF(AND(YEAR(AvrDim1+9)=AnnéeCalendrier,MONTH(AvrDim1+9)=4),AvrDim1+9,""))</f>
        <v>44656</v>
      </c>
      <c r="D18" s="5">
        <f>IF(DAY(AvrDim1)=1,IF(AND(YEAR(AvrDim1+3)=AnnéeCalendrier,MONTH(AvrDim1+3)=4),AvrDim1+3,""),IF(AND(YEAR(AvrDim1+10)=AnnéeCalendrier,MONTH(AvrDim1+10)=4),AvrDim1+10,""))</f>
        <v>44657</v>
      </c>
      <c r="E18" s="5">
        <f>IF(DAY(AvrDim1)=1,IF(AND(YEAR(AvrDim1+4)=AnnéeCalendrier,MONTH(AvrDim1+4)=4),AvrDim1+4,""),IF(AND(YEAR(AvrDim1+11)=AnnéeCalendrier,MONTH(AvrDim1+11)=4),AvrDim1+11,""))</f>
        <v>44658</v>
      </c>
      <c r="F18" s="5">
        <f>IF(DAY(AvrDim1)=1,IF(AND(YEAR(AvrDim1+5)=AnnéeCalendrier,MONTH(AvrDim1+5)=4),AvrDim1+5,""),IF(AND(YEAR(AvrDim1+12)=AnnéeCalendrier,MONTH(AvrDim1+12)=4),AvrDim1+12,""))</f>
        <v>44659</v>
      </c>
      <c r="G18" s="5">
        <f>IF(DAY(AvrDim1)=1,IF(AND(YEAR(AvrDim1+6)=AnnéeCalendrier,MONTH(AvrDim1+6)=4),AvrDim1+6,""),IF(AND(YEAR(AvrDim1+13)=AnnéeCalendrier,MONTH(AvrDim1+13)=4),AvrDim1+13,""))</f>
        <v>44660</v>
      </c>
      <c r="H18" s="7">
        <f>IF(DAY(AvrDim1)=1,IF(AND(YEAR(AvrDim1+7)=AnnéeCalendrier,MONTH(AvrDim1+7)=4),AvrDim1+7,""),IF(AND(YEAR(AvrDim1+14)=AnnéeCalendrier,MONTH(AvrDim1+14)=4),AvrDim1+14,""))</f>
        <v>44661</v>
      </c>
      <c r="I18" s="4"/>
      <c r="J18" s="6">
        <f>IF(DAY(MaiDim1)=1,IF(AND(YEAR(MaiDim1+1)=AnnéeCalendrier,MONTH(MaiDim1+1)=5),MaiDim1+1,""),IF(AND(YEAR(MaiDim1+8)=AnnéeCalendrier,MONTH(MaiDim1+8)=5),MaiDim1+8,""))</f>
        <v>44683</v>
      </c>
      <c r="K18" s="5">
        <f>IF(DAY(MaiDim1)=1,IF(AND(YEAR(MaiDim1+2)=AnnéeCalendrier,MONTH(MaiDim1+2)=5),MaiDim1+2,""),IF(AND(YEAR(MaiDim1+9)=AnnéeCalendrier,MONTH(MaiDim1+9)=5),MaiDim1+9,""))</f>
        <v>44684</v>
      </c>
      <c r="L18" s="5">
        <f>IF(DAY(MaiDim1)=1,IF(AND(YEAR(MaiDim1+3)=AnnéeCalendrier,MONTH(MaiDim1+3)=5),MaiDim1+3,""),IF(AND(YEAR(MaiDim1+10)=AnnéeCalendrier,MONTH(MaiDim1+10)=5),MaiDim1+10,""))</f>
        <v>44685</v>
      </c>
      <c r="M18" s="5">
        <f>IF(DAY(MaiDim1)=1,IF(AND(YEAR(MaiDim1+4)=AnnéeCalendrier,MONTH(MaiDim1+4)=5),MaiDim1+4,""),IF(AND(YEAR(MaiDim1+11)=AnnéeCalendrier,MONTH(MaiDim1+11)=5),MaiDim1+11,""))</f>
        <v>44686</v>
      </c>
      <c r="N18" s="5">
        <f>IF(DAY(MaiDim1)=1,IF(AND(YEAR(MaiDim1+5)=AnnéeCalendrier,MONTH(MaiDim1+5)=5),MaiDim1+5,""),IF(AND(YEAR(MaiDim1+12)=AnnéeCalendrier,MONTH(MaiDim1+12)=5),MaiDim1+12,""))</f>
        <v>44687</v>
      </c>
      <c r="O18" s="5">
        <f>IF(DAY(MaiDim1)=1,IF(AND(YEAR(MaiDim1+6)=AnnéeCalendrier,MONTH(MaiDim1+6)=5),MaiDim1+6,""),IF(AND(YEAR(MaiDim1+13)=AnnéeCalendrier,MONTH(MaiDim1+13)=5),MaiDim1+13,""))</f>
        <v>44688</v>
      </c>
      <c r="P18" s="7">
        <f>IF(DAY(MaiDim1)=1,IF(AND(YEAR(MaiDim1+7)=AnnéeCalendrier,MONTH(MaiDim1+7)=5),MaiDim1+7,""),IF(AND(YEAR(MaiDim1+14)=AnnéeCalendrier,MONTH(MaiDim1+14)=5),MaiDim1+14,""))</f>
        <v>44689</v>
      </c>
      <c r="Q18" s="4"/>
      <c r="R18" s="6">
        <f>IF(DAY(JunDim1)=1,IF(AND(YEAR(JunDim1+1)=AnnéeCalendrier,MONTH(JunDim1+1)=6),JunDim1+1,""),IF(AND(YEAR(JunDim1+8)=AnnéeCalendrier,MONTH(JunDim1+8)=6),JunDim1+8,""))</f>
        <v>44718</v>
      </c>
      <c r="S18" s="5">
        <f>IF(DAY(JunDim1)=1,IF(AND(YEAR(JunDim1+2)=AnnéeCalendrier,MONTH(JunDim1+2)=6),JunDim1+2,""),IF(AND(YEAR(JunDim1+9)=AnnéeCalendrier,MONTH(JunDim1+9)=6),JunDim1+9,""))</f>
        <v>44719</v>
      </c>
      <c r="T18" s="5">
        <f>IF(DAY(JunDim1)=1,IF(AND(YEAR(JunDim1+3)=AnnéeCalendrier,MONTH(JunDim1+3)=6),JunDim1+3,""),IF(AND(YEAR(JunDim1+10)=AnnéeCalendrier,MONTH(JunDim1+10)=6),JunDim1+10,""))</f>
        <v>44720</v>
      </c>
      <c r="U18" s="5">
        <f>IF(DAY(JunDim1)=1,IF(AND(YEAR(JunDim1+4)=AnnéeCalendrier,MONTH(JunDim1+4)=6),JunDim1+4,""),IF(AND(YEAR(JunDim1+11)=AnnéeCalendrier,MONTH(JunDim1+11)=6),JunDim1+11,""))</f>
        <v>44721</v>
      </c>
      <c r="V18" s="5">
        <f>IF(DAY(JunDim1)=1,IF(AND(YEAR(JunDim1+5)=AnnéeCalendrier,MONTH(JunDim1+5)=6),JunDim1+5,""),IF(AND(YEAR(JunDim1+12)=AnnéeCalendrier,MONTH(JunDim1+12)=6),JunDim1+12,""))</f>
        <v>44722</v>
      </c>
      <c r="W18" s="5">
        <f>IF(DAY(JunDim1)=1,IF(AND(YEAR(JunDim1+6)=AnnéeCalendrier,MONTH(JunDim1+6)=6),JunDim1+6,""),IF(AND(YEAR(JunDim1+13)=AnnéeCalendrier,MONTH(JunDim1+13)=6),JunDim1+13,""))</f>
        <v>44723</v>
      </c>
      <c r="X18" s="7">
        <f>IF(DAY(JunDim1)=1,IF(AND(YEAR(JunDim1+7)=AnnéeCalendrier,MONTH(JunDim1+7)=6),JunDim1+7,""),IF(AND(YEAR(JunDim1+14)=AnnéeCalendrier,MONTH(JunDim1+14)=6),JunDim1+14,""))</f>
        <v>44724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44662</v>
      </c>
      <c r="C19" s="5">
        <f>IF(DAY(AvrDim1)=1,IF(AND(YEAR(AvrDim1+9)=AnnéeCalendrier,MONTH(AvrDim1+9)=4),AvrDim1+9,""),IF(AND(YEAR(AvrDim1+16)=AnnéeCalendrier,MONTH(AvrDim1+16)=4),AvrDim1+16,""))</f>
        <v>44663</v>
      </c>
      <c r="D19" s="5">
        <f>IF(DAY(AvrDim1)=1,IF(AND(YEAR(AvrDim1+10)=AnnéeCalendrier,MONTH(AvrDim1+10)=4),AvrDim1+10,""),IF(AND(YEAR(AvrDim1+17)=AnnéeCalendrier,MONTH(AvrDim1+17)=4),AvrDim1+17,""))</f>
        <v>44664</v>
      </c>
      <c r="E19" s="5">
        <f>IF(DAY(AvrDim1)=1,IF(AND(YEAR(AvrDim1+11)=AnnéeCalendrier,MONTH(AvrDim1+11)=4),AvrDim1+11,""),IF(AND(YEAR(AvrDim1+18)=AnnéeCalendrier,MONTH(AvrDim1+18)=4),AvrDim1+18,""))</f>
        <v>44665</v>
      </c>
      <c r="F19" s="5">
        <f>IF(DAY(AvrDim1)=1,IF(AND(YEAR(AvrDim1+12)=AnnéeCalendrier,MONTH(AvrDim1+12)=4),AvrDim1+12,""),IF(AND(YEAR(AvrDim1+19)=AnnéeCalendrier,MONTH(AvrDim1+19)=4),AvrDim1+19,""))</f>
        <v>44666</v>
      </c>
      <c r="G19" s="5">
        <f>IF(DAY(AvrDim1)=1,IF(AND(YEAR(AvrDim1+13)=AnnéeCalendrier,MONTH(AvrDim1+13)=4),AvrDim1+13,""),IF(AND(YEAR(AvrDim1+20)=AnnéeCalendrier,MONTH(AvrDim1+20)=4),AvrDim1+20,""))</f>
        <v>44667</v>
      </c>
      <c r="H19" s="7">
        <f>IF(DAY(AvrDim1)=1,IF(AND(YEAR(AvrDim1+14)=AnnéeCalendrier,MONTH(AvrDim1+14)=4),AvrDim1+14,""),IF(AND(YEAR(AvrDim1+21)=AnnéeCalendrier,MONTH(AvrDim1+21)=4),AvrDim1+21,""))</f>
        <v>44668</v>
      </c>
      <c r="I19" s="4"/>
      <c r="J19" s="6">
        <f>IF(DAY(MaiDim1)=1,IF(AND(YEAR(MaiDim1+8)=AnnéeCalendrier,MONTH(MaiDim1+8)=5),MaiDim1+8,""),IF(AND(YEAR(MaiDim1+15)=AnnéeCalendrier,MONTH(MaiDim1+15)=5),MaiDim1+15,""))</f>
        <v>44690</v>
      </c>
      <c r="K19" s="5">
        <f>IF(DAY(MaiDim1)=1,IF(AND(YEAR(MaiDim1+9)=AnnéeCalendrier,MONTH(MaiDim1+9)=5),MaiDim1+9,""),IF(AND(YEAR(MaiDim1+16)=AnnéeCalendrier,MONTH(MaiDim1+16)=5),MaiDim1+16,""))</f>
        <v>44691</v>
      </c>
      <c r="L19" s="5">
        <f>IF(DAY(MaiDim1)=1,IF(AND(YEAR(MaiDim1+10)=AnnéeCalendrier,MONTH(MaiDim1+10)=5),MaiDim1+10,""),IF(AND(YEAR(MaiDim1+17)=AnnéeCalendrier,MONTH(MaiDim1+17)=5),MaiDim1+17,""))</f>
        <v>44692</v>
      </c>
      <c r="M19" s="5">
        <f>IF(DAY(MaiDim1)=1,IF(AND(YEAR(MaiDim1+11)=AnnéeCalendrier,MONTH(MaiDim1+11)=5),MaiDim1+11,""),IF(AND(YEAR(MaiDim1+18)=AnnéeCalendrier,MONTH(MaiDim1+18)=5),MaiDim1+18,""))</f>
        <v>44693</v>
      </c>
      <c r="N19" s="5">
        <f>IF(DAY(MaiDim1)=1,IF(AND(YEAR(MaiDim1+12)=AnnéeCalendrier,MONTH(MaiDim1+12)=5),MaiDim1+12,""),IF(AND(YEAR(MaiDim1+19)=AnnéeCalendrier,MONTH(MaiDim1+19)=5),MaiDim1+19,""))</f>
        <v>44694</v>
      </c>
      <c r="O19" s="5">
        <f>IF(DAY(MaiDim1)=1,IF(AND(YEAR(MaiDim1+13)=AnnéeCalendrier,MONTH(MaiDim1+13)=5),MaiDim1+13,""),IF(AND(YEAR(MaiDim1+20)=AnnéeCalendrier,MONTH(MaiDim1+20)=5),MaiDim1+20,""))</f>
        <v>44695</v>
      </c>
      <c r="P19" s="7">
        <f>IF(DAY(MaiDim1)=1,IF(AND(YEAR(MaiDim1+14)=AnnéeCalendrier,MONTH(MaiDim1+14)=5),MaiDim1+14,""),IF(AND(YEAR(MaiDim1+21)=AnnéeCalendrier,MONTH(MaiDim1+21)=5),MaiDim1+21,""))</f>
        <v>44696</v>
      </c>
      <c r="Q19" s="4"/>
      <c r="R19" s="6">
        <f>IF(DAY(JunDim1)=1,IF(AND(YEAR(JunDim1+8)=AnnéeCalendrier,MONTH(JunDim1+8)=6),JunDim1+8,""),IF(AND(YEAR(JunDim1+15)=AnnéeCalendrier,MONTH(JunDim1+15)=6),JunDim1+15,""))</f>
        <v>44725</v>
      </c>
      <c r="S19" s="5">
        <f>IF(DAY(JunDim1)=1,IF(AND(YEAR(JunDim1+9)=AnnéeCalendrier,MONTH(JunDim1+9)=6),JunDim1+9,""),IF(AND(YEAR(JunDim1+16)=AnnéeCalendrier,MONTH(JunDim1+16)=6),JunDim1+16,""))</f>
        <v>44726</v>
      </c>
      <c r="T19" s="5">
        <f>IF(DAY(JunDim1)=1,IF(AND(YEAR(JunDim1+10)=AnnéeCalendrier,MONTH(JunDim1+10)=6),JunDim1+10,""),IF(AND(YEAR(JunDim1+17)=AnnéeCalendrier,MONTH(JunDim1+17)=6),JunDim1+17,""))</f>
        <v>44727</v>
      </c>
      <c r="U19" s="5">
        <f>IF(DAY(JunDim1)=1,IF(AND(YEAR(JunDim1+11)=AnnéeCalendrier,MONTH(JunDim1+11)=6),JunDim1+11,""),IF(AND(YEAR(JunDim1+18)=AnnéeCalendrier,MONTH(JunDim1+18)=6),JunDim1+18,""))</f>
        <v>44728</v>
      </c>
      <c r="V19" s="5">
        <f>IF(DAY(JunDim1)=1,IF(AND(YEAR(JunDim1+12)=AnnéeCalendrier,MONTH(JunDim1+12)=6),JunDim1+12,""),IF(AND(YEAR(JunDim1+19)=AnnéeCalendrier,MONTH(JunDim1+19)=6),JunDim1+19,""))</f>
        <v>44729</v>
      </c>
      <c r="W19" s="5">
        <f>IF(DAY(JunDim1)=1,IF(AND(YEAR(JunDim1+13)=AnnéeCalendrier,MONTH(JunDim1+13)=6),JunDim1+13,""),IF(AND(YEAR(JunDim1+20)=AnnéeCalendrier,MONTH(JunDim1+20)=6),JunDim1+20,""))</f>
        <v>44730</v>
      </c>
      <c r="X19" s="7">
        <f>IF(DAY(JunDim1)=1,IF(AND(YEAR(JunDim1+14)=AnnéeCalendrier,MONTH(JunDim1+14)=6),JunDim1+14,""),IF(AND(YEAR(JunDim1+21)=AnnéeCalendrier,MONTH(JunDim1+21)=6),JunDim1+21,""))</f>
        <v>44731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44669</v>
      </c>
      <c r="C20" s="5">
        <f>IF(DAY(AvrDim1)=1,IF(AND(YEAR(AvrDim1+16)=AnnéeCalendrier,MONTH(AvrDim1+16)=4),AvrDim1+16,""),IF(AND(YEAR(AvrDim1+23)=AnnéeCalendrier,MONTH(AvrDim1+23)=4),AvrDim1+23,""))</f>
        <v>44670</v>
      </c>
      <c r="D20" s="5">
        <f>IF(DAY(AvrDim1)=1,IF(AND(YEAR(AvrDim1+17)=AnnéeCalendrier,MONTH(AvrDim1+17)=4),AvrDim1+17,""),IF(AND(YEAR(AvrDim1+24)=AnnéeCalendrier,MONTH(AvrDim1+24)=4),AvrDim1+24,""))</f>
        <v>44671</v>
      </c>
      <c r="E20" s="5">
        <f>IF(DAY(AvrDim1)=1,IF(AND(YEAR(AvrDim1+18)=AnnéeCalendrier,MONTH(AvrDim1+18)=4),AvrDim1+18,""),IF(AND(YEAR(AvrDim1+25)=AnnéeCalendrier,MONTH(AvrDim1+25)=4),AvrDim1+25,""))</f>
        <v>44672</v>
      </c>
      <c r="F20" s="5">
        <f>IF(DAY(AvrDim1)=1,IF(AND(YEAR(AvrDim1+19)=AnnéeCalendrier,MONTH(AvrDim1+19)=4),AvrDim1+19,""),IF(AND(YEAR(AvrDim1+26)=AnnéeCalendrier,MONTH(AvrDim1+26)=4),AvrDim1+26,""))</f>
        <v>44673</v>
      </c>
      <c r="G20" s="5">
        <f>IF(DAY(AvrDim1)=1,IF(AND(YEAR(AvrDim1+20)=AnnéeCalendrier,MONTH(AvrDim1+20)=4),AvrDim1+20,""),IF(AND(YEAR(AvrDim1+27)=AnnéeCalendrier,MONTH(AvrDim1+27)=4),AvrDim1+27,""))</f>
        <v>44674</v>
      </c>
      <c r="H20" s="7">
        <f>IF(DAY(AvrDim1)=1,IF(AND(YEAR(AvrDim1+21)=AnnéeCalendrier,MONTH(AvrDim1+21)=4),AvrDim1+21,""),IF(AND(YEAR(AvrDim1+28)=AnnéeCalendrier,MONTH(AvrDim1+28)=4),AvrDim1+28,""))</f>
        <v>44675</v>
      </c>
      <c r="I20" s="4"/>
      <c r="J20" s="6">
        <f>IF(DAY(MaiDim1)=1,IF(AND(YEAR(MaiDim1+15)=AnnéeCalendrier,MONTH(MaiDim1+15)=5),MaiDim1+15,""),IF(AND(YEAR(MaiDim1+22)=AnnéeCalendrier,MONTH(MaiDim1+22)=5),MaiDim1+22,""))</f>
        <v>44697</v>
      </c>
      <c r="K20" s="5">
        <f>IF(DAY(MaiDim1)=1,IF(AND(YEAR(MaiDim1+16)=AnnéeCalendrier,MONTH(MaiDim1+16)=5),MaiDim1+16,""),IF(AND(YEAR(MaiDim1+23)=AnnéeCalendrier,MONTH(MaiDim1+23)=5),MaiDim1+23,""))</f>
        <v>44698</v>
      </c>
      <c r="L20" s="5">
        <f>IF(DAY(MaiDim1)=1,IF(AND(YEAR(MaiDim1+17)=AnnéeCalendrier,MONTH(MaiDim1+17)=5),MaiDim1+17,""),IF(AND(YEAR(MaiDim1+24)=AnnéeCalendrier,MONTH(MaiDim1+24)=5),MaiDim1+24,""))</f>
        <v>44699</v>
      </c>
      <c r="M20" s="5">
        <f>IF(DAY(MaiDim1)=1,IF(AND(YEAR(MaiDim1+18)=AnnéeCalendrier,MONTH(MaiDim1+18)=5),MaiDim1+18,""),IF(AND(YEAR(MaiDim1+25)=AnnéeCalendrier,MONTH(MaiDim1+25)=5),MaiDim1+25,""))</f>
        <v>44700</v>
      </c>
      <c r="N20" s="5">
        <f>IF(DAY(MaiDim1)=1,IF(AND(YEAR(MaiDim1+19)=AnnéeCalendrier,MONTH(MaiDim1+19)=5),MaiDim1+19,""),IF(AND(YEAR(MaiDim1+26)=AnnéeCalendrier,MONTH(MaiDim1+26)=5),MaiDim1+26,""))</f>
        <v>44701</v>
      </c>
      <c r="O20" s="5">
        <f>IF(DAY(MaiDim1)=1,IF(AND(YEAR(MaiDim1+20)=AnnéeCalendrier,MONTH(MaiDim1+20)=5),MaiDim1+20,""),IF(AND(YEAR(MaiDim1+27)=AnnéeCalendrier,MONTH(MaiDim1+27)=5),MaiDim1+27,""))</f>
        <v>44702</v>
      </c>
      <c r="P20" s="7">
        <f>IF(DAY(MaiDim1)=1,IF(AND(YEAR(MaiDim1+21)=AnnéeCalendrier,MONTH(MaiDim1+21)=5),MaiDim1+21,""),IF(AND(YEAR(MaiDim1+28)=AnnéeCalendrier,MONTH(MaiDim1+28)=5),MaiDim1+28,""))</f>
        <v>44703</v>
      </c>
      <c r="Q20" s="4"/>
      <c r="R20" s="6">
        <f>IF(DAY(JunDim1)=1,IF(AND(YEAR(JunDim1+15)=AnnéeCalendrier,MONTH(JunDim1+15)=6),JunDim1+15,""),IF(AND(YEAR(JunDim1+22)=AnnéeCalendrier,MONTH(JunDim1+22)=6),JunDim1+22,""))</f>
        <v>44732</v>
      </c>
      <c r="S20" s="5">
        <f>IF(DAY(JunDim1)=1,IF(AND(YEAR(JunDim1+16)=AnnéeCalendrier,MONTH(JunDim1+16)=6),JunDim1+16,""),IF(AND(YEAR(JunDim1+23)=AnnéeCalendrier,MONTH(JunDim1+23)=6),JunDim1+23,""))</f>
        <v>44733</v>
      </c>
      <c r="T20" s="5">
        <f>IF(DAY(JunDim1)=1,IF(AND(YEAR(JunDim1+17)=AnnéeCalendrier,MONTH(JunDim1+17)=6),JunDim1+17,""),IF(AND(YEAR(JunDim1+24)=AnnéeCalendrier,MONTH(JunDim1+24)=6),JunDim1+24,""))</f>
        <v>44734</v>
      </c>
      <c r="U20" s="5">
        <f>IF(DAY(JunDim1)=1,IF(AND(YEAR(JunDim1+18)=AnnéeCalendrier,MONTH(JunDim1+18)=6),JunDim1+18,""),IF(AND(YEAR(JunDim1+25)=AnnéeCalendrier,MONTH(JunDim1+25)=6),JunDim1+25,""))</f>
        <v>44735</v>
      </c>
      <c r="V20" s="5">
        <f>IF(DAY(JunDim1)=1,IF(AND(YEAR(JunDim1+19)=AnnéeCalendrier,MONTH(JunDim1+19)=6),JunDim1+19,""),IF(AND(YEAR(JunDim1+26)=AnnéeCalendrier,MONTH(JunDim1+26)=6),JunDim1+26,""))</f>
        <v>44736</v>
      </c>
      <c r="W20" s="5">
        <f>IF(DAY(JunDim1)=1,IF(AND(YEAR(JunDim1+20)=AnnéeCalendrier,MONTH(JunDim1+20)=6),JunDim1+20,""),IF(AND(YEAR(JunDim1+27)=AnnéeCalendrier,MONTH(JunDim1+27)=6),JunDim1+27,""))</f>
        <v>44737</v>
      </c>
      <c r="X20" s="7">
        <f>IF(DAY(JunDim1)=1,IF(AND(YEAR(JunDim1+21)=AnnéeCalendrier,MONTH(JunDim1+21)=6),JunDim1+21,""),IF(AND(YEAR(JunDim1+28)=AnnéeCalendrier,MONTH(JunDim1+28)=6),JunDim1+28,""))</f>
        <v>44738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44676</v>
      </c>
      <c r="C21" s="5">
        <f>IF(DAY(AvrDim1)=1,IF(AND(YEAR(AvrDim1+23)=AnnéeCalendrier,MONTH(AvrDim1+23)=4),AvrDim1+23,""),IF(AND(YEAR(AvrDim1+30)=AnnéeCalendrier,MONTH(AvrDim1+30)=4),AvrDim1+30,""))</f>
        <v>44677</v>
      </c>
      <c r="D21" s="5">
        <f>IF(DAY(AvrDim1)=1,IF(AND(YEAR(AvrDim1+24)=AnnéeCalendrier,MONTH(AvrDim1+24)=4),AvrDim1+24,""),IF(AND(YEAR(AvrDim1+31)=AnnéeCalendrier,MONTH(AvrDim1+31)=4),AvrDim1+31,""))</f>
        <v>44678</v>
      </c>
      <c r="E21" s="5">
        <f>IF(DAY(AvrDim1)=1,IF(AND(YEAR(AvrDim1+25)=AnnéeCalendrier,MONTH(AvrDim1+25)=4),AvrDim1+25,""),IF(AND(YEAR(AvrDim1+32)=AnnéeCalendrier,MONTH(AvrDim1+32)=4),AvrDim1+32,""))</f>
        <v>44679</v>
      </c>
      <c r="F21" s="5">
        <f>IF(DAY(AvrDim1)=1,IF(AND(YEAR(AvrDim1+26)=AnnéeCalendrier,MONTH(AvrDim1+26)=4),AvrDim1+26,""),IF(AND(YEAR(AvrDim1+33)=AnnéeCalendrier,MONTH(AvrDim1+33)=4),AvrDim1+33,""))</f>
        <v>44680</v>
      </c>
      <c r="G21" s="5">
        <f>IF(DAY(AvrDim1)=1,IF(AND(YEAR(AvrDim1+27)=AnnéeCalendrier,MONTH(AvrDim1+27)=4),AvrDim1+27,""),IF(AND(YEAR(AvrDim1+34)=AnnéeCalendrier,MONTH(AvrDim1+34)=4),AvrDim1+34,""))</f>
        <v>44681</v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44704</v>
      </c>
      <c r="K21" s="5">
        <f>IF(DAY(MaiDim1)=1,IF(AND(YEAR(MaiDim1+23)=AnnéeCalendrier,MONTH(MaiDim1+23)=5),MaiDim1+23,""),IF(AND(YEAR(MaiDim1+30)=AnnéeCalendrier,MONTH(MaiDim1+30)=5),MaiDim1+30,""))</f>
        <v>44705</v>
      </c>
      <c r="L21" s="5">
        <f>IF(DAY(MaiDim1)=1,IF(AND(YEAR(MaiDim1+24)=AnnéeCalendrier,MONTH(MaiDim1+24)=5),MaiDim1+24,""),IF(AND(YEAR(MaiDim1+31)=AnnéeCalendrier,MONTH(MaiDim1+31)=5),MaiDim1+31,""))</f>
        <v>44706</v>
      </c>
      <c r="M21" s="5">
        <f>IF(DAY(MaiDim1)=1,IF(AND(YEAR(MaiDim1+25)=AnnéeCalendrier,MONTH(MaiDim1+25)=5),MaiDim1+25,""),IF(AND(YEAR(MaiDim1+32)=AnnéeCalendrier,MONTH(MaiDim1+32)=5),MaiDim1+32,""))</f>
        <v>44707</v>
      </c>
      <c r="N21" s="5">
        <f>IF(DAY(MaiDim1)=1,IF(AND(YEAR(MaiDim1+26)=AnnéeCalendrier,MONTH(MaiDim1+26)=5),MaiDim1+26,""),IF(AND(YEAR(MaiDim1+33)=AnnéeCalendrier,MONTH(MaiDim1+33)=5),MaiDim1+33,""))</f>
        <v>44708</v>
      </c>
      <c r="O21" s="5">
        <f>IF(DAY(MaiDim1)=1,IF(AND(YEAR(MaiDim1+27)=AnnéeCalendrier,MONTH(MaiDim1+27)=5),MaiDim1+27,""),IF(AND(YEAR(MaiDim1+34)=AnnéeCalendrier,MONTH(MaiDim1+34)=5),MaiDim1+34,""))</f>
        <v>44709</v>
      </c>
      <c r="P21" s="7">
        <f>IF(DAY(MaiDim1)=1,IF(AND(YEAR(MaiDim1+28)=AnnéeCalendrier,MONTH(MaiDim1+28)=5),MaiDim1+28,""),IF(AND(YEAR(MaiDim1+35)=AnnéeCalendrier,MONTH(MaiDim1+35)=5),MaiDim1+35,""))</f>
        <v>44710</v>
      </c>
      <c r="Q21" s="4"/>
      <c r="R21" s="6">
        <f>IF(DAY(JunDim1)=1,IF(AND(YEAR(JunDim1+22)=AnnéeCalendrier,MONTH(JunDim1+22)=6),JunDim1+22,""),IF(AND(YEAR(JunDim1+29)=AnnéeCalendrier,MONTH(JunDim1+29)=6),JunDim1+29,""))</f>
        <v>44739</v>
      </c>
      <c r="S21" s="5">
        <f>IF(DAY(JunDim1)=1,IF(AND(YEAR(JunDim1+23)=AnnéeCalendrier,MONTH(JunDim1+23)=6),JunDim1+23,""),IF(AND(YEAR(JunDim1+30)=AnnéeCalendrier,MONTH(JunDim1+30)=6),JunDim1+30,""))</f>
        <v>44740</v>
      </c>
      <c r="T21" s="5">
        <f>IF(DAY(JunDim1)=1,IF(AND(YEAR(JunDim1+24)=AnnéeCalendrier,MONTH(JunDim1+24)=6),JunDim1+24,""),IF(AND(YEAR(JunDim1+31)=AnnéeCalendrier,MONTH(JunDim1+31)=6),JunDim1+31,""))</f>
        <v>44741</v>
      </c>
      <c r="U21" s="5">
        <f>IF(DAY(JunDim1)=1,IF(AND(YEAR(JunDim1+25)=AnnéeCalendrier,MONTH(JunDim1+25)=6),JunDim1+25,""),IF(AND(YEAR(JunDim1+32)=AnnéeCalendrier,MONTH(JunDim1+32)=6),JunDim1+32,""))</f>
        <v>44742</v>
      </c>
      <c r="V21" s="5" t="str">
        <f>IF(DAY(JunDim1)=1,IF(AND(YEAR(JunDim1+26)=AnnéeCalendrier,MONTH(JunDim1+26)=6),JunDim1+26,""),IF(AND(YEAR(JunDim1+33)=AnnéeCalendrier,MONTH(JunDim1+33)=6),JunDim1+33,""))</f>
        <v/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>
        <f>IF(DAY(MaiDim1)=1,IF(AND(YEAR(MaiDim1+29)=AnnéeCalendrier,MONTH(MaiDim1+29)=5),MaiDim1+29,""),IF(AND(YEAR(MaiDim1+36)=AnnéeCalendrier,MONTH(MaiDim1+36)=5),MaiDim1+36,""))</f>
        <v>44711</v>
      </c>
      <c r="K22" s="9">
        <f>IF(DAY(MaiDim1)=1,IF(AND(YEAR(MaiDim1+30)=AnnéeCalendrier,MONTH(MaiDim1+30)=5),MaiDim1+30,""),IF(AND(YEAR(MaiDim1+37)=AnnéeCalendrier,MONTH(MaiDim1+37)=5),MaiDim1+37,""))</f>
        <v>44712</v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>
        <f>IF(DAY(JulDim1)=1,"",IF(AND(YEAR(JulDim1+5)=AnnéeCalendrier,MONTH(JulDim1+5)=7),JulDim1+5,""))</f>
        <v>44743</v>
      </c>
      <c r="G26" s="5">
        <f>IF(DAY(JulDim1)=1,"",IF(AND(YEAR(JulDim1+6)=AnnéeCalendrier,MONTH(JulDim1+6)=7),JulDim1+6,""))</f>
        <v>44744</v>
      </c>
      <c r="H26" s="7">
        <f>IF(DAY(JulDim1)=1,IF(AND(YEAR(JulDim1)=AnnéeCalendrier,MONTH(JulDim1)=7),JulDim1,""),IF(AND(YEAR(JulDim1+7)=AnnéeCalendrier,MONTH(JulDim1+7)=7),JulDim1+7,""))</f>
        <v>44745</v>
      </c>
      <c r="J26" s="6">
        <f>IF(DAY(AouDim1)=1,"",IF(AND(YEAR(AouDim1+1)=AnnéeCalendrier,MONTH(AouDim1+1)=8),AouDim1+1,""))</f>
        <v>44774</v>
      </c>
      <c r="K26" s="5">
        <f>IF(DAY(AouDim1)=1,"",IF(AND(YEAR(AouDim1+2)=AnnéeCalendrier,MONTH(AouDim1+2)=8),AouDim1+2,""))</f>
        <v>44775</v>
      </c>
      <c r="L26" s="5">
        <f>IF(DAY(AouDim1)=1,"",IF(AND(YEAR(AouDim1+3)=AnnéeCalendrier,MONTH(AouDim1+3)=8),AouDim1+3,""))</f>
        <v>44776</v>
      </c>
      <c r="M26" s="5">
        <f>IF(DAY(AouDim1)=1,"",IF(AND(YEAR(AouDim1+4)=AnnéeCalendrier,MONTH(AouDim1+4)=8),AouDim1+4,""))</f>
        <v>44777</v>
      </c>
      <c r="N26" s="5">
        <f>IF(DAY(AouDim1)=1,"",IF(AND(YEAR(AouDim1+5)=AnnéeCalendrier,MONTH(AouDim1+5)=8),AouDim1+5,""))</f>
        <v>44778</v>
      </c>
      <c r="O26" s="5">
        <f>IF(DAY(AouDim1)=1,"",IF(AND(YEAR(AouDim1+6)=AnnéeCalendrier,MONTH(AouDim1+6)=8),AouDim1+6,""))</f>
        <v>44779</v>
      </c>
      <c r="P26" s="7">
        <f>IF(DAY(AouDim1)=1,IF(AND(YEAR(AouDim1)=AnnéeCalendrier,MONTH(AouDim1)=8),AouDim1,""),IF(AND(YEAR(AouDim1+7)=AnnéeCalendrier,MONTH(AouDim1+7)=8),AouDim1+7,""))</f>
        <v>44780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>
        <f>IF(DAY(SepDim1)=1,"",IF(AND(YEAR(SepDim1+4)=AnnéeCalendrier,MONTH(SepDim1+4)=9),SepDim1+4,""))</f>
        <v>44805</v>
      </c>
      <c r="V26" s="5">
        <f>IF(DAY(SepDim1)=1,"",IF(AND(YEAR(SepDim1+5)=AnnéeCalendrier,MONTH(SepDim1+5)=9),SepDim1+5,""))</f>
        <v>44806</v>
      </c>
      <c r="W26" s="5">
        <f>IF(DAY(SepDim1)=1,"",IF(AND(YEAR(SepDim1+6)=AnnéeCalendrier,MONTH(SepDim1+6)=9),SepDim1+6,""))</f>
        <v>44807</v>
      </c>
      <c r="X26" s="7">
        <f>IF(DAY(SepDim1)=1,IF(AND(YEAR(SepDim1)=AnnéeCalendrier,MONTH(SepDim1)=9),SepDim1,""),IF(AND(YEAR(SepDim1+7)=AnnéeCalendrier,MONTH(SepDim1+7)=9),SepDim1+7,""))</f>
        <v>44808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44746</v>
      </c>
      <c r="C27" s="5">
        <f>IF(DAY(JulDim1)=1,IF(AND(YEAR(JulDim1+2)=AnnéeCalendrier,MONTH(JulDim1+2)=7),JulDim1+2,""),IF(AND(YEAR(JulDim1+9)=AnnéeCalendrier,MONTH(JulDim1+9)=7),JulDim1+9,""))</f>
        <v>44747</v>
      </c>
      <c r="D27" s="5">
        <f>IF(DAY(JulDim1)=1,IF(AND(YEAR(JulDim1+3)=AnnéeCalendrier,MONTH(JulDim1+3)=7),JulDim1+3,""),IF(AND(YEAR(JulDim1+10)=AnnéeCalendrier,MONTH(JulDim1+10)=7),JulDim1+10,""))</f>
        <v>44748</v>
      </c>
      <c r="E27" s="5">
        <f>IF(DAY(JulDim1)=1,IF(AND(YEAR(JulDim1+4)=AnnéeCalendrier,MONTH(JulDim1+4)=7),JulDim1+4,""),IF(AND(YEAR(JulDim1+11)=AnnéeCalendrier,MONTH(JulDim1+11)=7),JulDim1+11,""))</f>
        <v>44749</v>
      </c>
      <c r="F27" s="5">
        <f>IF(DAY(JulDim1)=1,IF(AND(YEAR(JulDim1+5)=AnnéeCalendrier,MONTH(JulDim1+5)=7),JulDim1+5,""),IF(AND(YEAR(JulDim1+12)=AnnéeCalendrier,MONTH(JulDim1+12)=7),JulDim1+12,""))</f>
        <v>44750</v>
      </c>
      <c r="G27" s="5">
        <f>IF(DAY(JulDim1)=1,IF(AND(YEAR(JulDim1+6)=AnnéeCalendrier,MONTH(JulDim1+6)=7),JulDim1+6,""),IF(AND(YEAR(JulDim1+13)=AnnéeCalendrier,MONTH(JulDim1+13)=7),JulDim1+13,""))</f>
        <v>44751</v>
      </c>
      <c r="H27" s="7">
        <f>IF(DAY(JulDim1)=1,IF(AND(YEAR(JulDim1+7)=AnnéeCalendrier,MONTH(JulDim1+7)=7),JulDim1+7,""),IF(AND(YEAR(JulDim1+14)=AnnéeCalendrier,MONTH(JulDim1+14)=7),JulDim1+14,""))</f>
        <v>44752</v>
      </c>
      <c r="J27" s="6">
        <f>IF(DAY(AouDim1)=1,IF(AND(YEAR(AouDim1+1)=AnnéeCalendrier,MONTH(AouDim1+1)=8),AouDim1+1,""),IF(AND(YEAR(AouDim1+8)=AnnéeCalendrier,MONTH(AouDim1+8)=8),AouDim1+8,""))</f>
        <v>44781</v>
      </c>
      <c r="K27" s="5">
        <f>IF(DAY(AouDim1)=1,IF(AND(YEAR(AouDim1+2)=AnnéeCalendrier,MONTH(AouDim1+2)=8),AouDim1+2,""),IF(AND(YEAR(AouDim1+9)=AnnéeCalendrier,MONTH(AouDim1+9)=8),AouDim1+9,""))</f>
        <v>44782</v>
      </c>
      <c r="L27" s="5">
        <f>IF(DAY(AouDim1)=1,IF(AND(YEAR(AouDim1+3)=AnnéeCalendrier,MONTH(AouDim1+3)=8),AouDim1+3,""),IF(AND(YEAR(AouDim1+10)=AnnéeCalendrier,MONTH(AouDim1+10)=8),AouDim1+10,""))</f>
        <v>44783</v>
      </c>
      <c r="M27" s="5">
        <f>IF(DAY(AouDim1)=1,IF(AND(YEAR(AouDim1+4)=AnnéeCalendrier,MONTH(AouDim1+4)=8),AouDim1+4,""),IF(AND(YEAR(AouDim1+11)=AnnéeCalendrier,MONTH(AouDim1+11)=8),AouDim1+11,""))</f>
        <v>44784</v>
      </c>
      <c r="N27" s="5">
        <f>IF(DAY(AouDim1)=1,IF(AND(YEAR(AouDim1+5)=AnnéeCalendrier,MONTH(AouDim1+5)=8),AouDim1+5,""),IF(AND(YEAR(AouDim1+12)=AnnéeCalendrier,MONTH(AouDim1+12)=8),AouDim1+12,""))</f>
        <v>44785</v>
      </c>
      <c r="O27" s="5">
        <f>IF(DAY(AouDim1)=1,IF(AND(YEAR(AouDim1+6)=AnnéeCalendrier,MONTH(AouDim1+6)=8),AouDim1+6,""),IF(AND(YEAR(AouDim1+13)=AnnéeCalendrier,MONTH(AouDim1+13)=8),AouDim1+13,""))</f>
        <v>44786</v>
      </c>
      <c r="P27" s="7">
        <f>IF(DAY(AouDim1)=1,IF(AND(YEAR(AouDim1+7)=AnnéeCalendrier,MONTH(AouDim1+7)=8),AouDim1+7,""),IF(AND(YEAR(AouDim1+14)=AnnéeCalendrier,MONTH(AouDim1+14)=8),AouDim1+14,""))</f>
        <v>44787</v>
      </c>
      <c r="Q27" s="1"/>
      <c r="R27" s="6">
        <f>IF(DAY(SepDim1)=1,IF(AND(YEAR(SepDim1+1)=AnnéeCalendrier,MONTH(SepDim1+1)=9),SepDim1+1,""),IF(AND(YEAR(SepDim1+8)=AnnéeCalendrier,MONTH(SepDim1+8)=9),SepDim1+8,""))</f>
        <v>44809</v>
      </c>
      <c r="S27" s="5">
        <f>IF(DAY(SepDim1)=1,IF(AND(YEAR(SepDim1+2)=AnnéeCalendrier,MONTH(SepDim1+2)=9),SepDim1+2,""),IF(AND(YEAR(SepDim1+9)=AnnéeCalendrier,MONTH(SepDim1+9)=9),SepDim1+9,""))</f>
        <v>44810</v>
      </c>
      <c r="T27" s="5">
        <f>IF(DAY(SepDim1)=1,IF(AND(YEAR(SepDim1+3)=AnnéeCalendrier,MONTH(SepDim1+3)=9),SepDim1+3,""),IF(AND(YEAR(SepDim1+10)=AnnéeCalendrier,MONTH(SepDim1+10)=9),SepDim1+10,""))</f>
        <v>44811</v>
      </c>
      <c r="U27" s="5">
        <f>IF(DAY(SepDim1)=1,IF(AND(YEAR(SepDim1+4)=AnnéeCalendrier,MONTH(SepDim1+4)=9),SepDim1+4,""),IF(AND(YEAR(SepDim1+11)=AnnéeCalendrier,MONTH(SepDim1+11)=9),SepDim1+11,""))</f>
        <v>44812</v>
      </c>
      <c r="V27" s="5">
        <f>IF(DAY(SepDim1)=1,IF(AND(YEAR(SepDim1+5)=AnnéeCalendrier,MONTH(SepDim1+5)=9),SepDim1+5,""),IF(AND(YEAR(SepDim1+12)=AnnéeCalendrier,MONTH(SepDim1+12)=9),SepDim1+12,""))</f>
        <v>44813</v>
      </c>
      <c r="W27" s="5">
        <f>IF(DAY(SepDim1)=1,IF(AND(YEAR(SepDim1+6)=AnnéeCalendrier,MONTH(SepDim1+6)=9),SepDim1+6,""),IF(AND(YEAR(SepDim1+13)=AnnéeCalendrier,MONTH(SepDim1+13)=9),SepDim1+13,""))</f>
        <v>44814</v>
      </c>
      <c r="X27" s="7">
        <f>IF(DAY(SepDim1)=1,IF(AND(YEAR(SepDim1+7)=AnnéeCalendrier,MONTH(SepDim1+7)=9),SepDim1+7,""),IF(AND(YEAR(SepDim1+14)=AnnéeCalendrier,MONTH(SepDim1+14)=9),SepDim1+14,""))</f>
        <v>44815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44753</v>
      </c>
      <c r="C28" s="5">
        <f>IF(DAY(JulDim1)=1,IF(AND(YEAR(JulDim1+9)=AnnéeCalendrier,MONTH(JulDim1+9)=7),JulDim1+9,""),IF(AND(YEAR(JulDim1+16)=AnnéeCalendrier,MONTH(JulDim1+16)=7),JulDim1+16,""))</f>
        <v>44754</v>
      </c>
      <c r="D28" s="5">
        <f>IF(DAY(JulDim1)=1,IF(AND(YEAR(JulDim1+10)=AnnéeCalendrier,MONTH(JulDim1+10)=7),JulDim1+10,""),IF(AND(YEAR(JulDim1+17)=AnnéeCalendrier,MONTH(JulDim1+17)=7),JulDim1+17,""))</f>
        <v>44755</v>
      </c>
      <c r="E28" s="5">
        <f>IF(DAY(JulDim1)=1,IF(AND(YEAR(JulDim1+11)=AnnéeCalendrier,MONTH(JulDim1+11)=7),JulDim1+11,""),IF(AND(YEAR(JulDim1+18)=AnnéeCalendrier,MONTH(JulDim1+18)=7),JulDim1+18,""))</f>
        <v>44756</v>
      </c>
      <c r="F28" s="5">
        <f>IF(DAY(JulDim1)=1,IF(AND(YEAR(JulDim1+12)=AnnéeCalendrier,MONTH(JulDim1+12)=7),JulDim1+12,""),IF(AND(YEAR(JulDim1+19)=AnnéeCalendrier,MONTH(JulDim1+19)=7),JulDim1+19,""))</f>
        <v>44757</v>
      </c>
      <c r="G28" s="5">
        <f>IF(DAY(JulDim1)=1,IF(AND(YEAR(JulDim1+13)=AnnéeCalendrier,MONTH(JulDim1+13)=7),JulDim1+13,""),IF(AND(YEAR(JulDim1+20)=AnnéeCalendrier,MONTH(JulDim1+20)=7),JulDim1+20,""))</f>
        <v>44758</v>
      </c>
      <c r="H28" s="7">
        <f>IF(DAY(JulDim1)=1,IF(AND(YEAR(JulDim1+14)=AnnéeCalendrier,MONTH(JulDim1+14)=7),JulDim1+14,""),IF(AND(YEAR(JulDim1+21)=AnnéeCalendrier,MONTH(JulDim1+21)=7),JulDim1+21,""))</f>
        <v>44759</v>
      </c>
      <c r="J28" s="6">
        <f>IF(DAY(AouDim1)=1,IF(AND(YEAR(AouDim1+8)=AnnéeCalendrier,MONTH(AouDim1+8)=8),AouDim1+8,""),IF(AND(YEAR(AouDim1+15)=AnnéeCalendrier,MONTH(AouDim1+15)=8),AouDim1+15,""))</f>
        <v>44788</v>
      </c>
      <c r="K28" s="5">
        <f>IF(DAY(AouDim1)=1,IF(AND(YEAR(AouDim1+9)=AnnéeCalendrier,MONTH(AouDim1+9)=8),AouDim1+9,""),IF(AND(YEAR(AouDim1+16)=AnnéeCalendrier,MONTH(AouDim1+16)=8),AouDim1+16,""))</f>
        <v>44789</v>
      </c>
      <c r="L28" s="5">
        <f>IF(DAY(AouDim1)=1,IF(AND(YEAR(AouDim1+10)=AnnéeCalendrier,MONTH(AouDim1+10)=8),AouDim1+10,""),IF(AND(YEAR(AouDim1+17)=AnnéeCalendrier,MONTH(AouDim1+17)=8),AouDim1+17,""))</f>
        <v>44790</v>
      </c>
      <c r="M28" s="5">
        <f>IF(DAY(AouDim1)=1,IF(AND(YEAR(AouDim1+11)=AnnéeCalendrier,MONTH(AouDim1+11)=8),AouDim1+11,""),IF(AND(YEAR(AouDim1+18)=AnnéeCalendrier,MONTH(AouDim1+18)=8),AouDim1+18,""))</f>
        <v>44791</v>
      </c>
      <c r="N28" s="5">
        <f>IF(DAY(AouDim1)=1,IF(AND(YEAR(AouDim1+12)=AnnéeCalendrier,MONTH(AouDim1+12)=8),AouDim1+12,""),IF(AND(YEAR(AouDim1+19)=AnnéeCalendrier,MONTH(AouDim1+19)=8),AouDim1+19,""))</f>
        <v>44792</v>
      </c>
      <c r="O28" s="5">
        <f>IF(DAY(AouDim1)=1,IF(AND(YEAR(AouDim1+13)=AnnéeCalendrier,MONTH(AouDim1+13)=8),AouDim1+13,""),IF(AND(YEAR(AouDim1+20)=AnnéeCalendrier,MONTH(AouDim1+20)=8),AouDim1+20,""))</f>
        <v>44793</v>
      </c>
      <c r="P28" s="7">
        <f>IF(DAY(AouDim1)=1,IF(AND(YEAR(AouDim1+14)=AnnéeCalendrier,MONTH(AouDim1+14)=8),AouDim1+14,""),IF(AND(YEAR(AouDim1+21)=AnnéeCalendrier,MONTH(AouDim1+21)=8),AouDim1+21,""))</f>
        <v>44794</v>
      </c>
      <c r="Q28" s="1"/>
      <c r="R28" s="6">
        <f>IF(DAY(SepDim1)=1,IF(AND(YEAR(SepDim1+8)=AnnéeCalendrier,MONTH(SepDim1+8)=9),SepDim1+8,""),IF(AND(YEAR(SepDim1+15)=AnnéeCalendrier,MONTH(SepDim1+15)=9),SepDim1+15,""))</f>
        <v>44816</v>
      </c>
      <c r="S28" s="5">
        <f>IF(DAY(SepDim1)=1,IF(AND(YEAR(SepDim1+9)=AnnéeCalendrier,MONTH(SepDim1+9)=9),SepDim1+9,""),IF(AND(YEAR(SepDim1+16)=AnnéeCalendrier,MONTH(SepDim1+16)=9),SepDim1+16,""))</f>
        <v>44817</v>
      </c>
      <c r="T28" s="5">
        <f>IF(DAY(SepDim1)=1,IF(AND(YEAR(SepDim1+10)=AnnéeCalendrier,MONTH(SepDim1+10)=9),SepDim1+10,""),IF(AND(YEAR(SepDim1+17)=AnnéeCalendrier,MONTH(SepDim1+17)=9),SepDim1+17,""))</f>
        <v>44818</v>
      </c>
      <c r="U28" s="5">
        <f>IF(DAY(SepDim1)=1,IF(AND(YEAR(SepDim1+11)=AnnéeCalendrier,MONTH(SepDim1+11)=9),SepDim1+11,""),IF(AND(YEAR(SepDim1+18)=AnnéeCalendrier,MONTH(SepDim1+18)=9),SepDim1+18,""))</f>
        <v>44819</v>
      </c>
      <c r="V28" s="5">
        <f>IF(DAY(SepDim1)=1,IF(AND(YEAR(SepDim1+12)=AnnéeCalendrier,MONTH(SepDim1+12)=9),SepDim1+12,""),IF(AND(YEAR(SepDim1+19)=AnnéeCalendrier,MONTH(SepDim1+19)=9),SepDim1+19,""))</f>
        <v>44820</v>
      </c>
      <c r="W28" s="5">
        <f>IF(DAY(SepDim1)=1,IF(AND(YEAR(SepDim1+13)=AnnéeCalendrier,MONTH(SepDim1+13)=9),SepDim1+13,""),IF(AND(YEAR(SepDim1+20)=AnnéeCalendrier,MONTH(SepDim1+20)=9),SepDim1+20,""))</f>
        <v>44821</v>
      </c>
      <c r="X28" s="7">
        <f>IF(DAY(SepDim1)=1,IF(AND(YEAR(SepDim1+14)=AnnéeCalendrier,MONTH(SepDim1+14)=9),SepDim1+14,""),IF(AND(YEAR(SepDim1+21)=AnnéeCalendrier,MONTH(SepDim1+21)=9),SepDim1+21,""))</f>
        <v>44822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44760</v>
      </c>
      <c r="C29" s="5">
        <f>IF(DAY(JulDim1)=1,IF(AND(YEAR(JulDim1+16)=AnnéeCalendrier,MONTH(JulDim1+16)=7),JulDim1+16,""),IF(AND(YEAR(JulDim1+23)=AnnéeCalendrier,MONTH(JulDim1+23)=7),JulDim1+23,""))</f>
        <v>44761</v>
      </c>
      <c r="D29" s="5">
        <f>IF(DAY(JulDim1)=1,IF(AND(YEAR(JulDim1+17)=AnnéeCalendrier,MONTH(JulDim1+17)=7),JulDim1+17,""),IF(AND(YEAR(JulDim1+24)=AnnéeCalendrier,MONTH(JulDim1+24)=7),JulDim1+24,""))</f>
        <v>44762</v>
      </c>
      <c r="E29" s="5">
        <f>IF(DAY(JulDim1)=1,IF(AND(YEAR(JulDim1+18)=AnnéeCalendrier,MONTH(JulDim1+18)=7),JulDim1+18,""),IF(AND(YEAR(JulDim1+25)=AnnéeCalendrier,MONTH(JulDim1+25)=7),JulDim1+25,""))</f>
        <v>44763</v>
      </c>
      <c r="F29" s="5">
        <f>IF(DAY(JulDim1)=1,IF(AND(YEAR(JulDim1+19)=AnnéeCalendrier,MONTH(JulDim1+19)=7),JulDim1+19,""),IF(AND(YEAR(JulDim1+26)=AnnéeCalendrier,MONTH(JulDim1+26)=7),JulDim1+26,""))</f>
        <v>44764</v>
      </c>
      <c r="G29" s="5">
        <f>IF(DAY(JulDim1)=1,IF(AND(YEAR(JulDim1+20)=AnnéeCalendrier,MONTH(JulDim1+20)=7),JulDim1+20,""),IF(AND(YEAR(JulDim1+27)=AnnéeCalendrier,MONTH(JulDim1+27)=7),JulDim1+27,""))</f>
        <v>44765</v>
      </c>
      <c r="H29" s="7">
        <f>IF(DAY(JulDim1)=1,IF(AND(YEAR(JulDim1+21)=AnnéeCalendrier,MONTH(JulDim1+21)=7),JulDim1+21,""),IF(AND(YEAR(JulDim1+28)=AnnéeCalendrier,MONTH(JulDim1+28)=7),JulDim1+28,""))</f>
        <v>44766</v>
      </c>
      <c r="J29" s="6">
        <f>IF(DAY(AouDim1)=1,IF(AND(YEAR(AouDim1+15)=AnnéeCalendrier,MONTH(AouDim1+15)=8),AouDim1+15,""),IF(AND(YEAR(AouDim1+22)=AnnéeCalendrier,MONTH(AouDim1+22)=8),AouDim1+22,""))</f>
        <v>44795</v>
      </c>
      <c r="K29" s="5">
        <f>IF(DAY(AouDim1)=1,IF(AND(YEAR(AouDim1+16)=AnnéeCalendrier,MONTH(AouDim1+16)=8),AouDim1+16,""),IF(AND(YEAR(AouDim1+23)=AnnéeCalendrier,MONTH(AouDim1+23)=8),AouDim1+23,""))</f>
        <v>44796</v>
      </c>
      <c r="L29" s="5">
        <f>IF(DAY(AouDim1)=1,IF(AND(YEAR(AouDim1+17)=AnnéeCalendrier,MONTH(AouDim1+17)=8),AouDim1+17,""),IF(AND(YEAR(AouDim1+24)=AnnéeCalendrier,MONTH(AouDim1+24)=8),AouDim1+24,""))</f>
        <v>44797</v>
      </c>
      <c r="M29" s="5">
        <f>IF(DAY(AouDim1)=1,IF(AND(YEAR(AouDim1+18)=AnnéeCalendrier,MONTH(AouDim1+18)=8),AouDim1+18,""),IF(AND(YEAR(AouDim1+25)=AnnéeCalendrier,MONTH(AouDim1+25)=8),AouDim1+25,""))</f>
        <v>44798</v>
      </c>
      <c r="N29" s="5">
        <f>IF(DAY(AouDim1)=1,IF(AND(YEAR(AouDim1+19)=AnnéeCalendrier,MONTH(AouDim1+19)=8),AouDim1+19,""),IF(AND(YEAR(AouDim1+26)=AnnéeCalendrier,MONTH(AouDim1+26)=8),AouDim1+26,""))</f>
        <v>44799</v>
      </c>
      <c r="O29" s="5">
        <f>IF(DAY(AouDim1)=1,IF(AND(YEAR(AouDim1+20)=AnnéeCalendrier,MONTH(AouDim1+20)=8),AouDim1+20,""),IF(AND(YEAR(AouDim1+27)=AnnéeCalendrier,MONTH(AouDim1+27)=8),AouDim1+27,""))</f>
        <v>44800</v>
      </c>
      <c r="P29" s="7">
        <f>IF(DAY(AouDim1)=1,IF(AND(YEAR(AouDim1+21)=AnnéeCalendrier,MONTH(AouDim1+21)=8),AouDim1+21,""),IF(AND(YEAR(AouDim1+28)=AnnéeCalendrier,MONTH(AouDim1+28)=8),AouDim1+28,""))</f>
        <v>44801</v>
      </c>
      <c r="Q29" s="1"/>
      <c r="R29" s="6">
        <f>IF(DAY(SepDim1)=1,IF(AND(YEAR(SepDim1+15)=AnnéeCalendrier,MONTH(SepDim1+15)=9),SepDim1+15,""),IF(AND(YEAR(SepDim1+22)=AnnéeCalendrier,MONTH(SepDim1+22)=9),SepDim1+22,""))</f>
        <v>44823</v>
      </c>
      <c r="S29" s="5">
        <f>IF(DAY(SepDim1)=1,IF(AND(YEAR(SepDim1+16)=AnnéeCalendrier,MONTH(SepDim1+16)=9),SepDim1+16,""),IF(AND(YEAR(SepDim1+23)=AnnéeCalendrier,MONTH(SepDim1+23)=9),SepDim1+23,""))</f>
        <v>44824</v>
      </c>
      <c r="T29" s="5">
        <f>IF(DAY(SepDim1)=1,IF(AND(YEAR(SepDim1+17)=AnnéeCalendrier,MONTH(SepDim1+17)=9),SepDim1+17,""),IF(AND(YEAR(SepDim1+24)=AnnéeCalendrier,MONTH(SepDim1+24)=9),SepDim1+24,""))</f>
        <v>44825</v>
      </c>
      <c r="U29" s="5">
        <f>IF(DAY(SepDim1)=1,IF(AND(YEAR(SepDim1+18)=AnnéeCalendrier,MONTH(SepDim1+18)=9),SepDim1+18,""),IF(AND(YEAR(SepDim1+25)=AnnéeCalendrier,MONTH(SepDim1+25)=9),SepDim1+25,""))</f>
        <v>44826</v>
      </c>
      <c r="V29" s="5">
        <f>IF(DAY(SepDim1)=1,IF(AND(YEAR(SepDim1+19)=AnnéeCalendrier,MONTH(SepDim1+19)=9),SepDim1+19,""),IF(AND(YEAR(SepDim1+26)=AnnéeCalendrier,MONTH(SepDim1+26)=9),SepDim1+26,""))</f>
        <v>44827</v>
      </c>
      <c r="W29" s="5">
        <f>IF(DAY(SepDim1)=1,IF(AND(YEAR(SepDim1+20)=AnnéeCalendrier,MONTH(SepDim1+20)=9),SepDim1+20,""),IF(AND(YEAR(SepDim1+27)=AnnéeCalendrier,MONTH(SepDim1+27)=9),SepDim1+27,""))</f>
        <v>44828</v>
      </c>
      <c r="X29" s="7">
        <f>IF(DAY(SepDim1)=1,IF(AND(YEAR(SepDim1+21)=AnnéeCalendrier,MONTH(SepDim1+21)=9),SepDim1+21,""),IF(AND(YEAR(SepDim1+28)=AnnéeCalendrier,MONTH(SepDim1+28)=9),SepDim1+28,""))</f>
        <v>44829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44767</v>
      </c>
      <c r="C30" s="5">
        <f>IF(DAY(JulDim1)=1,IF(AND(YEAR(JulDim1+23)=AnnéeCalendrier,MONTH(JulDim1+23)=7),JulDim1+23,""),IF(AND(YEAR(JulDim1+30)=AnnéeCalendrier,MONTH(JulDim1+30)=7),JulDim1+30,""))</f>
        <v>44768</v>
      </c>
      <c r="D30" s="5">
        <f>IF(DAY(JulDim1)=1,IF(AND(YEAR(JulDim1+24)=AnnéeCalendrier,MONTH(JulDim1+24)=7),JulDim1+24,""),IF(AND(YEAR(JulDim1+31)=AnnéeCalendrier,MONTH(JulDim1+31)=7),JulDim1+31,""))</f>
        <v>44769</v>
      </c>
      <c r="E30" s="5">
        <f>IF(DAY(JulDim1)=1,IF(AND(YEAR(JulDim1+25)=AnnéeCalendrier,MONTH(JulDim1+25)=7),JulDim1+25,""),IF(AND(YEAR(JulDim1+32)=AnnéeCalendrier,MONTH(JulDim1+32)=7),JulDim1+32,""))</f>
        <v>44770</v>
      </c>
      <c r="F30" s="5">
        <f>IF(DAY(JulDim1)=1,IF(AND(YEAR(JulDim1+26)=AnnéeCalendrier,MONTH(JulDim1+26)=7),JulDim1+26,""),IF(AND(YEAR(JulDim1+33)=AnnéeCalendrier,MONTH(JulDim1+33)=7),JulDim1+33,""))</f>
        <v>44771</v>
      </c>
      <c r="G30" s="5">
        <f>IF(DAY(JulDim1)=1,IF(AND(YEAR(JulDim1+27)=AnnéeCalendrier,MONTH(JulDim1+27)=7),JulDim1+27,""),IF(AND(YEAR(JulDim1+34)=AnnéeCalendrier,MONTH(JulDim1+34)=7),JulDim1+34,""))</f>
        <v>44772</v>
      </c>
      <c r="H30" s="7">
        <f>IF(DAY(JulDim1)=1,IF(AND(YEAR(JulDim1+28)=AnnéeCalendrier,MONTH(JulDim1+28)=7),JulDim1+28,""),IF(AND(YEAR(JulDim1+35)=AnnéeCalendrier,MONTH(JulDim1+35)=7),JulDim1+35,""))</f>
        <v>44773</v>
      </c>
      <c r="J30" s="6">
        <f>IF(DAY(AouDim1)=1,IF(AND(YEAR(AouDim1+22)=AnnéeCalendrier,MONTH(AouDim1+22)=8),AouDim1+22,""),IF(AND(YEAR(AouDim1+29)=AnnéeCalendrier,MONTH(AouDim1+29)=8),AouDim1+29,""))</f>
        <v>44802</v>
      </c>
      <c r="K30" s="5">
        <f>IF(DAY(AouDim1)=1,IF(AND(YEAR(AouDim1+23)=AnnéeCalendrier,MONTH(AouDim1+23)=8),AouDim1+23,""),IF(AND(YEAR(AouDim1+30)=AnnéeCalendrier,MONTH(AouDim1+30)=8),AouDim1+30,""))</f>
        <v>44803</v>
      </c>
      <c r="L30" s="5">
        <f>IF(DAY(AouDim1)=1,IF(AND(YEAR(AouDim1+24)=AnnéeCalendrier,MONTH(AouDim1+24)=8),AouDim1+24,""),IF(AND(YEAR(AouDim1+31)=AnnéeCalendrier,MONTH(AouDim1+31)=8),AouDim1+31,""))</f>
        <v>44804</v>
      </c>
      <c r="M30" s="5" t="str">
        <f>IF(DAY(AouDim1)=1,IF(AND(YEAR(AouDim1+25)=AnnéeCalendrier,MONTH(AouDim1+25)=8),AouDim1+25,""),IF(AND(YEAR(AouDim1+32)=AnnéeCalendrier,MONTH(AouDim1+32)=8),AouDim1+32,""))</f>
        <v/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44830</v>
      </c>
      <c r="S30" s="5">
        <f>IF(DAY(SepDim1)=1,IF(AND(YEAR(SepDim1+23)=AnnéeCalendrier,MONTH(SepDim1+23)=9),SepDim1+23,""),IF(AND(YEAR(SepDim1+30)=AnnéeCalendrier,MONTH(SepDim1+30)=9),SepDim1+30,""))</f>
        <v>44831</v>
      </c>
      <c r="T30" s="5">
        <f>IF(DAY(SepDim1)=1,IF(AND(YEAR(SepDim1+24)=AnnéeCalendrier,MONTH(SepDim1+24)=9),SepDim1+24,""),IF(AND(YEAR(SepDim1+31)=AnnéeCalendrier,MONTH(SepDim1+31)=9),SepDim1+31,""))</f>
        <v>44832</v>
      </c>
      <c r="U30" s="5">
        <f>IF(DAY(SepDim1)=1,IF(AND(YEAR(SepDim1+25)=AnnéeCalendrier,MONTH(SepDim1+25)=9),SepDim1+25,""),IF(AND(YEAR(SepDim1+32)=AnnéeCalendrier,MONTH(SepDim1+32)=9),SepDim1+32,""))</f>
        <v>44833</v>
      </c>
      <c r="V30" s="5">
        <f>IF(DAY(SepDim1)=1,IF(AND(YEAR(SepDim1+26)=AnnéeCalendrier,MONTH(SepDim1+26)=9),SepDim1+26,""),IF(AND(YEAR(SepDim1+33)=AnnéeCalendrier,MONTH(SepDim1+33)=9),SepDim1+33,""))</f>
        <v>44834</v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>
        <f>IF(DAY(OctDim1)=1,"",IF(AND(YEAR(OctDim1+6)=AnnéeCalendrier,MONTH(OctDim1+6)=10),OctDim1+6,""))</f>
        <v>44835</v>
      </c>
      <c r="H35" s="7">
        <f>IF(DAY(OctDim1)=1,IF(AND(YEAR(OctDim1)=AnnéeCalendrier,MONTH(OctDim1)=10),OctDim1,""),IF(AND(YEAR(OctDim1+7)=AnnéeCalendrier,MONTH(OctDim1+7)=10),OctDim1+7,""))</f>
        <v>44836</v>
      </c>
      <c r="I35" s="4"/>
      <c r="J35" s="6" t="str">
        <f>IF(DAY(NovDim1)=1,"",IF(AND(YEAR(NovDim1+1)=AnnéeCalendrier,MONTH(NovDim1+1)=11),NovDim1+1,""))</f>
        <v/>
      </c>
      <c r="K35" s="5">
        <f>IF(DAY(NovDim1)=1,"",IF(AND(YEAR(NovDim1+2)=AnnéeCalendrier,MONTH(NovDim1+2)=11),NovDim1+2,""))</f>
        <v>44866</v>
      </c>
      <c r="L35" s="5">
        <f>IF(DAY(NovDim1)=1,"",IF(AND(YEAR(NovDim1+3)=AnnéeCalendrier,MONTH(NovDim1+3)=11),NovDim1+3,""))</f>
        <v>44867</v>
      </c>
      <c r="M35" s="5">
        <f>IF(DAY(NovDim1)=1,"",IF(AND(YEAR(NovDim1+4)=AnnéeCalendrier,MONTH(NovDim1+4)=11),NovDim1+4,""))</f>
        <v>44868</v>
      </c>
      <c r="N35" s="5">
        <f>IF(DAY(NovDim1)=1,"",IF(AND(YEAR(NovDim1+5)=AnnéeCalendrier,MONTH(NovDim1+5)=11),NovDim1+5,""))</f>
        <v>44869</v>
      </c>
      <c r="O35" s="5">
        <f>IF(DAY(NovDim1)=1,"",IF(AND(YEAR(NovDim1+6)=AnnéeCalendrier,MONTH(NovDim1+6)=11),NovDim1+6,""))</f>
        <v>44870</v>
      </c>
      <c r="P35" s="7">
        <f>IF(DAY(NovDim1)=1,IF(AND(YEAR(NovDim1)=AnnéeCalendrier,MONTH(NovDim1)=11),NovDim1,""),IF(AND(YEAR(NovDim1+7)=AnnéeCalendrier,MONTH(NovDim1+7)=11),NovDim1+7,""))</f>
        <v>44871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44837</v>
      </c>
      <c r="C36" s="5">
        <f>IF(DAY(OctDim1)=1,IF(AND(YEAR(OctDim1+2)=AnnéeCalendrier,MONTH(OctDim1+2)=10),OctDim1+2,""),IF(AND(YEAR(OctDim1+9)=AnnéeCalendrier,MONTH(OctDim1+9)=10),OctDim1+9,""))</f>
        <v>44838</v>
      </c>
      <c r="D36" s="5">
        <f>IF(DAY(OctDim1)=1,IF(AND(YEAR(OctDim1+3)=AnnéeCalendrier,MONTH(OctDim1+3)=10),OctDim1+3,""),IF(AND(YEAR(OctDim1+10)=AnnéeCalendrier,MONTH(OctDim1+10)=10),OctDim1+10,""))</f>
        <v>44839</v>
      </c>
      <c r="E36" s="5">
        <f>IF(DAY(OctDim1)=1,IF(AND(YEAR(OctDim1+4)=AnnéeCalendrier,MONTH(OctDim1+4)=10),OctDim1+4,""),IF(AND(YEAR(OctDim1+11)=AnnéeCalendrier,MONTH(OctDim1+11)=10),OctDim1+11,""))</f>
        <v>44840</v>
      </c>
      <c r="F36" s="5">
        <f>IF(DAY(OctDim1)=1,IF(AND(YEAR(OctDim1+5)=AnnéeCalendrier,MONTH(OctDim1+5)=10),OctDim1+5,""),IF(AND(YEAR(OctDim1+12)=AnnéeCalendrier,MONTH(OctDim1+12)=10),OctDim1+12,""))</f>
        <v>44841</v>
      </c>
      <c r="G36" s="5">
        <f>IF(DAY(OctDim1)=1,IF(AND(YEAR(OctDim1+6)=AnnéeCalendrier,MONTH(OctDim1+6)=10),OctDim1+6,""),IF(AND(YEAR(OctDim1+13)=AnnéeCalendrier,MONTH(OctDim1+13)=10),OctDim1+13,""))</f>
        <v>44842</v>
      </c>
      <c r="H36" s="7">
        <f>IF(DAY(OctDim1)=1,IF(AND(YEAR(OctDim1+7)=AnnéeCalendrier,MONTH(OctDim1+7)=10),OctDim1+7,""),IF(AND(YEAR(OctDim1+14)=AnnéeCalendrier,MONTH(OctDim1+14)=10),OctDim1+14,""))</f>
        <v>44843</v>
      </c>
      <c r="I36" s="4"/>
      <c r="J36" s="6">
        <f>IF(DAY(NovDim1)=1,IF(AND(YEAR(NovDim1+1)=AnnéeCalendrier,MONTH(NovDim1+1)=11),NovDim1+1,""),IF(AND(YEAR(NovDim1+8)=AnnéeCalendrier,MONTH(NovDim1+8)=11),NovDim1+8,""))</f>
        <v>44872</v>
      </c>
      <c r="K36" s="5">
        <f>IF(DAY(NovDim1)=1,IF(AND(YEAR(NovDim1+2)=AnnéeCalendrier,MONTH(NovDim1+2)=11),NovDim1+2,""),IF(AND(YEAR(NovDim1+9)=AnnéeCalendrier,MONTH(NovDim1+9)=11),NovDim1+9,""))</f>
        <v>44873</v>
      </c>
      <c r="L36" s="5">
        <f>IF(DAY(NovDim1)=1,IF(AND(YEAR(NovDim1+3)=AnnéeCalendrier,MONTH(NovDim1+3)=11),NovDim1+3,""),IF(AND(YEAR(NovDim1+10)=AnnéeCalendrier,MONTH(NovDim1+10)=11),NovDim1+10,""))</f>
        <v>44874</v>
      </c>
      <c r="M36" s="5">
        <f>IF(DAY(NovDim1)=1,IF(AND(YEAR(NovDim1+4)=AnnéeCalendrier,MONTH(NovDim1+4)=11),NovDim1+4,""),IF(AND(YEAR(NovDim1+11)=AnnéeCalendrier,MONTH(NovDim1+11)=11),NovDim1+11,""))</f>
        <v>44875</v>
      </c>
      <c r="N36" s="5">
        <f>IF(DAY(NovDim1)=1,IF(AND(YEAR(NovDim1+5)=AnnéeCalendrier,MONTH(NovDim1+5)=11),NovDim1+5,""),IF(AND(YEAR(NovDim1+12)=AnnéeCalendrier,MONTH(NovDim1+12)=11),NovDim1+12,""))</f>
        <v>44876</v>
      </c>
      <c r="O36" s="5">
        <f>IF(DAY(NovDim1)=1,IF(AND(YEAR(NovDim1+6)=AnnéeCalendrier,MONTH(NovDim1+6)=11),NovDim1+6,""),IF(AND(YEAR(NovDim1+13)=AnnéeCalendrier,MONTH(NovDim1+13)=11),NovDim1+13,""))</f>
        <v>44877</v>
      </c>
      <c r="P36" s="7">
        <f>IF(DAY(NovDim1)=1,IF(AND(YEAR(NovDim1+7)=AnnéeCalendrier,MONTH(NovDim1+7)=11),NovDim1+7,""),IF(AND(YEAR(NovDim1+14)=AnnéeCalendrier,MONTH(NovDim1+14)=11),NovDim1+14,""))</f>
        <v>44878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44844</v>
      </c>
      <c r="C37" s="5">
        <f>IF(DAY(OctDim1)=1,IF(AND(YEAR(OctDim1+9)=AnnéeCalendrier,MONTH(OctDim1+9)=10),OctDim1+9,""),IF(AND(YEAR(OctDim1+16)=AnnéeCalendrier,MONTH(OctDim1+16)=10),OctDim1+16,""))</f>
        <v>44845</v>
      </c>
      <c r="D37" s="5">
        <f>IF(DAY(OctDim1)=1,IF(AND(YEAR(OctDim1+10)=AnnéeCalendrier,MONTH(OctDim1+10)=10),OctDim1+10,""),IF(AND(YEAR(OctDim1+17)=AnnéeCalendrier,MONTH(OctDim1+17)=10),OctDim1+17,""))</f>
        <v>44846</v>
      </c>
      <c r="E37" s="5">
        <f>IF(DAY(OctDim1)=1,IF(AND(YEAR(OctDim1+11)=AnnéeCalendrier,MONTH(OctDim1+11)=10),OctDim1+11,""),IF(AND(YEAR(OctDim1+18)=AnnéeCalendrier,MONTH(OctDim1+18)=10),OctDim1+18,""))</f>
        <v>44847</v>
      </c>
      <c r="F37" s="5">
        <f>IF(DAY(OctDim1)=1,IF(AND(YEAR(OctDim1+12)=AnnéeCalendrier,MONTH(OctDim1+12)=10),OctDim1+12,""),IF(AND(YEAR(OctDim1+19)=AnnéeCalendrier,MONTH(OctDim1+19)=10),OctDim1+19,""))</f>
        <v>44848</v>
      </c>
      <c r="G37" s="5">
        <f>IF(DAY(OctDim1)=1,IF(AND(YEAR(OctDim1+13)=AnnéeCalendrier,MONTH(OctDim1+13)=10),OctDim1+13,""),IF(AND(YEAR(OctDim1+20)=AnnéeCalendrier,MONTH(OctDim1+20)=10),OctDim1+20,""))</f>
        <v>44849</v>
      </c>
      <c r="H37" s="7">
        <f>IF(DAY(OctDim1)=1,IF(AND(YEAR(OctDim1+14)=AnnéeCalendrier,MONTH(OctDim1+14)=10),OctDim1+14,""),IF(AND(YEAR(OctDim1+21)=AnnéeCalendrier,MONTH(OctDim1+21)=10),OctDim1+21,""))</f>
        <v>44850</v>
      </c>
      <c r="I37" s="4"/>
      <c r="J37" s="6">
        <f>IF(DAY(NovDim1)=1,IF(AND(YEAR(NovDim1+8)=AnnéeCalendrier,MONTH(NovDim1+8)=11),NovDim1+8,""),IF(AND(YEAR(NovDim1+15)=AnnéeCalendrier,MONTH(NovDim1+15)=11),NovDim1+15,""))</f>
        <v>44879</v>
      </c>
      <c r="K37" s="5">
        <f>IF(DAY(NovDim1)=1,IF(AND(YEAR(NovDim1+9)=AnnéeCalendrier,MONTH(NovDim1+9)=11),NovDim1+9,""),IF(AND(YEAR(NovDim1+16)=AnnéeCalendrier,MONTH(NovDim1+16)=11),NovDim1+16,""))</f>
        <v>44880</v>
      </c>
      <c r="L37" s="5">
        <f>IF(DAY(NovDim1)=1,IF(AND(YEAR(NovDim1+10)=AnnéeCalendrier,MONTH(NovDim1+10)=11),NovDim1+10,""),IF(AND(YEAR(NovDim1+17)=AnnéeCalendrier,MONTH(NovDim1+17)=11),NovDim1+17,""))</f>
        <v>44881</v>
      </c>
      <c r="M37" s="5">
        <f>IF(DAY(NovDim1)=1,IF(AND(YEAR(NovDim1+11)=AnnéeCalendrier,MONTH(NovDim1+11)=11),NovDim1+11,""),IF(AND(YEAR(NovDim1+18)=AnnéeCalendrier,MONTH(NovDim1+18)=11),NovDim1+18,""))</f>
        <v>44882</v>
      </c>
      <c r="N37" s="5">
        <f>IF(DAY(NovDim1)=1,IF(AND(YEAR(NovDim1+12)=AnnéeCalendrier,MONTH(NovDim1+12)=11),NovDim1+12,""),IF(AND(YEAR(NovDim1+19)=AnnéeCalendrier,MONTH(NovDim1+19)=11),NovDim1+19,""))</f>
        <v>44883</v>
      </c>
      <c r="O37" s="5">
        <f>IF(DAY(NovDim1)=1,IF(AND(YEAR(NovDim1+13)=AnnéeCalendrier,MONTH(NovDim1+13)=11),NovDim1+13,""),IF(AND(YEAR(NovDim1+20)=AnnéeCalendrier,MONTH(NovDim1+20)=11),NovDim1+20,""))</f>
        <v>44884</v>
      </c>
      <c r="P37" s="7">
        <f>IF(DAY(NovDim1)=1,IF(AND(YEAR(NovDim1+14)=AnnéeCalendrier,MONTH(NovDim1+14)=11),NovDim1+14,""),IF(AND(YEAR(NovDim1+21)=AnnéeCalendrier,MONTH(NovDim1+21)=11),NovDim1+21,""))</f>
        <v>44885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44851</v>
      </c>
      <c r="C38" s="5">
        <f>IF(DAY(OctDim1)=1,IF(AND(YEAR(OctDim1+16)=AnnéeCalendrier,MONTH(OctDim1+16)=10),OctDim1+16,""),IF(AND(YEAR(OctDim1+23)=AnnéeCalendrier,MONTH(OctDim1+23)=10),OctDim1+23,""))</f>
        <v>44852</v>
      </c>
      <c r="D38" s="5">
        <f>IF(DAY(OctDim1)=1,IF(AND(YEAR(OctDim1+17)=AnnéeCalendrier,MONTH(OctDim1+17)=10),OctDim1+17,""),IF(AND(YEAR(OctDim1+24)=AnnéeCalendrier,MONTH(OctDim1+24)=10),OctDim1+24,""))</f>
        <v>44853</v>
      </c>
      <c r="E38" s="5">
        <f>IF(DAY(OctDim1)=1,IF(AND(YEAR(OctDim1+18)=AnnéeCalendrier,MONTH(OctDim1+18)=10),OctDim1+18,""),IF(AND(YEAR(OctDim1+25)=AnnéeCalendrier,MONTH(OctDim1+25)=10),OctDim1+25,""))</f>
        <v>44854</v>
      </c>
      <c r="F38" s="5">
        <f>IF(DAY(OctDim1)=1,IF(AND(YEAR(OctDim1+19)=AnnéeCalendrier,MONTH(OctDim1+19)=10),OctDim1+19,""),IF(AND(YEAR(OctDim1+26)=AnnéeCalendrier,MONTH(OctDim1+26)=10),OctDim1+26,""))</f>
        <v>44855</v>
      </c>
      <c r="G38" s="5">
        <f>IF(DAY(OctDim1)=1,IF(AND(YEAR(OctDim1+20)=AnnéeCalendrier,MONTH(OctDim1+20)=10),OctDim1+20,""),IF(AND(YEAR(OctDim1+27)=AnnéeCalendrier,MONTH(OctDim1+27)=10),OctDim1+27,""))</f>
        <v>44856</v>
      </c>
      <c r="H38" s="7">
        <f>IF(DAY(OctDim1)=1,IF(AND(YEAR(OctDim1+21)=AnnéeCalendrier,MONTH(OctDim1+21)=10),OctDim1+21,""),IF(AND(YEAR(OctDim1+28)=AnnéeCalendrier,MONTH(OctDim1+28)=10),OctDim1+28,""))</f>
        <v>44857</v>
      </c>
      <c r="I38" s="4"/>
      <c r="J38" s="6">
        <f>IF(DAY(NovDim1)=1,IF(AND(YEAR(NovDim1+15)=AnnéeCalendrier,MONTH(NovDim1+15)=11),NovDim1+15,""),IF(AND(YEAR(NovDim1+22)=AnnéeCalendrier,MONTH(NovDim1+22)=11),NovDim1+22,""))</f>
        <v>44886</v>
      </c>
      <c r="K38" s="5">
        <f>IF(DAY(NovDim1)=1,IF(AND(YEAR(NovDim1+16)=AnnéeCalendrier,MONTH(NovDim1+16)=11),NovDim1+16,""),IF(AND(YEAR(NovDim1+23)=AnnéeCalendrier,MONTH(NovDim1+23)=11),NovDim1+23,""))</f>
        <v>44887</v>
      </c>
      <c r="L38" s="5">
        <f>IF(DAY(NovDim1)=1,IF(AND(YEAR(NovDim1+17)=AnnéeCalendrier,MONTH(NovDim1+17)=11),NovDim1+17,""),IF(AND(YEAR(NovDim1+24)=AnnéeCalendrier,MONTH(NovDim1+24)=11),NovDim1+24,""))</f>
        <v>44888</v>
      </c>
      <c r="M38" s="5">
        <f>IF(DAY(NovDim1)=1,IF(AND(YEAR(NovDim1+18)=AnnéeCalendrier,MONTH(NovDim1+18)=11),NovDim1+18,""),IF(AND(YEAR(NovDim1+25)=AnnéeCalendrier,MONTH(NovDim1+25)=11),NovDim1+25,""))</f>
        <v>44889</v>
      </c>
      <c r="N38" s="5">
        <f>IF(DAY(NovDim1)=1,IF(AND(YEAR(NovDim1+19)=AnnéeCalendrier,MONTH(NovDim1+19)=11),NovDim1+19,""),IF(AND(YEAR(NovDim1+26)=AnnéeCalendrier,MONTH(NovDim1+26)=11),NovDim1+26,""))</f>
        <v>44890</v>
      </c>
      <c r="O38" s="5">
        <f>IF(DAY(NovDim1)=1,IF(AND(YEAR(NovDim1+20)=AnnéeCalendrier,MONTH(NovDim1+20)=11),NovDim1+20,""),IF(AND(YEAR(NovDim1+27)=AnnéeCalendrier,MONTH(NovDim1+27)=11),NovDim1+27,""))</f>
        <v>44891</v>
      </c>
      <c r="P38" s="7">
        <f>IF(DAY(NovDim1)=1,IF(AND(YEAR(NovDim1+21)=AnnéeCalendrier,MONTH(NovDim1+21)=11),NovDim1+21,""),IF(AND(YEAR(NovDim1+28)=AnnéeCalendrier,MONTH(NovDim1+28)=11),NovDim1+28,""))</f>
        <v>44892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44858</v>
      </c>
      <c r="C39" s="5">
        <f>IF(DAY(OctDim1)=1,IF(AND(YEAR(OctDim1+23)=AnnéeCalendrier,MONTH(OctDim1+23)=10),OctDim1+23,""),IF(AND(YEAR(OctDim1+30)=AnnéeCalendrier,MONTH(OctDim1+30)=10),OctDim1+30,""))</f>
        <v>44859</v>
      </c>
      <c r="D39" s="5">
        <f>IF(DAY(OctDim1)=1,IF(AND(YEAR(OctDim1+24)=AnnéeCalendrier,MONTH(OctDim1+24)=10),OctDim1+24,""),IF(AND(YEAR(OctDim1+31)=AnnéeCalendrier,MONTH(OctDim1+31)=10),OctDim1+31,""))</f>
        <v>44860</v>
      </c>
      <c r="E39" s="5">
        <f>IF(DAY(OctDim1)=1,IF(AND(YEAR(OctDim1+25)=AnnéeCalendrier,MONTH(OctDim1+25)=10),OctDim1+25,""),IF(AND(YEAR(OctDim1+32)=AnnéeCalendrier,MONTH(OctDim1+32)=10),OctDim1+32,""))</f>
        <v>44861</v>
      </c>
      <c r="F39" s="5">
        <f>IF(DAY(OctDim1)=1,IF(AND(YEAR(OctDim1+26)=AnnéeCalendrier,MONTH(OctDim1+26)=10),OctDim1+26,""),IF(AND(YEAR(OctDim1+33)=AnnéeCalendrier,MONTH(OctDim1+33)=10),OctDim1+33,""))</f>
        <v>44862</v>
      </c>
      <c r="G39" s="5">
        <f>IF(DAY(OctDim1)=1,IF(AND(YEAR(OctDim1+27)=AnnéeCalendrier,MONTH(OctDim1+27)=10),OctDim1+27,""),IF(AND(YEAR(OctDim1+34)=AnnéeCalendrier,MONTH(OctDim1+34)=10),OctDim1+34,""))</f>
        <v>44863</v>
      </c>
      <c r="H39" s="7">
        <f>IF(DAY(OctDim1)=1,IF(AND(YEAR(OctDim1+28)=AnnéeCalendrier,MONTH(OctDim1+28)=10),OctDim1+28,""),IF(AND(YEAR(OctDim1+35)=AnnéeCalendrier,MONTH(OctDim1+35)=10),OctDim1+35,""))</f>
        <v>44864</v>
      </c>
      <c r="I39" s="4"/>
      <c r="J39" s="6">
        <f>IF(DAY(NovDim1)=1,IF(AND(YEAR(NovDim1+22)=AnnéeCalendrier,MONTH(NovDim1+22)=11),NovDim1+22,""),IF(AND(YEAR(NovDim1+29)=AnnéeCalendrier,MONTH(NovDim1+29)=11),NovDim1+29,""))</f>
        <v>44893</v>
      </c>
      <c r="K39" s="5">
        <f>IF(DAY(NovDim1)=1,IF(AND(YEAR(NovDim1+23)=AnnéeCalendrier,MONTH(NovDim1+23)=11),NovDim1+23,""),IF(AND(YEAR(NovDim1+30)=AnnéeCalendrier,MONTH(NovDim1+30)=11),NovDim1+30,""))</f>
        <v>44894</v>
      </c>
      <c r="L39" s="5">
        <f>IF(DAY(NovDim1)=1,IF(AND(YEAR(NovDim1+24)=AnnéeCalendrier,MONTH(NovDim1+24)=11),NovDim1+24,""),IF(AND(YEAR(NovDim1+31)=AnnéeCalendrier,MONTH(NovDim1+31)=11),NovDim1+31,""))</f>
        <v>44895</v>
      </c>
      <c r="M39" s="5" t="str">
        <f>IF(DAY(NovDim1)=1,IF(AND(YEAR(NovDim1+25)=AnnéeCalendrier,MONTH(NovDim1+25)=11),NovDim1+25,""),IF(AND(YEAR(NovDim1+32)=AnnéeCalendrier,MONTH(NovDim1+32)=11),NovDim1+32,""))</f>
        <v/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44865</v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1117" priority="1">
      <formula>LEN(TRIM(B8))&gt;0</formula>
    </cfRule>
  </conditionalFormatting>
  <conditionalFormatting sqref="J8:P13">
    <cfRule type="notContainsBlanks" dxfId="1116" priority="2">
      <formula>LEN(TRIM(J8))&gt;0</formula>
    </cfRule>
  </conditionalFormatting>
  <conditionalFormatting sqref="R8:X13">
    <cfRule type="notContainsBlanks" dxfId="1115" priority="3">
      <formula>LEN(TRIM(R8))&gt;0</formula>
    </cfRule>
  </conditionalFormatting>
  <conditionalFormatting sqref="B17:H22">
    <cfRule type="notContainsBlanks" dxfId="1114" priority="4">
      <formula>LEN(TRIM(B17))&gt;0</formula>
    </cfRule>
  </conditionalFormatting>
  <conditionalFormatting sqref="J17:P22">
    <cfRule type="notContainsBlanks" dxfId="1113" priority="5">
      <formula>LEN(TRIM(J17))&gt;0</formula>
    </cfRule>
  </conditionalFormatting>
  <conditionalFormatting sqref="R17:X22">
    <cfRule type="notContainsBlanks" dxfId="1112" priority="6">
      <formula>LEN(TRIM(R17))&gt;0</formula>
    </cfRule>
  </conditionalFormatting>
  <conditionalFormatting sqref="R35:X40">
    <cfRule type="notContainsBlanks" dxfId="1111" priority="12">
      <formula>LEN(TRIM(R35))&gt;0</formula>
    </cfRule>
  </conditionalFormatting>
  <conditionalFormatting sqref="B26:H31">
    <cfRule type="notContainsBlanks" dxfId="1110" priority="7">
      <formula>LEN(TRIM(B26))&gt;0</formula>
    </cfRule>
  </conditionalFormatting>
  <conditionalFormatting sqref="J26:P31">
    <cfRule type="notContainsBlanks" dxfId="1109" priority="8">
      <formula>LEN(TRIM(J26))&gt;0</formula>
    </cfRule>
  </conditionalFormatting>
  <conditionalFormatting sqref="R26:X31">
    <cfRule type="notContainsBlanks" dxfId="1108" priority="9">
      <formula>LEN(TRIM(R26))&gt;0</formula>
    </cfRule>
  </conditionalFormatting>
  <conditionalFormatting sqref="B35:H40">
    <cfRule type="notContainsBlanks" dxfId="1107" priority="10">
      <formula>LEN(TRIM(B35))&gt;0</formula>
    </cfRule>
  </conditionalFormatting>
  <conditionalFormatting sqref="J35:P40">
    <cfRule type="notContainsBlanks" dxfId="1106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5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5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sTCalendar7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2023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 t="str">
        <f>IF(DAY(JanDim1)=1,"",IF(AND(YEAR(JanDim1+3)=AnnéeCalendrier,MONTH(JanDim1+3)=1),JanDim1+3,""))</f>
        <v/>
      </c>
      <c r="E8" s="5" t="str">
        <f>IF(DAY(JanDim1)=1,"",IF(AND(YEAR(JanDim1+4)=AnnéeCalendrier,MONTH(JanDim1+4)=1),JanDim1+4,""))</f>
        <v/>
      </c>
      <c r="F8" s="5" t="str">
        <f>IF(DAY(JanDim1)=1,"",IF(AND(YEAR(JanDim1+5)=AnnéeCalendrier,MONTH(JanDim1+5)=1),JanDim1+5,""))</f>
        <v/>
      </c>
      <c r="G8" s="5" t="str">
        <f>IF(DAY(JanDim1)=1,"",IF(AND(YEAR(JanDim1+6)=AnnéeCalendrier,MONTH(JanDim1+6)=1),JanDim1+6,""))</f>
        <v/>
      </c>
      <c r="H8" s="5">
        <f>IF(DAY(JanDim1)=1,IF(AND(YEAR(JanDim1)=AnnéeCalendrier,MONTH(JanDim1)=1),JanDim1,""),IF(AND(YEAR(JanDim1+7)=AnnéeCalendrier,MONTH(JanDim1+7)=1),JanDim1+7,""))</f>
        <v>44927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>
        <f>IF(DAY(FévDim1)=1,"",IF(AND(YEAR(FévDim1+3)=AnnéeCalendrier,MONTH(FévDim1+3)=2),FévDim1+3,""))</f>
        <v>44958</v>
      </c>
      <c r="M8" s="5">
        <f>IF(DAY(FévDim1)=1,"",IF(AND(YEAR(FévDim1+4)=AnnéeCalendrier,MONTH(FévDim1+4)=2),FévDim1+4,""))</f>
        <v>44959</v>
      </c>
      <c r="N8" s="5">
        <f>IF(DAY(FévDim1)=1,"",IF(AND(YEAR(FévDim1+5)=AnnéeCalendrier,MONTH(FévDim1+5)=2),FévDim1+5,""))</f>
        <v>44960</v>
      </c>
      <c r="O8" s="5">
        <f>IF(DAY(FévDim1)=1,"",IF(AND(YEAR(FévDim1+6)=AnnéeCalendrier,MONTH(FévDim1+6)=2),FévDim1+6,""))</f>
        <v>44961</v>
      </c>
      <c r="P8" s="5">
        <f>IF(DAY(FévDim1)=1,IF(AND(YEAR(FévDim1)=AnnéeCalendrier,MONTH(FévDim1)=2),FévDim1,""),IF(AND(YEAR(FévDim1+7)=AnnéeCalendrier,MONTH(FévDim1+7)=2),FévDim1+7,""))</f>
        <v>44962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>
        <f>IF(DAY(MarDim1)=1,"",IF(AND(YEAR(MarDim1+3)=AnnéeCalendrier,MONTH(MarDim1+3)=3),MarDim1+3,""))</f>
        <v>44986</v>
      </c>
      <c r="U8" s="5">
        <f>IF(DAY(MarDim1)=1,"",IF(AND(YEAR(MarDim1+4)=AnnéeCalendrier,MONTH(MarDim1+4)=3),MarDim1+4,""))</f>
        <v>44987</v>
      </c>
      <c r="V8" s="5">
        <f>IF(DAY(MarDim1)=1,"",IF(AND(YEAR(MarDim1+5)=AnnéeCalendrier,MONTH(MarDim1+5)=3),MarDim1+5,""))</f>
        <v>44988</v>
      </c>
      <c r="W8" s="5">
        <f>IF(DAY(MarDim1)=1,"",IF(AND(YEAR(MarDim1+6)=AnnéeCalendrier,MONTH(MarDim1+6)=3),MarDim1+6,""))</f>
        <v>44989</v>
      </c>
      <c r="X8" s="5">
        <f>IF(DAY(MarDim1)=1,IF(AND(YEAR(MarDim1)=AnnéeCalendrier,MONTH(MarDim1)=3),MarDim1,""),IF(AND(YEAR(MarDim1+7)=AnnéeCalendrier,MONTH(MarDim1+7)=3),MarDim1+7,""))</f>
        <v>44990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44928</v>
      </c>
      <c r="C9" s="5">
        <f>IF(DAY(JanDim1)=1,IF(AND(YEAR(JanDim1+2)=AnnéeCalendrier,MONTH(JanDim1+2)=1),JanDim1+2,""),IF(AND(YEAR(JanDim1+9)=AnnéeCalendrier,MONTH(JanDim1+9)=1),JanDim1+9,""))</f>
        <v>44929</v>
      </c>
      <c r="D9" s="5">
        <f>IF(DAY(JanDim1)=1,IF(AND(YEAR(JanDim1+3)=AnnéeCalendrier,MONTH(JanDim1+3)=1),JanDim1+3,""),IF(AND(YEAR(JanDim1+10)=AnnéeCalendrier,MONTH(JanDim1+10)=1),JanDim1+10,""))</f>
        <v>44930</v>
      </c>
      <c r="E9" s="5">
        <f>IF(DAY(JanDim1)=1,IF(AND(YEAR(JanDim1+4)=AnnéeCalendrier,MONTH(JanDim1+4)=1),JanDim1+4,""),IF(AND(YEAR(JanDim1+11)=AnnéeCalendrier,MONTH(JanDim1+11)=1),JanDim1+11,""))</f>
        <v>44931</v>
      </c>
      <c r="F9" s="5">
        <f>IF(DAY(JanDim1)=1,IF(AND(YEAR(JanDim1+5)=AnnéeCalendrier,MONTH(JanDim1+5)=1),JanDim1+5,""),IF(AND(YEAR(JanDim1+12)=AnnéeCalendrier,MONTH(JanDim1+12)=1),JanDim1+12,""))</f>
        <v>44932</v>
      </c>
      <c r="G9" s="5">
        <f>IF(DAY(JanDim1)=1,IF(AND(YEAR(JanDim1+6)=AnnéeCalendrier,MONTH(JanDim1+6)=1),JanDim1+6,""),IF(AND(YEAR(JanDim1+13)=AnnéeCalendrier,MONTH(JanDim1+13)=1),JanDim1+13,""))</f>
        <v>44933</v>
      </c>
      <c r="H9" s="5">
        <f>IF(DAY(JanDim1)=1,IF(AND(YEAR(JanDim1+7)=AnnéeCalendrier,MONTH(JanDim1+7)=1),JanDim1+7,""),IF(AND(YEAR(JanDim1+14)=AnnéeCalendrier,MONTH(JanDim1+14)=1),JanDim1+14,""))</f>
        <v>44934</v>
      </c>
      <c r="I9" s="4"/>
      <c r="J9" s="5">
        <f>IF(DAY(FévDim1)=1,IF(AND(YEAR(FévDim1+1)=AnnéeCalendrier,MONTH(FévDim1+1)=2),FévDim1+1,""),IF(AND(YEAR(FévDim1+8)=AnnéeCalendrier,MONTH(FévDim1+8)=2),FévDim1+8,""))</f>
        <v>44963</v>
      </c>
      <c r="K9" s="5">
        <f>IF(DAY(FévDim1)=1,IF(AND(YEAR(FévDim1+2)=AnnéeCalendrier,MONTH(FévDim1+2)=2),FévDim1+2,""),IF(AND(YEAR(FévDim1+9)=AnnéeCalendrier,MONTH(FévDim1+9)=2),FévDim1+9,""))</f>
        <v>44964</v>
      </c>
      <c r="L9" s="5">
        <f>IF(DAY(FévDim1)=1,IF(AND(YEAR(FévDim1+3)=AnnéeCalendrier,MONTH(FévDim1+3)=2),FévDim1+3,""),IF(AND(YEAR(FévDim1+10)=AnnéeCalendrier,MONTH(FévDim1+10)=2),FévDim1+10,""))</f>
        <v>44965</v>
      </c>
      <c r="M9" s="5">
        <f>IF(DAY(FévDim1)=1,IF(AND(YEAR(FévDim1+4)=AnnéeCalendrier,MONTH(FévDim1+4)=2),FévDim1+4,""),IF(AND(YEAR(FévDim1+11)=AnnéeCalendrier,MONTH(FévDim1+11)=2),FévDim1+11,""))</f>
        <v>44966</v>
      </c>
      <c r="N9" s="5">
        <f>IF(DAY(FévDim1)=1,IF(AND(YEAR(FévDim1+5)=AnnéeCalendrier,MONTH(FévDim1+5)=2),FévDim1+5,""),IF(AND(YEAR(FévDim1+12)=AnnéeCalendrier,MONTH(FévDim1+12)=2),FévDim1+12,""))</f>
        <v>44967</v>
      </c>
      <c r="O9" s="5">
        <f>IF(DAY(FévDim1)=1,IF(AND(YEAR(FévDim1+6)=AnnéeCalendrier,MONTH(FévDim1+6)=2),FévDim1+6,""),IF(AND(YEAR(FévDim1+13)=AnnéeCalendrier,MONTH(FévDim1+13)=2),FévDim1+13,""))</f>
        <v>44968</v>
      </c>
      <c r="P9" s="5">
        <f>IF(DAY(FévDim1)=1,IF(AND(YEAR(FévDim1+7)=AnnéeCalendrier,MONTH(FévDim1+7)=2),FévDim1+7,""),IF(AND(YEAR(FévDim1+14)=AnnéeCalendrier,MONTH(FévDim1+14)=2),FévDim1+14,""))</f>
        <v>44969</v>
      </c>
      <c r="Q9" s="4"/>
      <c r="R9" s="5">
        <f>IF(DAY(MarDim1)=1,IF(AND(YEAR(MarDim1+1)=AnnéeCalendrier,MONTH(MarDim1+1)=3),MarDim1+1,""),IF(AND(YEAR(MarDim1+8)=AnnéeCalendrier,MONTH(MarDim1+8)=3),MarDim1+8,""))</f>
        <v>44991</v>
      </c>
      <c r="S9" s="5">
        <f>IF(DAY(MarDim1)=1,IF(AND(YEAR(MarDim1+2)=AnnéeCalendrier,MONTH(MarDim1+2)=3),MarDim1+2,""),IF(AND(YEAR(MarDim1+9)=AnnéeCalendrier,MONTH(MarDim1+9)=3),MarDim1+9,""))</f>
        <v>44992</v>
      </c>
      <c r="T9" s="5">
        <f>IF(DAY(MarDim1)=1,IF(AND(YEAR(MarDim1+3)=AnnéeCalendrier,MONTH(MarDim1+3)=3),MarDim1+3,""),IF(AND(YEAR(MarDim1+10)=AnnéeCalendrier,MONTH(MarDim1+10)=3),MarDim1+10,""))</f>
        <v>44993</v>
      </c>
      <c r="U9" s="5">
        <f>IF(DAY(MarDim1)=1,IF(AND(YEAR(MarDim1+4)=AnnéeCalendrier,MONTH(MarDim1+4)=3),MarDim1+4,""),IF(AND(YEAR(MarDim1+11)=AnnéeCalendrier,MONTH(MarDim1+11)=3),MarDim1+11,""))</f>
        <v>44994</v>
      </c>
      <c r="V9" s="5">
        <f>IF(DAY(MarDim1)=1,IF(AND(YEAR(MarDim1+5)=AnnéeCalendrier,MONTH(MarDim1+5)=3),MarDim1+5,""),IF(AND(YEAR(MarDim1+12)=AnnéeCalendrier,MONTH(MarDim1+12)=3),MarDim1+12,""))</f>
        <v>44995</v>
      </c>
      <c r="W9" s="5">
        <f>IF(DAY(MarDim1)=1,IF(AND(YEAR(MarDim1+6)=AnnéeCalendrier,MONTH(MarDim1+6)=3),MarDim1+6,""),IF(AND(YEAR(MarDim1+13)=AnnéeCalendrier,MONTH(MarDim1+13)=3),MarDim1+13,""))</f>
        <v>44996</v>
      </c>
      <c r="X9" s="5">
        <f>IF(DAY(MarDim1)=1,IF(AND(YEAR(MarDim1+7)=AnnéeCalendrier,MONTH(MarDim1+7)=3),MarDim1+7,""),IF(AND(YEAR(MarDim1+14)=AnnéeCalendrier,MONTH(MarDim1+14)=3),MarDim1+14,""))</f>
        <v>44997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44935</v>
      </c>
      <c r="C10" s="5">
        <f>IF(DAY(JanDim1)=1,IF(AND(YEAR(JanDim1+9)=AnnéeCalendrier,MONTH(JanDim1+9)=1),JanDim1+9,""),IF(AND(YEAR(JanDim1+16)=AnnéeCalendrier,MONTH(JanDim1+16)=1),JanDim1+16,""))</f>
        <v>44936</v>
      </c>
      <c r="D10" s="5">
        <f>IF(DAY(JanDim1)=1,IF(AND(YEAR(JanDim1+10)=AnnéeCalendrier,MONTH(JanDim1+10)=1),JanDim1+10,""),IF(AND(YEAR(JanDim1+17)=AnnéeCalendrier,MONTH(JanDim1+17)=1),JanDim1+17,""))</f>
        <v>44937</v>
      </c>
      <c r="E10" s="5">
        <f>IF(DAY(JanDim1)=1,IF(AND(YEAR(JanDim1+11)=AnnéeCalendrier,MONTH(JanDim1+11)=1),JanDim1+11,""),IF(AND(YEAR(JanDim1+18)=AnnéeCalendrier,MONTH(JanDim1+18)=1),JanDim1+18,""))</f>
        <v>44938</v>
      </c>
      <c r="F10" s="5">
        <f>IF(DAY(JanDim1)=1,IF(AND(YEAR(JanDim1+12)=AnnéeCalendrier,MONTH(JanDim1+12)=1),JanDim1+12,""),IF(AND(YEAR(JanDim1+19)=AnnéeCalendrier,MONTH(JanDim1+19)=1),JanDim1+19,""))</f>
        <v>44939</v>
      </c>
      <c r="G10" s="5">
        <f>IF(DAY(JanDim1)=1,IF(AND(YEAR(JanDim1+13)=AnnéeCalendrier,MONTH(JanDim1+13)=1),JanDim1+13,""),IF(AND(YEAR(JanDim1+20)=AnnéeCalendrier,MONTH(JanDim1+20)=1),JanDim1+20,""))</f>
        <v>44940</v>
      </c>
      <c r="H10" s="5">
        <f>IF(DAY(JanDim1)=1,IF(AND(YEAR(JanDim1+14)=AnnéeCalendrier,MONTH(JanDim1+14)=1),JanDim1+14,""),IF(AND(YEAR(JanDim1+21)=AnnéeCalendrier,MONTH(JanDim1+21)=1),JanDim1+21,""))</f>
        <v>44941</v>
      </c>
      <c r="I10" s="4"/>
      <c r="J10" s="5">
        <f>IF(DAY(FévDim1)=1,IF(AND(YEAR(FévDim1+8)=AnnéeCalendrier,MONTH(FévDim1+8)=2),FévDim1+8,""),IF(AND(YEAR(FévDim1+15)=AnnéeCalendrier,MONTH(FévDim1+15)=2),FévDim1+15,""))</f>
        <v>44970</v>
      </c>
      <c r="K10" s="5">
        <f>IF(DAY(FévDim1)=1,IF(AND(YEAR(FévDim1+9)=AnnéeCalendrier,MONTH(FévDim1+9)=2),FévDim1+9,""),IF(AND(YEAR(FévDim1+16)=AnnéeCalendrier,MONTH(FévDim1+16)=2),FévDim1+16,""))</f>
        <v>44971</v>
      </c>
      <c r="L10" s="5">
        <f>IF(DAY(FévDim1)=1,IF(AND(YEAR(FévDim1+10)=AnnéeCalendrier,MONTH(FévDim1+10)=2),FévDim1+10,""),IF(AND(YEAR(FévDim1+17)=AnnéeCalendrier,MONTH(FévDim1+17)=2),FévDim1+17,""))</f>
        <v>44972</v>
      </c>
      <c r="M10" s="5">
        <f>IF(DAY(FévDim1)=1,IF(AND(YEAR(FévDim1+11)=AnnéeCalendrier,MONTH(FévDim1+11)=2),FévDim1+11,""),IF(AND(YEAR(FévDim1+18)=AnnéeCalendrier,MONTH(FévDim1+18)=2),FévDim1+18,""))</f>
        <v>44973</v>
      </c>
      <c r="N10" s="5">
        <f>IF(DAY(FévDim1)=1,IF(AND(YEAR(FévDim1+12)=AnnéeCalendrier,MONTH(FévDim1+12)=2),FévDim1+12,""),IF(AND(YEAR(FévDim1+19)=AnnéeCalendrier,MONTH(FévDim1+19)=2),FévDim1+19,""))</f>
        <v>44974</v>
      </c>
      <c r="O10" s="5">
        <f>IF(DAY(FévDim1)=1,IF(AND(YEAR(FévDim1+13)=AnnéeCalendrier,MONTH(FévDim1+13)=2),FévDim1+13,""),IF(AND(YEAR(FévDim1+20)=AnnéeCalendrier,MONTH(FévDim1+20)=2),FévDim1+20,""))</f>
        <v>44975</v>
      </c>
      <c r="P10" s="5">
        <f>IF(DAY(FévDim1)=1,IF(AND(YEAR(FévDim1+14)=AnnéeCalendrier,MONTH(FévDim1+14)=2),FévDim1+14,""),IF(AND(YEAR(FévDim1+21)=AnnéeCalendrier,MONTH(FévDim1+21)=2),FévDim1+21,""))</f>
        <v>44976</v>
      </c>
      <c r="Q10" s="4"/>
      <c r="R10" s="5">
        <f>IF(DAY(MarDim1)=1,IF(AND(YEAR(MarDim1+8)=AnnéeCalendrier,MONTH(MarDim1+8)=3),MarDim1+8,""),IF(AND(YEAR(MarDim1+15)=AnnéeCalendrier,MONTH(MarDim1+15)=3),MarDim1+15,""))</f>
        <v>44998</v>
      </c>
      <c r="S10" s="5">
        <f>IF(DAY(MarDim1)=1,IF(AND(YEAR(MarDim1+9)=AnnéeCalendrier,MONTH(MarDim1+9)=3),MarDim1+9,""),IF(AND(YEAR(MarDim1+16)=AnnéeCalendrier,MONTH(MarDim1+16)=3),MarDim1+16,""))</f>
        <v>44999</v>
      </c>
      <c r="T10" s="5">
        <f>IF(DAY(MarDim1)=1,IF(AND(YEAR(MarDim1+10)=AnnéeCalendrier,MONTH(MarDim1+10)=3),MarDim1+10,""),IF(AND(YEAR(MarDim1+17)=AnnéeCalendrier,MONTH(MarDim1+17)=3),MarDim1+17,""))</f>
        <v>45000</v>
      </c>
      <c r="U10" s="5">
        <f>IF(DAY(MarDim1)=1,IF(AND(YEAR(MarDim1+11)=AnnéeCalendrier,MONTH(MarDim1+11)=3),MarDim1+11,""),IF(AND(YEAR(MarDim1+18)=AnnéeCalendrier,MONTH(MarDim1+18)=3),MarDim1+18,""))</f>
        <v>45001</v>
      </c>
      <c r="V10" s="5">
        <f>IF(DAY(MarDim1)=1,IF(AND(YEAR(MarDim1+12)=AnnéeCalendrier,MONTH(MarDim1+12)=3),MarDim1+12,""),IF(AND(YEAR(MarDim1+19)=AnnéeCalendrier,MONTH(MarDim1+19)=3),MarDim1+19,""))</f>
        <v>45002</v>
      </c>
      <c r="W10" s="5">
        <f>IF(DAY(MarDim1)=1,IF(AND(YEAR(MarDim1+13)=AnnéeCalendrier,MONTH(MarDim1+13)=3),MarDim1+13,""),IF(AND(YEAR(MarDim1+20)=AnnéeCalendrier,MONTH(MarDim1+20)=3),MarDim1+20,""))</f>
        <v>45003</v>
      </c>
      <c r="X10" s="5">
        <f>IF(DAY(MarDim1)=1,IF(AND(YEAR(MarDim1+14)=AnnéeCalendrier,MONTH(MarDim1+14)=3),MarDim1+14,""),IF(AND(YEAR(MarDim1+21)=AnnéeCalendrier,MONTH(MarDim1+21)=3),MarDim1+21,""))</f>
        <v>45004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44942</v>
      </c>
      <c r="C11" s="5">
        <f>IF(DAY(JanDim1)=1,IF(AND(YEAR(JanDim1+16)=AnnéeCalendrier,MONTH(JanDim1+16)=1),JanDim1+16,""),IF(AND(YEAR(JanDim1+23)=AnnéeCalendrier,MONTH(JanDim1+23)=1),JanDim1+23,""))</f>
        <v>44943</v>
      </c>
      <c r="D11" s="5">
        <f>IF(DAY(JanDim1)=1,IF(AND(YEAR(JanDim1+17)=AnnéeCalendrier,MONTH(JanDim1+17)=1),JanDim1+17,""),IF(AND(YEAR(JanDim1+24)=AnnéeCalendrier,MONTH(JanDim1+24)=1),JanDim1+24,""))</f>
        <v>44944</v>
      </c>
      <c r="E11" s="5">
        <f>IF(DAY(JanDim1)=1,IF(AND(YEAR(JanDim1+18)=AnnéeCalendrier,MONTH(JanDim1+18)=1),JanDim1+18,""),IF(AND(YEAR(JanDim1+25)=AnnéeCalendrier,MONTH(JanDim1+25)=1),JanDim1+25,""))</f>
        <v>44945</v>
      </c>
      <c r="F11" s="5">
        <f>IF(DAY(JanDim1)=1,IF(AND(YEAR(JanDim1+19)=AnnéeCalendrier,MONTH(JanDim1+19)=1),JanDim1+19,""),IF(AND(YEAR(JanDim1+26)=AnnéeCalendrier,MONTH(JanDim1+26)=1),JanDim1+26,""))</f>
        <v>44946</v>
      </c>
      <c r="G11" s="5">
        <f>IF(DAY(JanDim1)=1,IF(AND(YEAR(JanDim1+20)=AnnéeCalendrier,MONTH(JanDim1+20)=1),JanDim1+20,""),IF(AND(YEAR(JanDim1+27)=AnnéeCalendrier,MONTH(JanDim1+27)=1),JanDim1+27,""))</f>
        <v>44947</v>
      </c>
      <c r="H11" s="5">
        <f>IF(DAY(JanDim1)=1,IF(AND(YEAR(JanDim1+21)=AnnéeCalendrier,MONTH(JanDim1+21)=1),JanDim1+21,""),IF(AND(YEAR(JanDim1+28)=AnnéeCalendrier,MONTH(JanDim1+28)=1),JanDim1+28,""))</f>
        <v>44948</v>
      </c>
      <c r="I11" s="4"/>
      <c r="J11" s="5">
        <f>IF(DAY(FévDim1)=1,IF(AND(YEAR(FévDim1+15)=AnnéeCalendrier,MONTH(FévDim1+15)=2),FévDim1+15,""),IF(AND(YEAR(FévDim1+22)=AnnéeCalendrier,MONTH(FévDim1+22)=2),FévDim1+22,""))</f>
        <v>44977</v>
      </c>
      <c r="K11" s="5">
        <f>IF(DAY(FévDim1)=1,IF(AND(YEAR(FévDim1+16)=AnnéeCalendrier,MONTH(FévDim1+16)=2),FévDim1+16,""),IF(AND(YEAR(FévDim1+23)=AnnéeCalendrier,MONTH(FévDim1+23)=2),FévDim1+23,""))</f>
        <v>44978</v>
      </c>
      <c r="L11" s="5">
        <f>IF(DAY(FévDim1)=1,IF(AND(YEAR(FévDim1+17)=AnnéeCalendrier,MONTH(FévDim1+17)=2),FévDim1+17,""),IF(AND(YEAR(FévDim1+24)=AnnéeCalendrier,MONTH(FévDim1+24)=2),FévDim1+24,""))</f>
        <v>44979</v>
      </c>
      <c r="M11" s="5">
        <f>IF(DAY(FévDim1)=1,IF(AND(YEAR(FévDim1+18)=AnnéeCalendrier,MONTH(FévDim1+18)=2),FévDim1+18,""),IF(AND(YEAR(FévDim1+25)=AnnéeCalendrier,MONTH(FévDim1+25)=2),FévDim1+25,""))</f>
        <v>44980</v>
      </c>
      <c r="N11" s="5">
        <f>IF(DAY(FévDim1)=1,IF(AND(YEAR(FévDim1+19)=AnnéeCalendrier,MONTH(FévDim1+19)=2),FévDim1+19,""),IF(AND(YEAR(FévDim1+26)=AnnéeCalendrier,MONTH(FévDim1+26)=2),FévDim1+26,""))</f>
        <v>44981</v>
      </c>
      <c r="O11" s="5">
        <f>IF(DAY(FévDim1)=1,IF(AND(YEAR(FévDim1+20)=AnnéeCalendrier,MONTH(FévDim1+20)=2),FévDim1+20,""),IF(AND(YEAR(FévDim1+27)=AnnéeCalendrier,MONTH(FévDim1+27)=2),FévDim1+27,""))</f>
        <v>44982</v>
      </c>
      <c r="P11" s="5">
        <f>IF(DAY(FévDim1)=1,IF(AND(YEAR(FévDim1+21)=AnnéeCalendrier,MONTH(FévDim1+21)=2),FévDim1+21,""),IF(AND(YEAR(FévDim1+28)=AnnéeCalendrier,MONTH(FévDim1+28)=2),FévDim1+28,""))</f>
        <v>44983</v>
      </c>
      <c r="Q11" s="4"/>
      <c r="R11" s="5">
        <f>IF(DAY(MarDim1)=1,IF(AND(YEAR(MarDim1+15)=AnnéeCalendrier,MONTH(MarDim1+15)=3),MarDim1+15,""),IF(AND(YEAR(MarDim1+22)=AnnéeCalendrier,MONTH(MarDim1+22)=3),MarDim1+22,""))</f>
        <v>45005</v>
      </c>
      <c r="S11" s="5">
        <f>IF(DAY(MarDim1)=1,IF(AND(YEAR(MarDim1+16)=AnnéeCalendrier,MONTH(MarDim1+16)=3),MarDim1+16,""),IF(AND(YEAR(MarDim1+23)=AnnéeCalendrier,MONTH(MarDim1+23)=3),MarDim1+23,""))</f>
        <v>45006</v>
      </c>
      <c r="T11" s="5">
        <f>IF(DAY(MarDim1)=1,IF(AND(YEAR(MarDim1+17)=AnnéeCalendrier,MONTH(MarDim1+17)=3),MarDim1+17,""),IF(AND(YEAR(MarDim1+24)=AnnéeCalendrier,MONTH(MarDim1+24)=3),MarDim1+24,""))</f>
        <v>45007</v>
      </c>
      <c r="U11" s="5">
        <f>IF(DAY(MarDim1)=1,IF(AND(YEAR(MarDim1+18)=AnnéeCalendrier,MONTH(MarDim1+18)=3),MarDim1+18,""),IF(AND(YEAR(MarDim1+25)=AnnéeCalendrier,MONTH(MarDim1+25)=3),MarDim1+25,""))</f>
        <v>45008</v>
      </c>
      <c r="V11" s="5">
        <f>IF(DAY(MarDim1)=1,IF(AND(YEAR(MarDim1+19)=AnnéeCalendrier,MONTH(MarDim1+19)=3),MarDim1+19,""),IF(AND(YEAR(MarDim1+26)=AnnéeCalendrier,MONTH(MarDim1+26)=3),MarDim1+26,""))</f>
        <v>45009</v>
      </c>
      <c r="W11" s="5">
        <f>IF(DAY(MarDim1)=1,IF(AND(YEAR(MarDim1+20)=AnnéeCalendrier,MONTH(MarDim1+20)=3),MarDim1+20,""),IF(AND(YEAR(MarDim1+27)=AnnéeCalendrier,MONTH(MarDim1+27)=3),MarDim1+27,""))</f>
        <v>45010</v>
      </c>
      <c r="X11" s="5">
        <f>IF(DAY(MarDim1)=1,IF(AND(YEAR(MarDim1+21)=AnnéeCalendrier,MONTH(MarDim1+21)=3),MarDim1+21,""),IF(AND(YEAR(MarDim1+28)=AnnéeCalendrier,MONTH(MarDim1+28)=3),MarDim1+28,""))</f>
        <v>45011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44949</v>
      </c>
      <c r="C12" s="5">
        <f>IF(DAY(JanDim1)=1,IF(AND(YEAR(JanDim1+23)=AnnéeCalendrier,MONTH(JanDim1+23)=1),JanDim1+23,""),IF(AND(YEAR(JanDim1+30)=AnnéeCalendrier,MONTH(JanDim1+30)=1),JanDim1+30,""))</f>
        <v>44950</v>
      </c>
      <c r="D12" s="5">
        <f>IF(DAY(JanDim1)=1,IF(AND(YEAR(JanDim1+24)=AnnéeCalendrier,MONTH(JanDim1+24)=1),JanDim1+24,""),IF(AND(YEAR(JanDim1+31)=AnnéeCalendrier,MONTH(JanDim1+31)=1),JanDim1+31,""))</f>
        <v>44951</v>
      </c>
      <c r="E12" s="5">
        <f>IF(DAY(JanDim1)=1,IF(AND(YEAR(JanDim1+25)=AnnéeCalendrier,MONTH(JanDim1+25)=1),JanDim1+25,""),IF(AND(YEAR(JanDim1+32)=AnnéeCalendrier,MONTH(JanDim1+32)=1),JanDim1+32,""))</f>
        <v>44952</v>
      </c>
      <c r="F12" s="5">
        <f>IF(DAY(JanDim1)=1,IF(AND(YEAR(JanDim1+26)=AnnéeCalendrier,MONTH(JanDim1+26)=1),JanDim1+26,""),IF(AND(YEAR(JanDim1+33)=AnnéeCalendrier,MONTH(JanDim1+33)=1),JanDim1+33,""))</f>
        <v>44953</v>
      </c>
      <c r="G12" s="5">
        <f>IF(DAY(JanDim1)=1,IF(AND(YEAR(JanDim1+27)=AnnéeCalendrier,MONTH(JanDim1+27)=1),JanDim1+27,""),IF(AND(YEAR(JanDim1+34)=AnnéeCalendrier,MONTH(JanDim1+34)=1),JanDim1+34,""))</f>
        <v>44954</v>
      </c>
      <c r="H12" s="5">
        <f>IF(DAY(JanDim1)=1,IF(AND(YEAR(JanDim1+28)=AnnéeCalendrier,MONTH(JanDim1+28)=1),JanDim1+28,""),IF(AND(YEAR(JanDim1+35)=AnnéeCalendrier,MONTH(JanDim1+35)=1),JanDim1+35,""))</f>
        <v>44955</v>
      </c>
      <c r="I12" s="4"/>
      <c r="J12" s="5">
        <f>IF(DAY(FévDim1)=1,IF(AND(YEAR(FévDim1+22)=AnnéeCalendrier,MONTH(FévDim1+22)=2),FévDim1+22,""),IF(AND(YEAR(FévDim1+29)=AnnéeCalendrier,MONTH(FévDim1+29)=2),FévDim1+29,""))</f>
        <v>44984</v>
      </c>
      <c r="K12" s="5">
        <f>IF(DAY(FévDim1)=1,IF(AND(YEAR(FévDim1+23)=AnnéeCalendrier,MONTH(FévDim1+23)=2),FévDim1+23,""),IF(AND(YEAR(FévDim1+30)=AnnéeCalendrier,MONTH(FévDim1+30)=2),FévDim1+30,""))</f>
        <v>44985</v>
      </c>
      <c r="L12" s="5" t="str">
        <f>IF(DAY(FévDim1)=1,IF(AND(YEAR(FévDim1+24)=AnnéeCalendrier,MONTH(FévDim1+24)=2),FévDim1+24,""),IF(AND(YEAR(FévDim1+31)=AnnéeCalendrier,MONTH(FévDim1+31)=2),FévDim1+31,""))</f>
        <v/>
      </c>
      <c r="M12" s="5" t="str">
        <f>IF(DAY(FévDim1)=1,IF(AND(YEAR(FévDim1+25)=AnnéeCalendrier,MONTH(FévDim1+25)=2),FévDim1+25,""),IF(AND(YEAR(FévDim1+32)=AnnéeCalendrier,MONTH(FévDim1+32)=2),FévDim1+32,""))</f>
        <v/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45012</v>
      </c>
      <c r="S12" s="5">
        <f>IF(DAY(MarDim1)=1,IF(AND(YEAR(MarDim1+23)=AnnéeCalendrier,MONTH(MarDim1+23)=3),MarDim1+23,""),IF(AND(YEAR(MarDim1+30)=AnnéeCalendrier,MONTH(MarDim1+30)=3),MarDim1+30,""))</f>
        <v>45013</v>
      </c>
      <c r="T12" s="5">
        <f>IF(DAY(MarDim1)=1,IF(AND(YEAR(MarDim1+24)=AnnéeCalendrier,MONTH(MarDim1+24)=3),MarDim1+24,""),IF(AND(YEAR(MarDim1+31)=AnnéeCalendrier,MONTH(MarDim1+31)=3),MarDim1+31,""))</f>
        <v>45014</v>
      </c>
      <c r="U12" s="5">
        <f>IF(DAY(MarDim1)=1,IF(AND(YEAR(MarDim1+25)=AnnéeCalendrier,MONTH(MarDim1+25)=3),MarDim1+25,""),IF(AND(YEAR(MarDim1+32)=AnnéeCalendrier,MONTH(MarDim1+32)=3),MarDim1+32,""))</f>
        <v>45015</v>
      </c>
      <c r="V12" s="5">
        <f>IF(DAY(MarDim1)=1,IF(AND(YEAR(MarDim1+26)=AnnéeCalendrier,MONTH(MarDim1+26)=3),MarDim1+26,""),IF(AND(YEAR(MarDim1+33)=AnnéeCalendrier,MONTH(MarDim1+33)=3),MarDim1+33,""))</f>
        <v>45016</v>
      </c>
      <c r="W12" s="5" t="str">
        <f>IF(DAY(MarDim1)=1,IF(AND(YEAR(MarDim1+27)=AnnéeCalendrier,MONTH(MarDim1+27)=3),MarDim1+27,""),IF(AND(YEAR(MarDim1+34)=AnnéeCalendrier,MONTH(MarDim1+34)=3),MarDim1+34,""))</f>
        <v/>
      </c>
      <c r="X12" s="5" t="str">
        <f>IF(DAY(MarDim1)=1,IF(AND(YEAR(MarDim1+28)=AnnéeCalendrier,MONTH(MarDim1+28)=3),MarDim1+28,""),IF(AND(YEAR(MarDim1+35)=AnnéeCalendrier,MONTH(MarDim1+35)=3),MarDim1+35,""))</f>
        <v/>
      </c>
    </row>
    <row r="13" spans="1:29" ht="36" customHeight="1" x14ac:dyDescent="0.25">
      <c r="B13" s="5">
        <f>IF(DAY(JanDim1)=1,IF(AND(YEAR(JanDim1+29)=AnnéeCalendrier,MONTH(JanDim1+29)=1),JanDim1+29,""),IF(AND(YEAR(JanDim1+36)=AnnéeCalendrier,MONTH(JanDim1+36)=1),JanDim1+36,""))</f>
        <v>44956</v>
      </c>
      <c r="C13" s="5">
        <f>IF(DAY(JanDim1)=1,IF(AND(YEAR(JanDim1+30)=AnnéeCalendrier,MONTH(JanDim1+30)=1),JanDim1+30,""),IF(AND(YEAR(JanDim1+37)=AnnéeCalendrier,MONTH(JanDim1+37)=1),JanDim1+37,""))</f>
        <v>44957</v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 t="str">
        <f>IF(DAY(AvrDim1)=1,"",IF(AND(YEAR(AvrDim1+2)=AnnéeCalendrier,MONTH(AvrDim1+2)=4),AvrDim1+2,""))</f>
        <v/>
      </c>
      <c r="D17" s="5" t="str">
        <f>IF(DAY(AvrDim1)=1,"",IF(AND(YEAR(AvrDim1+3)=AnnéeCalendrier,MONTH(AvrDim1+3)=4),AvrDim1+3,""))</f>
        <v/>
      </c>
      <c r="E17" s="5" t="str">
        <f>IF(DAY(AvrDim1)=1,"",IF(AND(YEAR(AvrDim1+4)=AnnéeCalendrier,MONTH(AvrDim1+4)=4),AvrDim1+4,""))</f>
        <v/>
      </c>
      <c r="F17" s="5" t="str">
        <f>IF(DAY(AvrDim1)=1,"",IF(AND(YEAR(AvrDim1+5)=AnnéeCalendrier,MONTH(AvrDim1+5)=4),AvrDim1+5,""))</f>
        <v/>
      </c>
      <c r="G17" s="5">
        <f>IF(DAY(AvrDim1)=1,"",IF(AND(YEAR(AvrDim1+6)=AnnéeCalendrier,MONTH(AvrDim1+6)=4),AvrDim1+6,""))</f>
        <v>45017</v>
      </c>
      <c r="H17" s="7">
        <f>IF(DAY(AvrDim1)=1,IF(AND(YEAR(AvrDim1)=AnnéeCalendrier,MONTH(AvrDim1)=4),AvrDim1,""),IF(AND(YEAR(AvrDim1+7)=AnnéeCalendrier,MONTH(AvrDim1+7)=4),AvrDim1+7,""))</f>
        <v>45018</v>
      </c>
      <c r="I17" s="4"/>
      <c r="J17" s="6">
        <f>IF(DAY(MaiDim1)=1,"",IF(AND(YEAR(MaiDim1+1)=AnnéeCalendrier,MONTH(MaiDim1+1)=5),MaiDim1+1,""))</f>
        <v>45047</v>
      </c>
      <c r="K17" s="5">
        <f>IF(DAY(MaiDim1)=1,"",IF(AND(YEAR(MaiDim1+2)=AnnéeCalendrier,MONTH(MaiDim1+2)=5),MaiDim1+2,""))</f>
        <v>45048</v>
      </c>
      <c r="L17" s="5">
        <f>IF(DAY(MaiDim1)=1,"",IF(AND(YEAR(MaiDim1+3)=AnnéeCalendrier,MONTH(MaiDim1+3)=5),MaiDim1+3,""))</f>
        <v>45049</v>
      </c>
      <c r="M17" s="5">
        <f>IF(DAY(MaiDim1)=1,"",IF(AND(YEAR(MaiDim1+4)=AnnéeCalendrier,MONTH(MaiDim1+4)=5),MaiDim1+4,""))</f>
        <v>45050</v>
      </c>
      <c r="N17" s="5">
        <f>IF(DAY(MaiDim1)=1,"",IF(AND(YEAR(MaiDim1+5)=AnnéeCalendrier,MONTH(MaiDim1+5)=5),MaiDim1+5,""))</f>
        <v>45051</v>
      </c>
      <c r="O17" s="5">
        <f>IF(DAY(MaiDim1)=1,"",IF(AND(YEAR(MaiDim1+6)=AnnéeCalendrier,MONTH(MaiDim1+6)=5),MaiDim1+6,""))</f>
        <v>45052</v>
      </c>
      <c r="P17" s="7">
        <f>IF(DAY(MaiDim1)=1,IF(AND(YEAR(MaiDim1)=AnnéeCalendrier,MONTH(MaiDim1)=5),MaiDim1,""),IF(AND(YEAR(MaiDim1+7)=AnnéeCalendrier,MONTH(MaiDim1+7)=5),MaiDim1+7,""))</f>
        <v>45053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>
        <f>IF(DAY(JunDim1)=1,"",IF(AND(YEAR(JunDim1+4)=AnnéeCalendrier,MONTH(JunDim1+4)=6),JunDim1+4,""))</f>
        <v>45078</v>
      </c>
      <c r="V17" s="5">
        <f>IF(DAY(JunDim1)=1,"",IF(AND(YEAR(JunDim1+5)=AnnéeCalendrier,MONTH(JunDim1+5)=6),JunDim1+5,""))</f>
        <v>45079</v>
      </c>
      <c r="W17" s="5">
        <f>IF(DAY(JunDim1)=1,"",IF(AND(YEAR(JunDim1+6)=AnnéeCalendrier,MONTH(JunDim1+6)=6),JunDim1+6,""))</f>
        <v>45080</v>
      </c>
      <c r="X17" s="7">
        <f>IF(DAY(JunDim1)=1,IF(AND(YEAR(JunDim1)=AnnéeCalendrier,MONTH(JunDim1)=6),JunDim1,""),IF(AND(YEAR(JunDim1+7)=AnnéeCalendrier,MONTH(JunDim1+7)=6),JunDim1+7,""))</f>
        <v>45081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45019</v>
      </c>
      <c r="C18" s="5">
        <f>IF(DAY(AvrDim1)=1,IF(AND(YEAR(AvrDim1+2)=AnnéeCalendrier,MONTH(AvrDim1+2)=4),AvrDim1+2,""),IF(AND(YEAR(AvrDim1+9)=AnnéeCalendrier,MONTH(AvrDim1+9)=4),AvrDim1+9,""))</f>
        <v>45020</v>
      </c>
      <c r="D18" s="5">
        <f>IF(DAY(AvrDim1)=1,IF(AND(YEAR(AvrDim1+3)=AnnéeCalendrier,MONTH(AvrDim1+3)=4),AvrDim1+3,""),IF(AND(YEAR(AvrDim1+10)=AnnéeCalendrier,MONTH(AvrDim1+10)=4),AvrDim1+10,""))</f>
        <v>45021</v>
      </c>
      <c r="E18" s="5">
        <f>IF(DAY(AvrDim1)=1,IF(AND(YEAR(AvrDim1+4)=AnnéeCalendrier,MONTH(AvrDim1+4)=4),AvrDim1+4,""),IF(AND(YEAR(AvrDim1+11)=AnnéeCalendrier,MONTH(AvrDim1+11)=4),AvrDim1+11,""))</f>
        <v>45022</v>
      </c>
      <c r="F18" s="5">
        <f>IF(DAY(AvrDim1)=1,IF(AND(YEAR(AvrDim1+5)=AnnéeCalendrier,MONTH(AvrDim1+5)=4),AvrDim1+5,""),IF(AND(YEAR(AvrDim1+12)=AnnéeCalendrier,MONTH(AvrDim1+12)=4),AvrDim1+12,""))</f>
        <v>45023</v>
      </c>
      <c r="G18" s="5">
        <f>IF(DAY(AvrDim1)=1,IF(AND(YEAR(AvrDim1+6)=AnnéeCalendrier,MONTH(AvrDim1+6)=4),AvrDim1+6,""),IF(AND(YEAR(AvrDim1+13)=AnnéeCalendrier,MONTH(AvrDim1+13)=4),AvrDim1+13,""))</f>
        <v>45024</v>
      </c>
      <c r="H18" s="7">
        <f>IF(DAY(AvrDim1)=1,IF(AND(YEAR(AvrDim1+7)=AnnéeCalendrier,MONTH(AvrDim1+7)=4),AvrDim1+7,""),IF(AND(YEAR(AvrDim1+14)=AnnéeCalendrier,MONTH(AvrDim1+14)=4),AvrDim1+14,""))</f>
        <v>45025</v>
      </c>
      <c r="I18" s="4"/>
      <c r="J18" s="6">
        <f>IF(DAY(MaiDim1)=1,IF(AND(YEAR(MaiDim1+1)=AnnéeCalendrier,MONTH(MaiDim1+1)=5),MaiDim1+1,""),IF(AND(YEAR(MaiDim1+8)=AnnéeCalendrier,MONTH(MaiDim1+8)=5),MaiDim1+8,""))</f>
        <v>45054</v>
      </c>
      <c r="K18" s="5">
        <f>IF(DAY(MaiDim1)=1,IF(AND(YEAR(MaiDim1+2)=AnnéeCalendrier,MONTH(MaiDim1+2)=5),MaiDim1+2,""),IF(AND(YEAR(MaiDim1+9)=AnnéeCalendrier,MONTH(MaiDim1+9)=5),MaiDim1+9,""))</f>
        <v>45055</v>
      </c>
      <c r="L18" s="5">
        <f>IF(DAY(MaiDim1)=1,IF(AND(YEAR(MaiDim1+3)=AnnéeCalendrier,MONTH(MaiDim1+3)=5),MaiDim1+3,""),IF(AND(YEAR(MaiDim1+10)=AnnéeCalendrier,MONTH(MaiDim1+10)=5),MaiDim1+10,""))</f>
        <v>45056</v>
      </c>
      <c r="M18" s="5">
        <f>IF(DAY(MaiDim1)=1,IF(AND(YEAR(MaiDim1+4)=AnnéeCalendrier,MONTH(MaiDim1+4)=5),MaiDim1+4,""),IF(AND(YEAR(MaiDim1+11)=AnnéeCalendrier,MONTH(MaiDim1+11)=5),MaiDim1+11,""))</f>
        <v>45057</v>
      </c>
      <c r="N18" s="5">
        <f>IF(DAY(MaiDim1)=1,IF(AND(YEAR(MaiDim1+5)=AnnéeCalendrier,MONTH(MaiDim1+5)=5),MaiDim1+5,""),IF(AND(YEAR(MaiDim1+12)=AnnéeCalendrier,MONTH(MaiDim1+12)=5),MaiDim1+12,""))</f>
        <v>45058</v>
      </c>
      <c r="O18" s="5">
        <f>IF(DAY(MaiDim1)=1,IF(AND(YEAR(MaiDim1+6)=AnnéeCalendrier,MONTH(MaiDim1+6)=5),MaiDim1+6,""),IF(AND(YEAR(MaiDim1+13)=AnnéeCalendrier,MONTH(MaiDim1+13)=5),MaiDim1+13,""))</f>
        <v>45059</v>
      </c>
      <c r="P18" s="7">
        <f>IF(DAY(MaiDim1)=1,IF(AND(YEAR(MaiDim1+7)=AnnéeCalendrier,MONTH(MaiDim1+7)=5),MaiDim1+7,""),IF(AND(YEAR(MaiDim1+14)=AnnéeCalendrier,MONTH(MaiDim1+14)=5),MaiDim1+14,""))</f>
        <v>45060</v>
      </c>
      <c r="Q18" s="4"/>
      <c r="R18" s="6">
        <f>IF(DAY(JunDim1)=1,IF(AND(YEAR(JunDim1+1)=AnnéeCalendrier,MONTH(JunDim1+1)=6),JunDim1+1,""),IF(AND(YEAR(JunDim1+8)=AnnéeCalendrier,MONTH(JunDim1+8)=6),JunDim1+8,""))</f>
        <v>45082</v>
      </c>
      <c r="S18" s="5">
        <f>IF(DAY(JunDim1)=1,IF(AND(YEAR(JunDim1+2)=AnnéeCalendrier,MONTH(JunDim1+2)=6),JunDim1+2,""),IF(AND(YEAR(JunDim1+9)=AnnéeCalendrier,MONTH(JunDim1+9)=6),JunDim1+9,""))</f>
        <v>45083</v>
      </c>
      <c r="T18" s="5">
        <f>IF(DAY(JunDim1)=1,IF(AND(YEAR(JunDim1+3)=AnnéeCalendrier,MONTH(JunDim1+3)=6),JunDim1+3,""),IF(AND(YEAR(JunDim1+10)=AnnéeCalendrier,MONTH(JunDim1+10)=6),JunDim1+10,""))</f>
        <v>45084</v>
      </c>
      <c r="U18" s="5">
        <f>IF(DAY(JunDim1)=1,IF(AND(YEAR(JunDim1+4)=AnnéeCalendrier,MONTH(JunDim1+4)=6),JunDim1+4,""),IF(AND(YEAR(JunDim1+11)=AnnéeCalendrier,MONTH(JunDim1+11)=6),JunDim1+11,""))</f>
        <v>45085</v>
      </c>
      <c r="V18" s="5">
        <f>IF(DAY(JunDim1)=1,IF(AND(YEAR(JunDim1+5)=AnnéeCalendrier,MONTH(JunDim1+5)=6),JunDim1+5,""),IF(AND(YEAR(JunDim1+12)=AnnéeCalendrier,MONTH(JunDim1+12)=6),JunDim1+12,""))</f>
        <v>45086</v>
      </c>
      <c r="W18" s="5">
        <f>IF(DAY(JunDim1)=1,IF(AND(YEAR(JunDim1+6)=AnnéeCalendrier,MONTH(JunDim1+6)=6),JunDim1+6,""),IF(AND(YEAR(JunDim1+13)=AnnéeCalendrier,MONTH(JunDim1+13)=6),JunDim1+13,""))</f>
        <v>45087</v>
      </c>
      <c r="X18" s="7">
        <f>IF(DAY(JunDim1)=1,IF(AND(YEAR(JunDim1+7)=AnnéeCalendrier,MONTH(JunDim1+7)=6),JunDim1+7,""),IF(AND(YEAR(JunDim1+14)=AnnéeCalendrier,MONTH(JunDim1+14)=6),JunDim1+14,""))</f>
        <v>45088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45026</v>
      </c>
      <c r="C19" s="5">
        <f>IF(DAY(AvrDim1)=1,IF(AND(YEAR(AvrDim1+9)=AnnéeCalendrier,MONTH(AvrDim1+9)=4),AvrDim1+9,""),IF(AND(YEAR(AvrDim1+16)=AnnéeCalendrier,MONTH(AvrDim1+16)=4),AvrDim1+16,""))</f>
        <v>45027</v>
      </c>
      <c r="D19" s="5">
        <f>IF(DAY(AvrDim1)=1,IF(AND(YEAR(AvrDim1+10)=AnnéeCalendrier,MONTH(AvrDim1+10)=4),AvrDim1+10,""),IF(AND(YEAR(AvrDim1+17)=AnnéeCalendrier,MONTH(AvrDim1+17)=4),AvrDim1+17,""))</f>
        <v>45028</v>
      </c>
      <c r="E19" s="5">
        <f>IF(DAY(AvrDim1)=1,IF(AND(YEAR(AvrDim1+11)=AnnéeCalendrier,MONTH(AvrDim1+11)=4),AvrDim1+11,""),IF(AND(YEAR(AvrDim1+18)=AnnéeCalendrier,MONTH(AvrDim1+18)=4),AvrDim1+18,""))</f>
        <v>45029</v>
      </c>
      <c r="F19" s="5">
        <f>IF(DAY(AvrDim1)=1,IF(AND(YEAR(AvrDim1+12)=AnnéeCalendrier,MONTH(AvrDim1+12)=4),AvrDim1+12,""),IF(AND(YEAR(AvrDim1+19)=AnnéeCalendrier,MONTH(AvrDim1+19)=4),AvrDim1+19,""))</f>
        <v>45030</v>
      </c>
      <c r="G19" s="5">
        <f>IF(DAY(AvrDim1)=1,IF(AND(YEAR(AvrDim1+13)=AnnéeCalendrier,MONTH(AvrDim1+13)=4),AvrDim1+13,""),IF(AND(YEAR(AvrDim1+20)=AnnéeCalendrier,MONTH(AvrDim1+20)=4),AvrDim1+20,""))</f>
        <v>45031</v>
      </c>
      <c r="H19" s="7">
        <f>IF(DAY(AvrDim1)=1,IF(AND(YEAR(AvrDim1+14)=AnnéeCalendrier,MONTH(AvrDim1+14)=4),AvrDim1+14,""),IF(AND(YEAR(AvrDim1+21)=AnnéeCalendrier,MONTH(AvrDim1+21)=4),AvrDim1+21,""))</f>
        <v>45032</v>
      </c>
      <c r="I19" s="4"/>
      <c r="J19" s="6">
        <f>IF(DAY(MaiDim1)=1,IF(AND(YEAR(MaiDim1+8)=AnnéeCalendrier,MONTH(MaiDim1+8)=5),MaiDim1+8,""),IF(AND(YEAR(MaiDim1+15)=AnnéeCalendrier,MONTH(MaiDim1+15)=5),MaiDim1+15,""))</f>
        <v>45061</v>
      </c>
      <c r="K19" s="5">
        <f>IF(DAY(MaiDim1)=1,IF(AND(YEAR(MaiDim1+9)=AnnéeCalendrier,MONTH(MaiDim1+9)=5),MaiDim1+9,""),IF(AND(YEAR(MaiDim1+16)=AnnéeCalendrier,MONTH(MaiDim1+16)=5),MaiDim1+16,""))</f>
        <v>45062</v>
      </c>
      <c r="L19" s="5">
        <f>IF(DAY(MaiDim1)=1,IF(AND(YEAR(MaiDim1+10)=AnnéeCalendrier,MONTH(MaiDim1+10)=5),MaiDim1+10,""),IF(AND(YEAR(MaiDim1+17)=AnnéeCalendrier,MONTH(MaiDim1+17)=5),MaiDim1+17,""))</f>
        <v>45063</v>
      </c>
      <c r="M19" s="5">
        <f>IF(DAY(MaiDim1)=1,IF(AND(YEAR(MaiDim1+11)=AnnéeCalendrier,MONTH(MaiDim1+11)=5),MaiDim1+11,""),IF(AND(YEAR(MaiDim1+18)=AnnéeCalendrier,MONTH(MaiDim1+18)=5),MaiDim1+18,""))</f>
        <v>45064</v>
      </c>
      <c r="N19" s="5">
        <f>IF(DAY(MaiDim1)=1,IF(AND(YEAR(MaiDim1+12)=AnnéeCalendrier,MONTH(MaiDim1+12)=5),MaiDim1+12,""),IF(AND(YEAR(MaiDim1+19)=AnnéeCalendrier,MONTH(MaiDim1+19)=5),MaiDim1+19,""))</f>
        <v>45065</v>
      </c>
      <c r="O19" s="5">
        <f>IF(DAY(MaiDim1)=1,IF(AND(YEAR(MaiDim1+13)=AnnéeCalendrier,MONTH(MaiDim1+13)=5),MaiDim1+13,""),IF(AND(YEAR(MaiDim1+20)=AnnéeCalendrier,MONTH(MaiDim1+20)=5),MaiDim1+20,""))</f>
        <v>45066</v>
      </c>
      <c r="P19" s="7">
        <f>IF(DAY(MaiDim1)=1,IF(AND(YEAR(MaiDim1+14)=AnnéeCalendrier,MONTH(MaiDim1+14)=5),MaiDim1+14,""),IF(AND(YEAR(MaiDim1+21)=AnnéeCalendrier,MONTH(MaiDim1+21)=5),MaiDim1+21,""))</f>
        <v>45067</v>
      </c>
      <c r="Q19" s="4"/>
      <c r="R19" s="6">
        <f>IF(DAY(JunDim1)=1,IF(AND(YEAR(JunDim1+8)=AnnéeCalendrier,MONTH(JunDim1+8)=6),JunDim1+8,""),IF(AND(YEAR(JunDim1+15)=AnnéeCalendrier,MONTH(JunDim1+15)=6),JunDim1+15,""))</f>
        <v>45089</v>
      </c>
      <c r="S19" s="5">
        <f>IF(DAY(JunDim1)=1,IF(AND(YEAR(JunDim1+9)=AnnéeCalendrier,MONTH(JunDim1+9)=6),JunDim1+9,""),IF(AND(YEAR(JunDim1+16)=AnnéeCalendrier,MONTH(JunDim1+16)=6),JunDim1+16,""))</f>
        <v>45090</v>
      </c>
      <c r="T19" s="5">
        <f>IF(DAY(JunDim1)=1,IF(AND(YEAR(JunDim1+10)=AnnéeCalendrier,MONTH(JunDim1+10)=6),JunDim1+10,""),IF(AND(YEAR(JunDim1+17)=AnnéeCalendrier,MONTH(JunDim1+17)=6),JunDim1+17,""))</f>
        <v>45091</v>
      </c>
      <c r="U19" s="5">
        <f>IF(DAY(JunDim1)=1,IF(AND(YEAR(JunDim1+11)=AnnéeCalendrier,MONTH(JunDim1+11)=6),JunDim1+11,""),IF(AND(YEAR(JunDim1+18)=AnnéeCalendrier,MONTH(JunDim1+18)=6),JunDim1+18,""))</f>
        <v>45092</v>
      </c>
      <c r="V19" s="5">
        <f>IF(DAY(JunDim1)=1,IF(AND(YEAR(JunDim1+12)=AnnéeCalendrier,MONTH(JunDim1+12)=6),JunDim1+12,""),IF(AND(YEAR(JunDim1+19)=AnnéeCalendrier,MONTH(JunDim1+19)=6),JunDim1+19,""))</f>
        <v>45093</v>
      </c>
      <c r="W19" s="5">
        <f>IF(DAY(JunDim1)=1,IF(AND(YEAR(JunDim1+13)=AnnéeCalendrier,MONTH(JunDim1+13)=6),JunDim1+13,""),IF(AND(YEAR(JunDim1+20)=AnnéeCalendrier,MONTH(JunDim1+20)=6),JunDim1+20,""))</f>
        <v>45094</v>
      </c>
      <c r="X19" s="7">
        <f>IF(DAY(JunDim1)=1,IF(AND(YEAR(JunDim1+14)=AnnéeCalendrier,MONTH(JunDim1+14)=6),JunDim1+14,""),IF(AND(YEAR(JunDim1+21)=AnnéeCalendrier,MONTH(JunDim1+21)=6),JunDim1+21,""))</f>
        <v>45095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45033</v>
      </c>
      <c r="C20" s="5">
        <f>IF(DAY(AvrDim1)=1,IF(AND(YEAR(AvrDim1+16)=AnnéeCalendrier,MONTH(AvrDim1+16)=4),AvrDim1+16,""),IF(AND(YEAR(AvrDim1+23)=AnnéeCalendrier,MONTH(AvrDim1+23)=4),AvrDim1+23,""))</f>
        <v>45034</v>
      </c>
      <c r="D20" s="5">
        <f>IF(DAY(AvrDim1)=1,IF(AND(YEAR(AvrDim1+17)=AnnéeCalendrier,MONTH(AvrDim1+17)=4),AvrDim1+17,""),IF(AND(YEAR(AvrDim1+24)=AnnéeCalendrier,MONTH(AvrDim1+24)=4),AvrDim1+24,""))</f>
        <v>45035</v>
      </c>
      <c r="E20" s="5">
        <f>IF(DAY(AvrDim1)=1,IF(AND(YEAR(AvrDim1+18)=AnnéeCalendrier,MONTH(AvrDim1+18)=4),AvrDim1+18,""),IF(AND(YEAR(AvrDim1+25)=AnnéeCalendrier,MONTH(AvrDim1+25)=4),AvrDim1+25,""))</f>
        <v>45036</v>
      </c>
      <c r="F20" s="5">
        <f>IF(DAY(AvrDim1)=1,IF(AND(YEAR(AvrDim1+19)=AnnéeCalendrier,MONTH(AvrDim1+19)=4),AvrDim1+19,""),IF(AND(YEAR(AvrDim1+26)=AnnéeCalendrier,MONTH(AvrDim1+26)=4),AvrDim1+26,""))</f>
        <v>45037</v>
      </c>
      <c r="G20" s="5">
        <f>IF(DAY(AvrDim1)=1,IF(AND(YEAR(AvrDim1+20)=AnnéeCalendrier,MONTH(AvrDim1+20)=4),AvrDim1+20,""),IF(AND(YEAR(AvrDim1+27)=AnnéeCalendrier,MONTH(AvrDim1+27)=4),AvrDim1+27,""))</f>
        <v>45038</v>
      </c>
      <c r="H20" s="7">
        <f>IF(DAY(AvrDim1)=1,IF(AND(YEAR(AvrDim1+21)=AnnéeCalendrier,MONTH(AvrDim1+21)=4),AvrDim1+21,""),IF(AND(YEAR(AvrDim1+28)=AnnéeCalendrier,MONTH(AvrDim1+28)=4),AvrDim1+28,""))</f>
        <v>45039</v>
      </c>
      <c r="I20" s="4"/>
      <c r="J20" s="6">
        <f>IF(DAY(MaiDim1)=1,IF(AND(YEAR(MaiDim1+15)=AnnéeCalendrier,MONTH(MaiDim1+15)=5),MaiDim1+15,""),IF(AND(YEAR(MaiDim1+22)=AnnéeCalendrier,MONTH(MaiDim1+22)=5),MaiDim1+22,""))</f>
        <v>45068</v>
      </c>
      <c r="K20" s="5">
        <f>IF(DAY(MaiDim1)=1,IF(AND(YEAR(MaiDim1+16)=AnnéeCalendrier,MONTH(MaiDim1+16)=5),MaiDim1+16,""),IF(AND(YEAR(MaiDim1+23)=AnnéeCalendrier,MONTH(MaiDim1+23)=5),MaiDim1+23,""))</f>
        <v>45069</v>
      </c>
      <c r="L20" s="5">
        <f>IF(DAY(MaiDim1)=1,IF(AND(YEAR(MaiDim1+17)=AnnéeCalendrier,MONTH(MaiDim1+17)=5),MaiDim1+17,""),IF(AND(YEAR(MaiDim1+24)=AnnéeCalendrier,MONTH(MaiDim1+24)=5),MaiDim1+24,""))</f>
        <v>45070</v>
      </c>
      <c r="M20" s="5">
        <f>IF(DAY(MaiDim1)=1,IF(AND(YEAR(MaiDim1+18)=AnnéeCalendrier,MONTH(MaiDim1+18)=5),MaiDim1+18,""),IF(AND(YEAR(MaiDim1+25)=AnnéeCalendrier,MONTH(MaiDim1+25)=5),MaiDim1+25,""))</f>
        <v>45071</v>
      </c>
      <c r="N20" s="5">
        <f>IF(DAY(MaiDim1)=1,IF(AND(YEAR(MaiDim1+19)=AnnéeCalendrier,MONTH(MaiDim1+19)=5),MaiDim1+19,""),IF(AND(YEAR(MaiDim1+26)=AnnéeCalendrier,MONTH(MaiDim1+26)=5),MaiDim1+26,""))</f>
        <v>45072</v>
      </c>
      <c r="O20" s="5">
        <f>IF(DAY(MaiDim1)=1,IF(AND(YEAR(MaiDim1+20)=AnnéeCalendrier,MONTH(MaiDim1+20)=5),MaiDim1+20,""),IF(AND(YEAR(MaiDim1+27)=AnnéeCalendrier,MONTH(MaiDim1+27)=5),MaiDim1+27,""))</f>
        <v>45073</v>
      </c>
      <c r="P20" s="7">
        <f>IF(DAY(MaiDim1)=1,IF(AND(YEAR(MaiDim1+21)=AnnéeCalendrier,MONTH(MaiDim1+21)=5),MaiDim1+21,""),IF(AND(YEAR(MaiDim1+28)=AnnéeCalendrier,MONTH(MaiDim1+28)=5),MaiDim1+28,""))</f>
        <v>45074</v>
      </c>
      <c r="Q20" s="4"/>
      <c r="R20" s="6">
        <f>IF(DAY(JunDim1)=1,IF(AND(YEAR(JunDim1+15)=AnnéeCalendrier,MONTH(JunDim1+15)=6),JunDim1+15,""),IF(AND(YEAR(JunDim1+22)=AnnéeCalendrier,MONTH(JunDim1+22)=6),JunDim1+22,""))</f>
        <v>45096</v>
      </c>
      <c r="S20" s="5">
        <f>IF(DAY(JunDim1)=1,IF(AND(YEAR(JunDim1+16)=AnnéeCalendrier,MONTH(JunDim1+16)=6),JunDim1+16,""),IF(AND(YEAR(JunDim1+23)=AnnéeCalendrier,MONTH(JunDim1+23)=6),JunDim1+23,""))</f>
        <v>45097</v>
      </c>
      <c r="T20" s="5">
        <f>IF(DAY(JunDim1)=1,IF(AND(YEAR(JunDim1+17)=AnnéeCalendrier,MONTH(JunDim1+17)=6),JunDim1+17,""),IF(AND(YEAR(JunDim1+24)=AnnéeCalendrier,MONTH(JunDim1+24)=6),JunDim1+24,""))</f>
        <v>45098</v>
      </c>
      <c r="U20" s="5">
        <f>IF(DAY(JunDim1)=1,IF(AND(YEAR(JunDim1+18)=AnnéeCalendrier,MONTH(JunDim1+18)=6),JunDim1+18,""),IF(AND(YEAR(JunDim1+25)=AnnéeCalendrier,MONTH(JunDim1+25)=6),JunDim1+25,""))</f>
        <v>45099</v>
      </c>
      <c r="V20" s="5">
        <f>IF(DAY(JunDim1)=1,IF(AND(YEAR(JunDim1+19)=AnnéeCalendrier,MONTH(JunDim1+19)=6),JunDim1+19,""),IF(AND(YEAR(JunDim1+26)=AnnéeCalendrier,MONTH(JunDim1+26)=6),JunDim1+26,""))</f>
        <v>45100</v>
      </c>
      <c r="W20" s="5">
        <f>IF(DAY(JunDim1)=1,IF(AND(YEAR(JunDim1+20)=AnnéeCalendrier,MONTH(JunDim1+20)=6),JunDim1+20,""),IF(AND(YEAR(JunDim1+27)=AnnéeCalendrier,MONTH(JunDim1+27)=6),JunDim1+27,""))</f>
        <v>45101</v>
      </c>
      <c r="X20" s="7">
        <f>IF(DAY(JunDim1)=1,IF(AND(YEAR(JunDim1+21)=AnnéeCalendrier,MONTH(JunDim1+21)=6),JunDim1+21,""),IF(AND(YEAR(JunDim1+28)=AnnéeCalendrier,MONTH(JunDim1+28)=6),JunDim1+28,""))</f>
        <v>45102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45040</v>
      </c>
      <c r="C21" s="5">
        <f>IF(DAY(AvrDim1)=1,IF(AND(YEAR(AvrDim1+23)=AnnéeCalendrier,MONTH(AvrDim1+23)=4),AvrDim1+23,""),IF(AND(YEAR(AvrDim1+30)=AnnéeCalendrier,MONTH(AvrDim1+30)=4),AvrDim1+30,""))</f>
        <v>45041</v>
      </c>
      <c r="D21" s="5">
        <f>IF(DAY(AvrDim1)=1,IF(AND(YEAR(AvrDim1+24)=AnnéeCalendrier,MONTH(AvrDim1+24)=4),AvrDim1+24,""),IF(AND(YEAR(AvrDim1+31)=AnnéeCalendrier,MONTH(AvrDim1+31)=4),AvrDim1+31,""))</f>
        <v>45042</v>
      </c>
      <c r="E21" s="5">
        <f>IF(DAY(AvrDim1)=1,IF(AND(YEAR(AvrDim1+25)=AnnéeCalendrier,MONTH(AvrDim1+25)=4),AvrDim1+25,""),IF(AND(YEAR(AvrDim1+32)=AnnéeCalendrier,MONTH(AvrDim1+32)=4),AvrDim1+32,""))</f>
        <v>45043</v>
      </c>
      <c r="F21" s="5">
        <f>IF(DAY(AvrDim1)=1,IF(AND(YEAR(AvrDim1+26)=AnnéeCalendrier,MONTH(AvrDim1+26)=4),AvrDim1+26,""),IF(AND(YEAR(AvrDim1+33)=AnnéeCalendrier,MONTH(AvrDim1+33)=4),AvrDim1+33,""))</f>
        <v>45044</v>
      </c>
      <c r="G21" s="5">
        <f>IF(DAY(AvrDim1)=1,IF(AND(YEAR(AvrDim1+27)=AnnéeCalendrier,MONTH(AvrDim1+27)=4),AvrDim1+27,""),IF(AND(YEAR(AvrDim1+34)=AnnéeCalendrier,MONTH(AvrDim1+34)=4),AvrDim1+34,""))</f>
        <v>45045</v>
      </c>
      <c r="H21" s="7">
        <f>IF(DAY(AvrDim1)=1,IF(AND(YEAR(AvrDim1+28)=AnnéeCalendrier,MONTH(AvrDim1+28)=4),AvrDim1+28,""),IF(AND(YEAR(AvrDim1+35)=AnnéeCalendrier,MONTH(AvrDim1+35)=4),AvrDim1+35,""))</f>
        <v>45046</v>
      </c>
      <c r="I21" s="4"/>
      <c r="J21" s="6">
        <f>IF(DAY(MaiDim1)=1,IF(AND(YEAR(MaiDim1+22)=AnnéeCalendrier,MONTH(MaiDim1+22)=5),MaiDim1+22,""),IF(AND(YEAR(MaiDim1+29)=AnnéeCalendrier,MONTH(MaiDim1+29)=5),MaiDim1+29,""))</f>
        <v>45075</v>
      </c>
      <c r="K21" s="5">
        <f>IF(DAY(MaiDim1)=1,IF(AND(YEAR(MaiDim1+23)=AnnéeCalendrier,MONTH(MaiDim1+23)=5),MaiDim1+23,""),IF(AND(YEAR(MaiDim1+30)=AnnéeCalendrier,MONTH(MaiDim1+30)=5),MaiDim1+30,""))</f>
        <v>45076</v>
      </c>
      <c r="L21" s="5">
        <f>IF(DAY(MaiDim1)=1,IF(AND(YEAR(MaiDim1+24)=AnnéeCalendrier,MONTH(MaiDim1+24)=5),MaiDim1+24,""),IF(AND(YEAR(MaiDim1+31)=AnnéeCalendrier,MONTH(MaiDim1+31)=5),MaiDim1+31,""))</f>
        <v>45077</v>
      </c>
      <c r="M21" s="5" t="str">
        <f>IF(DAY(MaiDim1)=1,IF(AND(YEAR(MaiDim1+25)=AnnéeCalendrier,MONTH(MaiDim1+25)=5),MaiDim1+25,""),IF(AND(YEAR(MaiDim1+32)=AnnéeCalendrier,MONTH(MaiDim1+32)=5),MaiDim1+32,""))</f>
        <v/>
      </c>
      <c r="N21" s="5" t="str">
        <f>IF(DAY(MaiDim1)=1,IF(AND(YEAR(MaiDim1+26)=AnnéeCalendrier,MONTH(MaiDim1+26)=5),MaiDim1+26,""),IF(AND(YEAR(MaiDim1+33)=AnnéeCalendrier,MONTH(MaiDim1+33)=5),MaiDim1+33,""))</f>
        <v/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45103</v>
      </c>
      <c r="S21" s="5">
        <f>IF(DAY(JunDim1)=1,IF(AND(YEAR(JunDim1+23)=AnnéeCalendrier,MONTH(JunDim1+23)=6),JunDim1+23,""),IF(AND(YEAR(JunDim1+30)=AnnéeCalendrier,MONTH(JunDim1+30)=6),JunDim1+30,""))</f>
        <v>45104</v>
      </c>
      <c r="T21" s="5">
        <f>IF(DAY(JunDim1)=1,IF(AND(YEAR(JunDim1+24)=AnnéeCalendrier,MONTH(JunDim1+24)=6),JunDim1+24,""),IF(AND(YEAR(JunDim1+31)=AnnéeCalendrier,MONTH(JunDim1+31)=6),JunDim1+31,""))</f>
        <v>45105</v>
      </c>
      <c r="U21" s="5">
        <f>IF(DAY(JunDim1)=1,IF(AND(YEAR(JunDim1+25)=AnnéeCalendrier,MONTH(JunDim1+25)=6),JunDim1+25,""),IF(AND(YEAR(JunDim1+32)=AnnéeCalendrier,MONTH(JunDim1+32)=6),JunDim1+32,""))</f>
        <v>45106</v>
      </c>
      <c r="V21" s="5">
        <f>IF(DAY(JunDim1)=1,IF(AND(YEAR(JunDim1+26)=AnnéeCalendrier,MONTH(JunDim1+26)=6),JunDim1+26,""),IF(AND(YEAR(JunDim1+33)=AnnéeCalendrier,MONTH(JunDim1+33)=6),JunDim1+33,""))</f>
        <v>45107</v>
      </c>
      <c r="W21" s="5" t="str">
        <f>IF(DAY(JunDim1)=1,IF(AND(YEAR(JunDim1+27)=AnnéeCalendrier,MONTH(JunDim1+27)=6),JunDim1+27,""),IF(AND(YEAR(JunDim1+34)=AnnéeCalendrier,MONTH(JunDim1+34)=6),JunDim1+34,""))</f>
        <v/>
      </c>
      <c r="X21" s="7" t="str">
        <f>IF(DAY(JunDim1)=1,IF(AND(YEAR(JunDim1+28)=AnnéeCalendrier,MONTH(JunDim1+28)=6),JunDim1+28,""),IF(AND(YEAR(JunDim1+35)=AnnéeCalendrier,MONTH(JunDim1+35)=6),JunDim1+35,""))</f>
        <v/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 t="str">
        <f>IF(DAY(JulDim1)=1,"",IF(AND(YEAR(JulDim1+2)=AnnéeCalendrier,MONTH(JulDim1+2)=7),JulDim1+2,""))</f>
        <v/>
      </c>
      <c r="D26" s="5" t="str">
        <f>IF(DAY(JulDim1)=1,"",IF(AND(YEAR(JulDim1+3)=AnnéeCalendrier,MONTH(JulDim1+3)=7),JulDim1+3,""))</f>
        <v/>
      </c>
      <c r="E26" s="5" t="str">
        <f>IF(DAY(JulDim1)=1,"",IF(AND(YEAR(JulDim1+4)=AnnéeCalendrier,MONTH(JulDim1+4)=7),JulDim1+4,""))</f>
        <v/>
      </c>
      <c r="F26" s="5" t="str">
        <f>IF(DAY(JulDim1)=1,"",IF(AND(YEAR(JulDim1+5)=AnnéeCalendrier,MONTH(JulDim1+5)=7),JulDim1+5,""))</f>
        <v/>
      </c>
      <c r="G26" s="5">
        <f>IF(DAY(JulDim1)=1,"",IF(AND(YEAR(JulDim1+6)=AnnéeCalendrier,MONTH(JulDim1+6)=7),JulDim1+6,""))</f>
        <v>45108</v>
      </c>
      <c r="H26" s="7">
        <f>IF(DAY(JulDim1)=1,IF(AND(YEAR(JulDim1)=AnnéeCalendrier,MONTH(JulDim1)=7),JulDim1,""),IF(AND(YEAR(JulDim1+7)=AnnéeCalendrier,MONTH(JulDim1+7)=7),JulDim1+7,""))</f>
        <v>45109</v>
      </c>
      <c r="J26" s="6" t="str">
        <f>IF(DAY(AouDim1)=1,"",IF(AND(YEAR(AouDim1+1)=AnnéeCalendrier,MONTH(AouDim1+1)=8),AouDim1+1,""))</f>
        <v/>
      </c>
      <c r="K26" s="5">
        <f>IF(DAY(AouDim1)=1,"",IF(AND(YEAR(AouDim1+2)=AnnéeCalendrier,MONTH(AouDim1+2)=8),AouDim1+2,""))</f>
        <v>45139</v>
      </c>
      <c r="L26" s="5">
        <f>IF(DAY(AouDim1)=1,"",IF(AND(YEAR(AouDim1+3)=AnnéeCalendrier,MONTH(AouDim1+3)=8),AouDim1+3,""))</f>
        <v>45140</v>
      </c>
      <c r="M26" s="5">
        <f>IF(DAY(AouDim1)=1,"",IF(AND(YEAR(AouDim1+4)=AnnéeCalendrier,MONTH(AouDim1+4)=8),AouDim1+4,""))</f>
        <v>45141</v>
      </c>
      <c r="N26" s="5">
        <f>IF(DAY(AouDim1)=1,"",IF(AND(YEAR(AouDim1+5)=AnnéeCalendrier,MONTH(AouDim1+5)=8),AouDim1+5,""))</f>
        <v>45142</v>
      </c>
      <c r="O26" s="5">
        <f>IF(DAY(AouDim1)=1,"",IF(AND(YEAR(AouDim1+6)=AnnéeCalendrier,MONTH(AouDim1+6)=8),AouDim1+6,""))</f>
        <v>45143</v>
      </c>
      <c r="P26" s="7">
        <f>IF(DAY(AouDim1)=1,IF(AND(YEAR(AouDim1)=AnnéeCalendrier,MONTH(AouDim1)=8),AouDim1,""),IF(AND(YEAR(AouDim1+7)=AnnéeCalendrier,MONTH(AouDim1+7)=8),AouDim1+7,""))</f>
        <v>45144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>
        <f>IF(DAY(SepDim1)=1,"",IF(AND(YEAR(SepDim1+5)=AnnéeCalendrier,MONTH(SepDim1+5)=9),SepDim1+5,""))</f>
        <v>45170</v>
      </c>
      <c r="W26" s="5">
        <f>IF(DAY(SepDim1)=1,"",IF(AND(YEAR(SepDim1+6)=AnnéeCalendrier,MONTH(SepDim1+6)=9),SepDim1+6,""))</f>
        <v>45171</v>
      </c>
      <c r="X26" s="7">
        <f>IF(DAY(SepDim1)=1,IF(AND(YEAR(SepDim1)=AnnéeCalendrier,MONTH(SepDim1)=9),SepDim1,""),IF(AND(YEAR(SepDim1+7)=AnnéeCalendrier,MONTH(SepDim1+7)=9),SepDim1+7,""))</f>
        <v>45172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45110</v>
      </c>
      <c r="C27" s="5">
        <f>IF(DAY(JulDim1)=1,IF(AND(YEAR(JulDim1+2)=AnnéeCalendrier,MONTH(JulDim1+2)=7),JulDim1+2,""),IF(AND(YEAR(JulDim1+9)=AnnéeCalendrier,MONTH(JulDim1+9)=7),JulDim1+9,""))</f>
        <v>45111</v>
      </c>
      <c r="D27" s="5">
        <f>IF(DAY(JulDim1)=1,IF(AND(YEAR(JulDim1+3)=AnnéeCalendrier,MONTH(JulDim1+3)=7),JulDim1+3,""),IF(AND(YEAR(JulDim1+10)=AnnéeCalendrier,MONTH(JulDim1+10)=7),JulDim1+10,""))</f>
        <v>45112</v>
      </c>
      <c r="E27" s="5">
        <f>IF(DAY(JulDim1)=1,IF(AND(YEAR(JulDim1+4)=AnnéeCalendrier,MONTH(JulDim1+4)=7),JulDim1+4,""),IF(AND(YEAR(JulDim1+11)=AnnéeCalendrier,MONTH(JulDim1+11)=7),JulDim1+11,""))</f>
        <v>45113</v>
      </c>
      <c r="F27" s="5">
        <f>IF(DAY(JulDim1)=1,IF(AND(YEAR(JulDim1+5)=AnnéeCalendrier,MONTH(JulDim1+5)=7),JulDim1+5,""),IF(AND(YEAR(JulDim1+12)=AnnéeCalendrier,MONTH(JulDim1+12)=7),JulDim1+12,""))</f>
        <v>45114</v>
      </c>
      <c r="G27" s="5">
        <f>IF(DAY(JulDim1)=1,IF(AND(YEAR(JulDim1+6)=AnnéeCalendrier,MONTH(JulDim1+6)=7),JulDim1+6,""),IF(AND(YEAR(JulDim1+13)=AnnéeCalendrier,MONTH(JulDim1+13)=7),JulDim1+13,""))</f>
        <v>45115</v>
      </c>
      <c r="H27" s="7">
        <f>IF(DAY(JulDim1)=1,IF(AND(YEAR(JulDim1+7)=AnnéeCalendrier,MONTH(JulDim1+7)=7),JulDim1+7,""),IF(AND(YEAR(JulDim1+14)=AnnéeCalendrier,MONTH(JulDim1+14)=7),JulDim1+14,""))</f>
        <v>45116</v>
      </c>
      <c r="J27" s="6">
        <f>IF(DAY(AouDim1)=1,IF(AND(YEAR(AouDim1+1)=AnnéeCalendrier,MONTH(AouDim1+1)=8),AouDim1+1,""),IF(AND(YEAR(AouDim1+8)=AnnéeCalendrier,MONTH(AouDim1+8)=8),AouDim1+8,""))</f>
        <v>45145</v>
      </c>
      <c r="K27" s="5">
        <f>IF(DAY(AouDim1)=1,IF(AND(YEAR(AouDim1+2)=AnnéeCalendrier,MONTH(AouDim1+2)=8),AouDim1+2,""),IF(AND(YEAR(AouDim1+9)=AnnéeCalendrier,MONTH(AouDim1+9)=8),AouDim1+9,""))</f>
        <v>45146</v>
      </c>
      <c r="L27" s="5">
        <f>IF(DAY(AouDim1)=1,IF(AND(YEAR(AouDim1+3)=AnnéeCalendrier,MONTH(AouDim1+3)=8),AouDim1+3,""),IF(AND(YEAR(AouDim1+10)=AnnéeCalendrier,MONTH(AouDim1+10)=8),AouDim1+10,""))</f>
        <v>45147</v>
      </c>
      <c r="M27" s="5">
        <f>IF(DAY(AouDim1)=1,IF(AND(YEAR(AouDim1+4)=AnnéeCalendrier,MONTH(AouDim1+4)=8),AouDim1+4,""),IF(AND(YEAR(AouDim1+11)=AnnéeCalendrier,MONTH(AouDim1+11)=8),AouDim1+11,""))</f>
        <v>45148</v>
      </c>
      <c r="N27" s="5">
        <f>IF(DAY(AouDim1)=1,IF(AND(YEAR(AouDim1+5)=AnnéeCalendrier,MONTH(AouDim1+5)=8),AouDim1+5,""),IF(AND(YEAR(AouDim1+12)=AnnéeCalendrier,MONTH(AouDim1+12)=8),AouDim1+12,""))</f>
        <v>45149</v>
      </c>
      <c r="O27" s="5">
        <f>IF(DAY(AouDim1)=1,IF(AND(YEAR(AouDim1+6)=AnnéeCalendrier,MONTH(AouDim1+6)=8),AouDim1+6,""),IF(AND(YEAR(AouDim1+13)=AnnéeCalendrier,MONTH(AouDim1+13)=8),AouDim1+13,""))</f>
        <v>45150</v>
      </c>
      <c r="P27" s="7">
        <f>IF(DAY(AouDim1)=1,IF(AND(YEAR(AouDim1+7)=AnnéeCalendrier,MONTH(AouDim1+7)=8),AouDim1+7,""),IF(AND(YEAR(AouDim1+14)=AnnéeCalendrier,MONTH(AouDim1+14)=8),AouDim1+14,""))</f>
        <v>45151</v>
      </c>
      <c r="Q27" s="1"/>
      <c r="R27" s="6">
        <f>IF(DAY(SepDim1)=1,IF(AND(YEAR(SepDim1+1)=AnnéeCalendrier,MONTH(SepDim1+1)=9),SepDim1+1,""),IF(AND(YEAR(SepDim1+8)=AnnéeCalendrier,MONTH(SepDim1+8)=9),SepDim1+8,""))</f>
        <v>45173</v>
      </c>
      <c r="S27" s="5">
        <f>IF(DAY(SepDim1)=1,IF(AND(YEAR(SepDim1+2)=AnnéeCalendrier,MONTH(SepDim1+2)=9),SepDim1+2,""),IF(AND(YEAR(SepDim1+9)=AnnéeCalendrier,MONTH(SepDim1+9)=9),SepDim1+9,""))</f>
        <v>45174</v>
      </c>
      <c r="T27" s="5">
        <f>IF(DAY(SepDim1)=1,IF(AND(YEAR(SepDim1+3)=AnnéeCalendrier,MONTH(SepDim1+3)=9),SepDim1+3,""),IF(AND(YEAR(SepDim1+10)=AnnéeCalendrier,MONTH(SepDim1+10)=9),SepDim1+10,""))</f>
        <v>45175</v>
      </c>
      <c r="U27" s="5">
        <f>IF(DAY(SepDim1)=1,IF(AND(YEAR(SepDim1+4)=AnnéeCalendrier,MONTH(SepDim1+4)=9),SepDim1+4,""),IF(AND(YEAR(SepDim1+11)=AnnéeCalendrier,MONTH(SepDim1+11)=9),SepDim1+11,""))</f>
        <v>45176</v>
      </c>
      <c r="V27" s="5">
        <f>IF(DAY(SepDim1)=1,IF(AND(YEAR(SepDim1+5)=AnnéeCalendrier,MONTH(SepDim1+5)=9),SepDim1+5,""),IF(AND(YEAR(SepDim1+12)=AnnéeCalendrier,MONTH(SepDim1+12)=9),SepDim1+12,""))</f>
        <v>45177</v>
      </c>
      <c r="W27" s="5">
        <f>IF(DAY(SepDim1)=1,IF(AND(YEAR(SepDim1+6)=AnnéeCalendrier,MONTH(SepDim1+6)=9),SepDim1+6,""),IF(AND(YEAR(SepDim1+13)=AnnéeCalendrier,MONTH(SepDim1+13)=9),SepDim1+13,""))</f>
        <v>45178</v>
      </c>
      <c r="X27" s="7">
        <f>IF(DAY(SepDim1)=1,IF(AND(YEAR(SepDim1+7)=AnnéeCalendrier,MONTH(SepDim1+7)=9),SepDim1+7,""),IF(AND(YEAR(SepDim1+14)=AnnéeCalendrier,MONTH(SepDim1+14)=9),SepDim1+14,""))</f>
        <v>45179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45117</v>
      </c>
      <c r="C28" s="5">
        <f>IF(DAY(JulDim1)=1,IF(AND(YEAR(JulDim1+9)=AnnéeCalendrier,MONTH(JulDim1+9)=7),JulDim1+9,""),IF(AND(YEAR(JulDim1+16)=AnnéeCalendrier,MONTH(JulDim1+16)=7),JulDim1+16,""))</f>
        <v>45118</v>
      </c>
      <c r="D28" s="5">
        <f>IF(DAY(JulDim1)=1,IF(AND(YEAR(JulDim1+10)=AnnéeCalendrier,MONTH(JulDim1+10)=7),JulDim1+10,""),IF(AND(YEAR(JulDim1+17)=AnnéeCalendrier,MONTH(JulDim1+17)=7),JulDim1+17,""))</f>
        <v>45119</v>
      </c>
      <c r="E28" s="5">
        <f>IF(DAY(JulDim1)=1,IF(AND(YEAR(JulDim1+11)=AnnéeCalendrier,MONTH(JulDim1+11)=7),JulDim1+11,""),IF(AND(YEAR(JulDim1+18)=AnnéeCalendrier,MONTH(JulDim1+18)=7),JulDim1+18,""))</f>
        <v>45120</v>
      </c>
      <c r="F28" s="5">
        <f>IF(DAY(JulDim1)=1,IF(AND(YEAR(JulDim1+12)=AnnéeCalendrier,MONTH(JulDim1+12)=7),JulDim1+12,""),IF(AND(YEAR(JulDim1+19)=AnnéeCalendrier,MONTH(JulDim1+19)=7),JulDim1+19,""))</f>
        <v>45121</v>
      </c>
      <c r="G28" s="5">
        <f>IF(DAY(JulDim1)=1,IF(AND(YEAR(JulDim1+13)=AnnéeCalendrier,MONTH(JulDim1+13)=7),JulDim1+13,""),IF(AND(YEAR(JulDim1+20)=AnnéeCalendrier,MONTH(JulDim1+20)=7),JulDim1+20,""))</f>
        <v>45122</v>
      </c>
      <c r="H28" s="7">
        <f>IF(DAY(JulDim1)=1,IF(AND(YEAR(JulDim1+14)=AnnéeCalendrier,MONTH(JulDim1+14)=7),JulDim1+14,""),IF(AND(YEAR(JulDim1+21)=AnnéeCalendrier,MONTH(JulDim1+21)=7),JulDim1+21,""))</f>
        <v>45123</v>
      </c>
      <c r="J28" s="6">
        <f>IF(DAY(AouDim1)=1,IF(AND(YEAR(AouDim1+8)=AnnéeCalendrier,MONTH(AouDim1+8)=8),AouDim1+8,""),IF(AND(YEAR(AouDim1+15)=AnnéeCalendrier,MONTH(AouDim1+15)=8),AouDim1+15,""))</f>
        <v>45152</v>
      </c>
      <c r="K28" s="5">
        <f>IF(DAY(AouDim1)=1,IF(AND(YEAR(AouDim1+9)=AnnéeCalendrier,MONTH(AouDim1+9)=8),AouDim1+9,""),IF(AND(YEAR(AouDim1+16)=AnnéeCalendrier,MONTH(AouDim1+16)=8),AouDim1+16,""))</f>
        <v>45153</v>
      </c>
      <c r="L28" s="5">
        <f>IF(DAY(AouDim1)=1,IF(AND(YEAR(AouDim1+10)=AnnéeCalendrier,MONTH(AouDim1+10)=8),AouDim1+10,""),IF(AND(YEAR(AouDim1+17)=AnnéeCalendrier,MONTH(AouDim1+17)=8),AouDim1+17,""))</f>
        <v>45154</v>
      </c>
      <c r="M28" s="5">
        <f>IF(DAY(AouDim1)=1,IF(AND(YEAR(AouDim1+11)=AnnéeCalendrier,MONTH(AouDim1+11)=8),AouDim1+11,""),IF(AND(YEAR(AouDim1+18)=AnnéeCalendrier,MONTH(AouDim1+18)=8),AouDim1+18,""))</f>
        <v>45155</v>
      </c>
      <c r="N28" s="5">
        <f>IF(DAY(AouDim1)=1,IF(AND(YEAR(AouDim1+12)=AnnéeCalendrier,MONTH(AouDim1+12)=8),AouDim1+12,""),IF(AND(YEAR(AouDim1+19)=AnnéeCalendrier,MONTH(AouDim1+19)=8),AouDim1+19,""))</f>
        <v>45156</v>
      </c>
      <c r="O28" s="5">
        <f>IF(DAY(AouDim1)=1,IF(AND(YEAR(AouDim1+13)=AnnéeCalendrier,MONTH(AouDim1+13)=8),AouDim1+13,""),IF(AND(YEAR(AouDim1+20)=AnnéeCalendrier,MONTH(AouDim1+20)=8),AouDim1+20,""))</f>
        <v>45157</v>
      </c>
      <c r="P28" s="7">
        <f>IF(DAY(AouDim1)=1,IF(AND(YEAR(AouDim1+14)=AnnéeCalendrier,MONTH(AouDim1+14)=8),AouDim1+14,""),IF(AND(YEAR(AouDim1+21)=AnnéeCalendrier,MONTH(AouDim1+21)=8),AouDim1+21,""))</f>
        <v>45158</v>
      </c>
      <c r="Q28" s="1"/>
      <c r="R28" s="6">
        <f>IF(DAY(SepDim1)=1,IF(AND(YEAR(SepDim1+8)=AnnéeCalendrier,MONTH(SepDim1+8)=9),SepDim1+8,""),IF(AND(YEAR(SepDim1+15)=AnnéeCalendrier,MONTH(SepDim1+15)=9),SepDim1+15,""))</f>
        <v>45180</v>
      </c>
      <c r="S28" s="5">
        <f>IF(DAY(SepDim1)=1,IF(AND(YEAR(SepDim1+9)=AnnéeCalendrier,MONTH(SepDim1+9)=9),SepDim1+9,""),IF(AND(YEAR(SepDim1+16)=AnnéeCalendrier,MONTH(SepDim1+16)=9),SepDim1+16,""))</f>
        <v>45181</v>
      </c>
      <c r="T28" s="5">
        <f>IF(DAY(SepDim1)=1,IF(AND(YEAR(SepDim1+10)=AnnéeCalendrier,MONTH(SepDim1+10)=9),SepDim1+10,""),IF(AND(YEAR(SepDim1+17)=AnnéeCalendrier,MONTH(SepDim1+17)=9),SepDim1+17,""))</f>
        <v>45182</v>
      </c>
      <c r="U28" s="5">
        <f>IF(DAY(SepDim1)=1,IF(AND(YEAR(SepDim1+11)=AnnéeCalendrier,MONTH(SepDim1+11)=9),SepDim1+11,""),IF(AND(YEAR(SepDim1+18)=AnnéeCalendrier,MONTH(SepDim1+18)=9),SepDim1+18,""))</f>
        <v>45183</v>
      </c>
      <c r="V28" s="5">
        <f>IF(DAY(SepDim1)=1,IF(AND(YEAR(SepDim1+12)=AnnéeCalendrier,MONTH(SepDim1+12)=9),SepDim1+12,""),IF(AND(YEAR(SepDim1+19)=AnnéeCalendrier,MONTH(SepDim1+19)=9),SepDim1+19,""))</f>
        <v>45184</v>
      </c>
      <c r="W28" s="5">
        <f>IF(DAY(SepDim1)=1,IF(AND(YEAR(SepDim1+13)=AnnéeCalendrier,MONTH(SepDim1+13)=9),SepDim1+13,""),IF(AND(YEAR(SepDim1+20)=AnnéeCalendrier,MONTH(SepDim1+20)=9),SepDim1+20,""))</f>
        <v>45185</v>
      </c>
      <c r="X28" s="7">
        <f>IF(DAY(SepDim1)=1,IF(AND(YEAR(SepDim1+14)=AnnéeCalendrier,MONTH(SepDim1+14)=9),SepDim1+14,""),IF(AND(YEAR(SepDim1+21)=AnnéeCalendrier,MONTH(SepDim1+21)=9),SepDim1+21,""))</f>
        <v>45186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45124</v>
      </c>
      <c r="C29" s="5">
        <f>IF(DAY(JulDim1)=1,IF(AND(YEAR(JulDim1+16)=AnnéeCalendrier,MONTH(JulDim1+16)=7),JulDim1+16,""),IF(AND(YEAR(JulDim1+23)=AnnéeCalendrier,MONTH(JulDim1+23)=7),JulDim1+23,""))</f>
        <v>45125</v>
      </c>
      <c r="D29" s="5">
        <f>IF(DAY(JulDim1)=1,IF(AND(YEAR(JulDim1+17)=AnnéeCalendrier,MONTH(JulDim1+17)=7),JulDim1+17,""),IF(AND(YEAR(JulDim1+24)=AnnéeCalendrier,MONTH(JulDim1+24)=7),JulDim1+24,""))</f>
        <v>45126</v>
      </c>
      <c r="E29" s="5">
        <f>IF(DAY(JulDim1)=1,IF(AND(YEAR(JulDim1+18)=AnnéeCalendrier,MONTH(JulDim1+18)=7),JulDim1+18,""),IF(AND(YEAR(JulDim1+25)=AnnéeCalendrier,MONTH(JulDim1+25)=7),JulDim1+25,""))</f>
        <v>45127</v>
      </c>
      <c r="F29" s="5">
        <f>IF(DAY(JulDim1)=1,IF(AND(YEAR(JulDim1+19)=AnnéeCalendrier,MONTH(JulDim1+19)=7),JulDim1+19,""),IF(AND(YEAR(JulDim1+26)=AnnéeCalendrier,MONTH(JulDim1+26)=7),JulDim1+26,""))</f>
        <v>45128</v>
      </c>
      <c r="G29" s="5">
        <f>IF(DAY(JulDim1)=1,IF(AND(YEAR(JulDim1+20)=AnnéeCalendrier,MONTH(JulDim1+20)=7),JulDim1+20,""),IF(AND(YEAR(JulDim1+27)=AnnéeCalendrier,MONTH(JulDim1+27)=7),JulDim1+27,""))</f>
        <v>45129</v>
      </c>
      <c r="H29" s="7">
        <f>IF(DAY(JulDim1)=1,IF(AND(YEAR(JulDim1+21)=AnnéeCalendrier,MONTH(JulDim1+21)=7),JulDim1+21,""),IF(AND(YEAR(JulDim1+28)=AnnéeCalendrier,MONTH(JulDim1+28)=7),JulDim1+28,""))</f>
        <v>45130</v>
      </c>
      <c r="J29" s="6">
        <f>IF(DAY(AouDim1)=1,IF(AND(YEAR(AouDim1+15)=AnnéeCalendrier,MONTH(AouDim1+15)=8),AouDim1+15,""),IF(AND(YEAR(AouDim1+22)=AnnéeCalendrier,MONTH(AouDim1+22)=8),AouDim1+22,""))</f>
        <v>45159</v>
      </c>
      <c r="K29" s="5">
        <f>IF(DAY(AouDim1)=1,IF(AND(YEAR(AouDim1+16)=AnnéeCalendrier,MONTH(AouDim1+16)=8),AouDim1+16,""),IF(AND(YEAR(AouDim1+23)=AnnéeCalendrier,MONTH(AouDim1+23)=8),AouDim1+23,""))</f>
        <v>45160</v>
      </c>
      <c r="L29" s="5">
        <f>IF(DAY(AouDim1)=1,IF(AND(YEAR(AouDim1+17)=AnnéeCalendrier,MONTH(AouDim1+17)=8),AouDim1+17,""),IF(AND(YEAR(AouDim1+24)=AnnéeCalendrier,MONTH(AouDim1+24)=8),AouDim1+24,""))</f>
        <v>45161</v>
      </c>
      <c r="M29" s="5">
        <f>IF(DAY(AouDim1)=1,IF(AND(YEAR(AouDim1+18)=AnnéeCalendrier,MONTH(AouDim1+18)=8),AouDim1+18,""),IF(AND(YEAR(AouDim1+25)=AnnéeCalendrier,MONTH(AouDim1+25)=8),AouDim1+25,""))</f>
        <v>45162</v>
      </c>
      <c r="N29" s="5">
        <f>IF(DAY(AouDim1)=1,IF(AND(YEAR(AouDim1+19)=AnnéeCalendrier,MONTH(AouDim1+19)=8),AouDim1+19,""),IF(AND(YEAR(AouDim1+26)=AnnéeCalendrier,MONTH(AouDim1+26)=8),AouDim1+26,""))</f>
        <v>45163</v>
      </c>
      <c r="O29" s="5">
        <f>IF(DAY(AouDim1)=1,IF(AND(YEAR(AouDim1+20)=AnnéeCalendrier,MONTH(AouDim1+20)=8),AouDim1+20,""),IF(AND(YEAR(AouDim1+27)=AnnéeCalendrier,MONTH(AouDim1+27)=8),AouDim1+27,""))</f>
        <v>45164</v>
      </c>
      <c r="P29" s="7">
        <f>IF(DAY(AouDim1)=1,IF(AND(YEAR(AouDim1+21)=AnnéeCalendrier,MONTH(AouDim1+21)=8),AouDim1+21,""),IF(AND(YEAR(AouDim1+28)=AnnéeCalendrier,MONTH(AouDim1+28)=8),AouDim1+28,""))</f>
        <v>45165</v>
      </c>
      <c r="Q29" s="1"/>
      <c r="R29" s="6">
        <f>IF(DAY(SepDim1)=1,IF(AND(YEAR(SepDim1+15)=AnnéeCalendrier,MONTH(SepDim1+15)=9),SepDim1+15,""),IF(AND(YEAR(SepDim1+22)=AnnéeCalendrier,MONTH(SepDim1+22)=9),SepDim1+22,""))</f>
        <v>45187</v>
      </c>
      <c r="S29" s="5">
        <f>IF(DAY(SepDim1)=1,IF(AND(YEAR(SepDim1+16)=AnnéeCalendrier,MONTH(SepDim1+16)=9),SepDim1+16,""),IF(AND(YEAR(SepDim1+23)=AnnéeCalendrier,MONTH(SepDim1+23)=9),SepDim1+23,""))</f>
        <v>45188</v>
      </c>
      <c r="T29" s="5">
        <f>IF(DAY(SepDim1)=1,IF(AND(YEAR(SepDim1+17)=AnnéeCalendrier,MONTH(SepDim1+17)=9),SepDim1+17,""),IF(AND(YEAR(SepDim1+24)=AnnéeCalendrier,MONTH(SepDim1+24)=9),SepDim1+24,""))</f>
        <v>45189</v>
      </c>
      <c r="U29" s="5">
        <f>IF(DAY(SepDim1)=1,IF(AND(YEAR(SepDim1+18)=AnnéeCalendrier,MONTH(SepDim1+18)=9),SepDim1+18,""),IF(AND(YEAR(SepDim1+25)=AnnéeCalendrier,MONTH(SepDim1+25)=9),SepDim1+25,""))</f>
        <v>45190</v>
      </c>
      <c r="V29" s="5">
        <f>IF(DAY(SepDim1)=1,IF(AND(YEAR(SepDim1+19)=AnnéeCalendrier,MONTH(SepDim1+19)=9),SepDim1+19,""),IF(AND(YEAR(SepDim1+26)=AnnéeCalendrier,MONTH(SepDim1+26)=9),SepDim1+26,""))</f>
        <v>45191</v>
      </c>
      <c r="W29" s="5">
        <f>IF(DAY(SepDim1)=1,IF(AND(YEAR(SepDim1+20)=AnnéeCalendrier,MONTH(SepDim1+20)=9),SepDim1+20,""),IF(AND(YEAR(SepDim1+27)=AnnéeCalendrier,MONTH(SepDim1+27)=9),SepDim1+27,""))</f>
        <v>45192</v>
      </c>
      <c r="X29" s="7">
        <f>IF(DAY(SepDim1)=1,IF(AND(YEAR(SepDim1+21)=AnnéeCalendrier,MONTH(SepDim1+21)=9),SepDim1+21,""),IF(AND(YEAR(SepDim1+28)=AnnéeCalendrier,MONTH(SepDim1+28)=9),SepDim1+28,""))</f>
        <v>45193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45131</v>
      </c>
      <c r="C30" s="5">
        <f>IF(DAY(JulDim1)=1,IF(AND(YEAR(JulDim1+23)=AnnéeCalendrier,MONTH(JulDim1+23)=7),JulDim1+23,""),IF(AND(YEAR(JulDim1+30)=AnnéeCalendrier,MONTH(JulDim1+30)=7),JulDim1+30,""))</f>
        <v>45132</v>
      </c>
      <c r="D30" s="5">
        <f>IF(DAY(JulDim1)=1,IF(AND(YEAR(JulDim1+24)=AnnéeCalendrier,MONTH(JulDim1+24)=7),JulDim1+24,""),IF(AND(YEAR(JulDim1+31)=AnnéeCalendrier,MONTH(JulDim1+31)=7),JulDim1+31,""))</f>
        <v>45133</v>
      </c>
      <c r="E30" s="5">
        <f>IF(DAY(JulDim1)=1,IF(AND(YEAR(JulDim1+25)=AnnéeCalendrier,MONTH(JulDim1+25)=7),JulDim1+25,""),IF(AND(YEAR(JulDim1+32)=AnnéeCalendrier,MONTH(JulDim1+32)=7),JulDim1+32,""))</f>
        <v>45134</v>
      </c>
      <c r="F30" s="5">
        <f>IF(DAY(JulDim1)=1,IF(AND(YEAR(JulDim1+26)=AnnéeCalendrier,MONTH(JulDim1+26)=7),JulDim1+26,""),IF(AND(YEAR(JulDim1+33)=AnnéeCalendrier,MONTH(JulDim1+33)=7),JulDim1+33,""))</f>
        <v>45135</v>
      </c>
      <c r="G30" s="5">
        <f>IF(DAY(JulDim1)=1,IF(AND(YEAR(JulDim1+27)=AnnéeCalendrier,MONTH(JulDim1+27)=7),JulDim1+27,""),IF(AND(YEAR(JulDim1+34)=AnnéeCalendrier,MONTH(JulDim1+34)=7),JulDim1+34,""))</f>
        <v>45136</v>
      </c>
      <c r="H30" s="7">
        <f>IF(DAY(JulDim1)=1,IF(AND(YEAR(JulDim1+28)=AnnéeCalendrier,MONTH(JulDim1+28)=7),JulDim1+28,""),IF(AND(YEAR(JulDim1+35)=AnnéeCalendrier,MONTH(JulDim1+35)=7),JulDim1+35,""))</f>
        <v>45137</v>
      </c>
      <c r="J30" s="6">
        <f>IF(DAY(AouDim1)=1,IF(AND(YEAR(AouDim1+22)=AnnéeCalendrier,MONTH(AouDim1+22)=8),AouDim1+22,""),IF(AND(YEAR(AouDim1+29)=AnnéeCalendrier,MONTH(AouDim1+29)=8),AouDim1+29,""))</f>
        <v>45166</v>
      </c>
      <c r="K30" s="5">
        <f>IF(DAY(AouDim1)=1,IF(AND(YEAR(AouDim1+23)=AnnéeCalendrier,MONTH(AouDim1+23)=8),AouDim1+23,""),IF(AND(YEAR(AouDim1+30)=AnnéeCalendrier,MONTH(AouDim1+30)=8),AouDim1+30,""))</f>
        <v>45167</v>
      </c>
      <c r="L30" s="5">
        <f>IF(DAY(AouDim1)=1,IF(AND(YEAR(AouDim1+24)=AnnéeCalendrier,MONTH(AouDim1+24)=8),AouDim1+24,""),IF(AND(YEAR(AouDim1+31)=AnnéeCalendrier,MONTH(AouDim1+31)=8),AouDim1+31,""))</f>
        <v>45168</v>
      </c>
      <c r="M30" s="5">
        <f>IF(DAY(AouDim1)=1,IF(AND(YEAR(AouDim1+25)=AnnéeCalendrier,MONTH(AouDim1+25)=8),AouDim1+25,""),IF(AND(YEAR(AouDim1+32)=AnnéeCalendrier,MONTH(AouDim1+32)=8),AouDim1+32,""))</f>
        <v>45169</v>
      </c>
      <c r="N30" s="5" t="str">
        <f>IF(DAY(AouDim1)=1,IF(AND(YEAR(AouDim1+26)=AnnéeCalendrier,MONTH(AouDim1+26)=8),AouDim1+26,""),IF(AND(YEAR(AouDim1+33)=AnnéeCalendrier,MONTH(AouDim1+33)=8),AouDim1+33,""))</f>
        <v/>
      </c>
      <c r="O30" s="5" t="str">
        <f>IF(DAY(AouDim1)=1,IF(AND(YEAR(AouDim1+27)=AnnéeCalendrier,MONTH(AouDim1+27)=8),AouDim1+27,""),IF(AND(YEAR(AouDim1+34)=AnnéeCalendrier,MONTH(AouDim1+34)=8),AouDim1+34,""))</f>
        <v/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45194</v>
      </c>
      <c r="S30" s="5">
        <f>IF(DAY(SepDim1)=1,IF(AND(YEAR(SepDim1+23)=AnnéeCalendrier,MONTH(SepDim1+23)=9),SepDim1+23,""),IF(AND(YEAR(SepDim1+30)=AnnéeCalendrier,MONTH(SepDim1+30)=9),SepDim1+30,""))</f>
        <v>45195</v>
      </c>
      <c r="T30" s="5">
        <f>IF(DAY(SepDim1)=1,IF(AND(YEAR(SepDim1+24)=AnnéeCalendrier,MONTH(SepDim1+24)=9),SepDim1+24,""),IF(AND(YEAR(SepDim1+31)=AnnéeCalendrier,MONTH(SepDim1+31)=9),SepDim1+31,""))</f>
        <v>45196</v>
      </c>
      <c r="U30" s="5">
        <f>IF(DAY(SepDim1)=1,IF(AND(YEAR(SepDim1+25)=AnnéeCalendrier,MONTH(SepDim1+25)=9),SepDim1+25,""),IF(AND(YEAR(SepDim1+32)=AnnéeCalendrier,MONTH(SepDim1+32)=9),SepDim1+32,""))</f>
        <v>45197</v>
      </c>
      <c r="V30" s="5">
        <f>IF(DAY(SepDim1)=1,IF(AND(YEAR(SepDim1+26)=AnnéeCalendrier,MONTH(SepDim1+26)=9),SepDim1+26,""),IF(AND(YEAR(SepDim1+33)=AnnéeCalendrier,MONTH(SepDim1+33)=9),SepDim1+33,""))</f>
        <v>45198</v>
      </c>
      <c r="W30" s="5">
        <f>IF(DAY(SepDim1)=1,IF(AND(YEAR(SepDim1+27)=AnnéeCalendrier,MONTH(SepDim1+27)=9),SepDim1+27,""),IF(AND(YEAR(SepDim1+34)=AnnéeCalendrier,MONTH(SepDim1+34)=9),SepDim1+34,""))</f>
        <v>45199</v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>
        <f>IF(DAY(JulDim1)=1,IF(AND(YEAR(JulDim1+29)=AnnéeCalendrier,MONTH(JulDim1+29)=7),JulDim1+29,""),IF(AND(YEAR(JulDim1+36)=AnnéeCalendrier,MONTH(JulDim1+36)=7),JulDim1+36,""))</f>
        <v>45138</v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 t="str">
        <f>IF(DAY(OctDim1)=1,"",IF(AND(YEAR(OctDim1+3)=AnnéeCalendrier,MONTH(OctDim1+3)=10),OctDim1+3,""))</f>
        <v/>
      </c>
      <c r="E35" s="5" t="str">
        <f>IF(DAY(OctDim1)=1,"",IF(AND(YEAR(OctDim1+4)=AnnéeCalendrier,MONTH(OctDim1+4)=10),OctDim1+4,""))</f>
        <v/>
      </c>
      <c r="F35" s="5" t="str">
        <f>IF(DAY(OctDim1)=1,"",IF(AND(YEAR(OctDim1+5)=AnnéeCalendrier,MONTH(OctDim1+5)=10),OctDim1+5,""))</f>
        <v/>
      </c>
      <c r="G35" s="5" t="str">
        <f>IF(DAY(OctDim1)=1,"",IF(AND(YEAR(OctDim1+6)=AnnéeCalendrier,MONTH(OctDim1+6)=10),OctDim1+6,""))</f>
        <v/>
      </c>
      <c r="H35" s="7">
        <f>IF(DAY(OctDim1)=1,IF(AND(YEAR(OctDim1)=AnnéeCalendrier,MONTH(OctDim1)=10),OctDim1,""),IF(AND(YEAR(OctDim1+7)=AnnéeCalendrier,MONTH(OctDim1+7)=10),OctDim1+7,""))</f>
        <v>45200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>
        <f>IF(DAY(NovDim1)=1,"",IF(AND(YEAR(NovDim1+3)=AnnéeCalendrier,MONTH(NovDim1+3)=11),NovDim1+3,""))</f>
        <v>45231</v>
      </c>
      <c r="M35" s="5">
        <f>IF(DAY(NovDim1)=1,"",IF(AND(YEAR(NovDim1+4)=AnnéeCalendrier,MONTH(NovDim1+4)=11),NovDim1+4,""))</f>
        <v>45232</v>
      </c>
      <c r="N35" s="5">
        <f>IF(DAY(NovDim1)=1,"",IF(AND(YEAR(NovDim1+5)=AnnéeCalendrier,MONTH(NovDim1+5)=11),NovDim1+5,""))</f>
        <v>45233</v>
      </c>
      <c r="O35" s="5">
        <f>IF(DAY(NovDim1)=1,"",IF(AND(YEAR(NovDim1+6)=AnnéeCalendrier,MONTH(NovDim1+6)=11),NovDim1+6,""))</f>
        <v>45234</v>
      </c>
      <c r="P35" s="7">
        <f>IF(DAY(NovDim1)=1,IF(AND(YEAR(NovDim1)=AnnéeCalendrier,MONTH(NovDim1)=11),NovDim1,""),IF(AND(YEAR(NovDim1+7)=AnnéeCalendrier,MONTH(NovDim1+7)=11),NovDim1+7,""))</f>
        <v>45235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45201</v>
      </c>
      <c r="C36" s="5">
        <f>IF(DAY(OctDim1)=1,IF(AND(YEAR(OctDim1+2)=AnnéeCalendrier,MONTH(OctDim1+2)=10),OctDim1+2,""),IF(AND(YEAR(OctDim1+9)=AnnéeCalendrier,MONTH(OctDim1+9)=10),OctDim1+9,""))</f>
        <v>45202</v>
      </c>
      <c r="D36" s="5">
        <f>IF(DAY(OctDim1)=1,IF(AND(YEAR(OctDim1+3)=AnnéeCalendrier,MONTH(OctDim1+3)=10),OctDim1+3,""),IF(AND(YEAR(OctDim1+10)=AnnéeCalendrier,MONTH(OctDim1+10)=10),OctDim1+10,""))</f>
        <v>45203</v>
      </c>
      <c r="E36" s="5">
        <f>IF(DAY(OctDim1)=1,IF(AND(YEAR(OctDim1+4)=AnnéeCalendrier,MONTH(OctDim1+4)=10),OctDim1+4,""),IF(AND(YEAR(OctDim1+11)=AnnéeCalendrier,MONTH(OctDim1+11)=10),OctDim1+11,""))</f>
        <v>45204</v>
      </c>
      <c r="F36" s="5">
        <f>IF(DAY(OctDim1)=1,IF(AND(YEAR(OctDim1+5)=AnnéeCalendrier,MONTH(OctDim1+5)=10),OctDim1+5,""),IF(AND(YEAR(OctDim1+12)=AnnéeCalendrier,MONTH(OctDim1+12)=10),OctDim1+12,""))</f>
        <v>45205</v>
      </c>
      <c r="G36" s="5">
        <f>IF(DAY(OctDim1)=1,IF(AND(YEAR(OctDim1+6)=AnnéeCalendrier,MONTH(OctDim1+6)=10),OctDim1+6,""),IF(AND(YEAR(OctDim1+13)=AnnéeCalendrier,MONTH(OctDim1+13)=10),OctDim1+13,""))</f>
        <v>45206</v>
      </c>
      <c r="H36" s="7">
        <f>IF(DAY(OctDim1)=1,IF(AND(YEAR(OctDim1+7)=AnnéeCalendrier,MONTH(OctDim1+7)=10),OctDim1+7,""),IF(AND(YEAR(OctDim1+14)=AnnéeCalendrier,MONTH(OctDim1+14)=10),OctDim1+14,""))</f>
        <v>45207</v>
      </c>
      <c r="I36" s="4"/>
      <c r="J36" s="6">
        <f>IF(DAY(NovDim1)=1,IF(AND(YEAR(NovDim1+1)=AnnéeCalendrier,MONTH(NovDim1+1)=11),NovDim1+1,""),IF(AND(YEAR(NovDim1+8)=AnnéeCalendrier,MONTH(NovDim1+8)=11),NovDim1+8,""))</f>
        <v>45236</v>
      </c>
      <c r="K36" s="5">
        <f>IF(DAY(NovDim1)=1,IF(AND(YEAR(NovDim1+2)=AnnéeCalendrier,MONTH(NovDim1+2)=11),NovDim1+2,""),IF(AND(YEAR(NovDim1+9)=AnnéeCalendrier,MONTH(NovDim1+9)=11),NovDim1+9,""))</f>
        <v>45237</v>
      </c>
      <c r="L36" s="5">
        <f>IF(DAY(NovDim1)=1,IF(AND(YEAR(NovDim1+3)=AnnéeCalendrier,MONTH(NovDim1+3)=11),NovDim1+3,""),IF(AND(YEAR(NovDim1+10)=AnnéeCalendrier,MONTH(NovDim1+10)=11),NovDim1+10,""))</f>
        <v>45238</v>
      </c>
      <c r="M36" s="5">
        <f>IF(DAY(NovDim1)=1,IF(AND(YEAR(NovDim1+4)=AnnéeCalendrier,MONTH(NovDim1+4)=11),NovDim1+4,""),IF(AND(YEAR(NovDim1+11)=AnnéeCalendrier,MONTH(NovDim1+11)=11),NovDim1+11,""))</f>
        <v>45239</v>
      </c>
      <c r="N36" s="5">
        <f>IF(DAY(NovDim1)=1,IF(AND(YEAR(NovDim1+5)=AnnéeCalendrier,MONTH(NovDim1+5)=11),NovDim1+5,""),IF(AND(YEAR(NovDim1+12)=AnnéeCalendrier,MONTH(NovDim1+12)=11),NovDim1+12,""))</f>
        <v>45240</v>
      </c>
      <c r="O36" s="5">
        <f>IF(DAY(NovDim1)=1,IF(AND(YEAR(NovDim1+6)=AnnéeCalendrier,MONTH(NovDim1+6)=11),NovDim1+6,""),IF(AND(YEAR(NovDim1+13)=AnnéeCalendrier,MONTH(NovDim1+13)=11),NovDim1+13,""))</f>
        <v>45241</v>
      </c>
      <c r="P36" s="7">
        <f>IF(DAY(NovDim1)=1,IF(AND(YEAR(NovDim1+7)=AnnéeCalendrier,MONTH(NovDim1+7)=11),NovDim1+7,""),IF(AND(YEAR(NovDim1+14)=AnnéeCalendrier,MONTH(NovDim1+14)=11),NovDim1+14,""))</f>
        <v>45242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45208</v>
      </c>
      <c r="C37" s="5">
        <f>IF(DAY(OctDim1)=1,IF(AND(YEAR(OctDim1+9)=AnnéeCalendrier,MONTH(OctDim1+9)=10),OctDim1+9,""),IF(AND(YEAR(OctDim1+16)=AnnéeCalendrier,MONTH(OctDim1+16)=10),OctDim1+16,""))</f>
        <v>45209</v>
      </c>
      <c r="D37" s="5">
        <f>IF(DAY(OctDim1)=1,IF(AND(YEAR(OctDim1+10)=AnnéeCalendrier,MONTH(OctDim1+10)=10),OctDim1+10,""),IF(AND(YEAR(OctDim1+17)=AnnéeCalendrier,MONTH(OctDim1+17)=10),OctDim1+17,""))</f>
        <v>45210</v>
      </c>
      <c r="E37" s="5">
        <f>IF(DAY(OctDim1)=1,IF(AND(YEAR(OctDim1+11)=AnnéeCalendrier,MONTH(OctDim1+11)=10),OctDim1+11,""),IF(AND(YEAR(OctDim1+18)=AnnéeCalendrier,MONTH(OctDim1+18)=10),OctDim1+18,""))</f>
        <v>45211</v>
      </c>
      <c r="F37" s="5">
        <f>IF(DAY(OctDim1)=1,IF(AND(YEAR(OctDim1+12)=AnnéeCalendrier,MONTH(OctDim1+12)=10),OctDim1+12,""),IF(AND(YEAR(OctDim1+19)=AnnéeCalendrier,MONTH(OctDim1+19)=10),OctDim1+19,""))</f>
        <v>45212</v>
      </c>
      <c r="G37" s="5">
        <f>IF(DAY(OctDim1)=1,IF(AND(YEAR(OctDim1+13)=AnnéeCalendrier,MONTH(OctDim1+13)=10),OctDim1+13,""),IF(AND(YEAR(OctDim1+20)=AnnéeCalendrier,MONTH(OctDim1+20)=10),OctDim1+20,""))</f>
        <v>45213</v>
      </c>
      <c r="H37" s="7">
        <f>IF(DAY(OctDim1)=1,IF(AND(YEAR(OctDim1+14)=AnnéeCalendrier,MONTH(OctDim1+14)=10),OctDim1+14,""),IF(AND(YEAR(OctDim1+21)=AnnéeCalendrier,MONTH(OctDim1+21)=10),OctDim1+21,""))</f>
        <v>45214</v>
      </c>
      <c r="I37" s="4"/>
      <c r="J37" s="6">
        <f>IF(DAY(NovDim1)=1,IF(AND(YEAR(NovDim1+8)=AnnéeCalendrier,MONTH(NovDim1+8)=11),NovDim1+8,""),IF(AND(YEAR(NovDim1+15)=AnnéeCalendrier,MONTH(NovDim1+15)=11),NovDim1+15,""))</f>
        <v>45243</v>
      </c>
      <c r="K37" s="5">
        <f>IF(DAY(NovDim1)=1,IF(AND(YEAR(NovDim1+9)=AnnéeCalendrier,MONTH(NovDim1+9)=11),NovDim1+9,""),IF(AND(YEAR(NovDim1+16)=AnnéeCalendrier,MONTH(NovDim1+16)=11),NovDim1+16,""))</f>
        <v>45244</v>
      </c>
      <c r="L37" s="5">
        <f>IF(DAY(NovDim1)=1,IF(AND(YEAR(NovDim1+10)=AnnéeCalendrier,MONTH(NovDim1+10)=11),NovDim1+10,""),IF(AND(YEAR(NovDim1+17)=AnnéeCalendrier,MONTH(NovDim1+17)=11),NovDim1+17,""))</f>
        <v>45245</v>
      </c>
      <c r="M37" s="5">
        <f>IF(DAY(NovDim1)=1,IF(AND(YEAR(NovDim1+11)=AnnéeCalendrier,MONTH(NovDim1+11)=11),NovDim1+11,""),IF(AND(YEAR(NovDim1+18)=AnnéeCalendrier,MONTH(NovDim1+18)=11),NovDim1+18,""))</f>
        <v>45246</v>
      </c>
      <c r="N37" s="5">
        <f>IF(DAY(NovDim1)=1,IF(AND(YEAR(NovDim1+12)=AnnéeCalendrier,MONTH(NovDim1+12)=11),NovDim1+12,""),IF(AND(YEAR(NovDim1+19)=AnnéeCalendrier,MONTH(NovDim1+19)=11),NovDim1+19,""))</f>
        <v>45247</v>
      </c>
      <c r="O37" s="5">
        <f>IF(DAY(NovDim1)=1,IF(AND(YEAR(NovDim1+13)=AnnéeCalendrier,MONTH(NovDim1+13)=11),NovDim1+13,""),IF(AND(YEAR(NovDim1+20)=AnnéeCalendrier,MONTH(NovDim1+20)=11),NovDim1+20,""))</f>
        <v>45248</v>
      </c>
      <c r="P37" s="7">
        <f>IF(DAY(NovDim1)=1,IF(AND(YEAR(NovDim1+14)=AnnéeCalendrier,MONTH(NovDim1+14)=11),NovDim1+14,""),IF(AND(YEAR(NovDim1+21)=AnnéeCalendrier,MONTH(NovDim1+21)=11),NovDim1+21,""))</f>
        <v>45249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45215</v>
      </c>
      <c r="C38" s="5">
        <f>IF(DAY(OctDim1)=1,IF(AND(YEAR(OctDim1+16)=AnnéeCalendrier,MONTH(OctDim1+16)=10),OctDim1+16,""),IF(AND(YEAR(OctDim1+23)=AnnéeCalendrier,MONTH(OctDim1+23)=10),OctDim1+23,""))</f>
        <v>45216</v>
      </c>
      <c r="D38" s="5">
        <f>IF(DAY(OctDim1)=1,IF(AND(YEAR(OctDim1+17)=AnnéeCalendrier,MONTH(OctDim1+17)=10),OctDim1+17,""),IF(AND(YEAR(OctDim1+24)=AnnéeCalendrier,MONTH(OctDim1+24)=10),OctDim1+24,""))</f>
        <v>45217</v>
      </c>
      <c r="E38" s="5">
        <f>IF(DAY(OctDim1)=1,IF(AND(YEAR(OctDim1+18)=AnnéeCalendrier,MONTH(OctDim1+18)=10),OctDim1+18,""),IF(AND(YEAR(OctDim1+25)=AnnéeCalendrier,MONTH(OctDim1+25)=10),OctDim1+25,""))</f>
        <v>45218</v>
      </c>
      <c r="F38" s="5">
        <f>IF(DAY(OctDim1)=1,IF(AND(YEAR(OctDim1+19)=AnnéeCalendrier,MONTH(OctDim1+19)=10),OctDim1+19,""),IF(AND(YEAR(OctDim1+26)=AnnéeCalendrier,MONTH(OctDim1+26)=10),OctDim1+26,""))</f>
        <v>45219</v>
      </c>
      <c r="G38" s="5">
        <f>IF(DAY(OctDim1)=1,IF(AND(YEAR(OctDim1+20)=AnnéeCalendrier,MONTH(OctDim1+20)=10),OctDim1+20,""),IF(AND(YEAR(OctDim1+27)=AnnéeCalendrier,MONTH(OctDim1+27)=10),OctDim1+27,""))</f>
        <v>45220</v>
      </c>
      <c r="H38" s="7">
        <f>IF(DAY(OctDim1)=1,IF(AND(YEAR(OctDim1+21)=AnnéeCalendrier,MONTH(OctDim1+21)=10),OctDim1+21,""),IF(AND(YEAR(OctDim1+28)=AnnéeCalendrier,MONTH(OctDim1+28)=10),OctDim1+28,""))</f>
        <v>45221</v>
      </c>
      <c r="I38" s="4"/>
      <c r="J38" s="6">
        <f>IF(DAY(NovDim1)=1,IF(AND(YEAR(NovDim1+15)=AnnéeCalendrier,MONTH(NovDim1+15)=11),NovDim1+15,""),IF(AND(YEAR(NovDim1+22)=AnnéeCalendrier,MONTH(NovDim1+22)=11),NovDim1+22,""))</f>
        <v>45250</v>
      </c>
      <c r="K38" s="5">
        <f>IF(DAY(NovDim1)=1,IF(AND(YEAR(NovDim1+16)=AnnéeCalendrier,MONTH(NovDim1+16)=11),NovDim1+16,""),IF(AND(YEAR(NovDim1+23)=AnnéeCalendrier,MONTH(NovDim1+23)=11),NovDim1+23,""))</f>
        <v>45251</v>
      </c>
      <c r="L38" s="5">
        <f>IF(DAY(NovDim1)=1,IF(AND(YEAR(NovDim1+17)=AnnéeCalendrier,MONTH(NovDim1+17)=11),NovDim1+17,""),IF(AND(YEAR(NovDim1+24)=AnnéeCalendrier,MONTH(NovDim1+24)=11),NovDim1+24,""))</f>
        <v>45252</v>
      </c>
      <c r="M38" s="5">
        <f>IF(DAY(NovDim1)=1,IF(AND(YEAR(NovDim1+18)=AnnéeCalendrier,MONTH(NovDim1+18)=11),NovDim1+18,""),IF(AND(YEAR(NovDim1+25)=AnnéeCalendrier,MONTH(NovDim1+25)=11),NovDim1+25,""))</f>
        <v>45253</v>
      </c>
      <c r="N38" s="5">
        <f>IF(DAY(NovDim1)=1,IF(AND(YEAR(NovDim1+19)=AnnéeCalendrier,MONTH(NovDim1+19)=11),NovDim1+19,""),IF(AND(YEAR(NovDim1+26)=AnnéeCalendrier,MONTH(NovDim1+26)=11),NovDim1+26,""))</f>
        <v>45254</v>
      </c>
      <c r="O38" s="5">
        <f>IF(DAY(NovDim1)=1,IF(AND(YEAR(NovDim1+20)=AnnéeCalendrier,MONTH(NovDim1+20)=11),NovDim1+20,""),IF(AND(YEAR(NovDim1+27)=AnnéeCalendrier,MONTH(NovDim1+27)=11),NovDim1+27,""))</f>
        <v>45255</v>
      </c>
      <c r="P38" s="7">
        <f>IF(DAY(NovDim1)=1,IF(AND(YEAR(NovDim1+21)=AnnéeCalendrier,MONTH(NovDim1+21)=11),NovDim1+21,""),IF(AND(YEAR(NovDim1+28)=AnnéeCalendrier,MONTH(NovDim1+28)=11),NovDim1+28,""))</f>
        <v>45256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45222</v>
      </c>
      <c r="C39" s="5">
        <f>IF(DAY(OctDim1)=1,IF(AND(YEAR(OctDim1+23)=AnnéeCalendrier,MONTH(OctDim1+23)=10),OctDim1+23,""),IF(AND(YEAR(OctDim1+30)=AnnéeCalendrier,MONTH(OctDim1+30)=10),OctDim1+30,""))</f>
        <v>45223</v>
      </c>
      <c r="D39" s="5">
        <f>IF(DAY(OctDim1)=1,IF(AND(YEAR(OctDim1+24)=AnnéeCalendrier,MONTH(OctDim1+24)=10),OctDim1+24,""),IF(AND(YEAR(OctDim1+31)=AnnéeCalendrier,MONTH(OctDim1+31)=10),OctDim1+31,""))</f>
        <v>45224</v>
      </c>
      <c r="E39" s="5">
        <f>IF(DAY(OctDim1)=1,IF(AND(YEAR(OctDim1+25)=AnnéeCalendrier,MONTH(OctDim1+25)=10),OctDim1+25,""),IF(AND(YEAR(OctDim1+32)=AnnéeCalendrier,MONTH(OctDim1+32)=10),OctDim1+32,""))</f>
        <v>45225</v>
      </c>
      <c r="F39" s="5">
        <f>IF(DAY(OctDim1)=1,IF(AND(YEAR(OctDim1+26)=AnnéeCalendrier,MONTH(OctDim1+26)=10),OctDim1+26,""),IF(AND(YEAR(OctDim1+33)=AnnéeCalendrier,MONTH(OctDim1+33)=10),OctDim1+33,""))</f>
        <v>45226</v>
      </c>
      <c r="G39" s="5">
        <f>IF(DAY(OctDim1)=1,IF(AND(YEAR(OctDim1+27)=AnnéeCalendrier,MONTH(OctDim1+27)=10),OctDim1+27,""),IF(AND(YEAR(OctDim1+34)=AnnéeCalendrier,MONTH(OctDim1+34)=10),OctDim1+34,""))</f>
        <v>45227</v>
      </c>
      <c r="H39" s="7">
        <f>IF(DAY(OctDim1)=1,IF(AND(YEAR(OctDim1+28)=AnnéeCalendrier,MONTH(OctDim1+28)=10),OctDim1+28,""),IF(AND(YEAR(OctDim1+35)=AnnéeCalendrier,MONTH(OctDim1+35)=10),OctDim1+35,""))</f>
        <v>45228</v>
      </c>
      <c r="I39" s="4"/>
      <c r="J39" s="6">
        <f>IF(DAY(NovDim1)=1,IF(AND(YEAR(NovDim1+22)=AnnéeCalendrier,MONTH(NovDim1+22)=11),NovDim1+22,""),IF(AND(YEAR(NovDim1+29)=AnnéeCalendrier,MONTH(NovDim1+29)=11),NovDim1+29,""))</f>
        <v>45257</v>
      </c>
      <c r="K39" s="5">
        <f>IF(DAY(NovDim1)=1,IF(AND(YEAR(NovDim1+23)=AnnéeCalendrier,MONTH(NovDim1+23)=11),NovDim1+23,""),IF(AND(YEAR(NovDim1+30)=AnnéeCalendrier,MONTH(NovDim1+30)=11),NovDim1+30,""))</f>
        <v>45258</v>
      </c>
      <c r="L39" s="5">
        <f>IF(DAY(NovDim1)=1,IF(AND(YEAR(NovDim1+24)=AnnéeCalendrier,MONTH(NovDim1+24)=11),NovDim1+24,""),IF(AND(YEAR(NovDim1+31)=AnnéeCalendrier,MONTH(NovDim1+31)=11),NovDim1+31,""))</f>
        <v>45259</v>
      </c>
      <c r="M39" s="5">
        <f>IF(DAY(NovDim1)=1,IF(AND(YEAR(NovDim1+25)=AnnéeCalendrier,MONTH(NovDim1+25)=11),NovDim1+25,""),IF(AND(YEAR(NovDim1+32)=AnnéeCalendrier,MONTH(NovDim1+32)=11),NovDim1+32,""))</f>
        <v>45260</v>
      </c>
      <c r="N39" s="5" t="str">
        <f>IF(DAY(NovDim1)=1,IF(AND(YEAR(NovDim1+26)=AnnéeCalendrier,MONTH(NovDim1+26)=11),NovDim1+26,""),IF(AND(YEAR(NovDim1+33)=AnnéeCalendrier,MONTH(NovDim1+33)=11),NovDim1+33,""))</f>
        <v/>
      </c>
      <c r="O39" s="5" t="str">
        <f>IF(DAY(NovDim1)=1,IF(AND(YEAR(NovDim1+27)=AnnéeCalendrier,MONTH(NovDim1+27)=11),NovDim1+27,""),IF(AND(YEAR(NovDim1+34)=AnnéeCalendrier,MONTH(NovDim1+34)=11),NovDim1+34,""))</f>
        <v/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>
        <f>IF(DAY(OctDim1)=1,IF(AND(YEAR(OctDim1+29)=AnnéeCalendrier,MONTH(OctDim1+29)=10),OctDim1+29,""),IF(AND(YEAR(OctDim1+36)=AnnéeCalendrier,MONTH(OctDim1+36)=10),OctDim1+36,""))</f>
        <v>45229</v>
      </c>
      <c r="C40" s="9">
        <f>IF(DAY(OctDim1)=1,IF(AND(YEAR(OctDim1+30)=AnnéeCalendrier,MONTH(OctDim1+30)=10),OctDim1+30,""),IF(AND(YEAR(OctDim1+37)=AnnéeCalendrier,MONTH(OctDim1+37)=10),OctDim1+37,""))</f>
        <v>45230</v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994" priority="1">
      <formula>LEN(TRIM(B8))&gt;0</formula>
    </cfRule>
  </conditionalFormatting>
  <conditionalFormatting sqref="J8:P13">
    <cfRule type="notContainsBlanks" dxfId="993" priority="2">
      <formula>LEN(TRIM(J8))&gt;0</formula>
    </cfRule>
  </conditionalFormatting>
  <conditionalFormatting sqref="R8:X13">
    <cfRule type="notContainsBlanks" dxfId="992" priority="3">
      <formula>LEN(TRIM(R8))&gt;0</formula>
    </cfRule>
  </conditionalFormatting>
  <conditionalFormatting sqref="B17:H22">
    <cfRule type="notContainsBlanks" dxfId="991" priority="4">
      <formula>LEN(TRIM(B17))&gt;0</formula>
    </cfRule>
  </conditionalFormatting>
  <conditionalFormatting sqref="J17:P22">
    <cfRule type="notContainsBlanks" dxfId="990" priority="5">
      <formula>LEN(TRIM(J17))&gt;0</formula>
    </cfRule>
  </conditionalFormatting>
  <conditionalFormatting sqref="R17:X22">
    <cfRule type="notContainsBlanks" dxfId="989" priority="6">
      <formula>LEN(TRIM(R17))&gt;0</formula>
    </cfRule>
  </conditionalFormatting>
  <conditionalFormatting sqref="R35:X40">
    <cfRule type="notContainsBlanks" dxfId="988" priority="12">
      <formula>LEN(TRIM(R35))&gt;0</formula>
    </cfRule>
  </conditionalFormatting>
  <conditionalFormatting sqref="B26:H31">
    <cfRule type="notContainsBlanks" dxfId="987" priority="7">
      <formula>LEN(TRIM(B26))&gt;0</formula>
    </cfRule>
  </conditionalFormatting>
  <conditionalFormatting sqref="J26:P31">
    <cfRule type="notContainsBlanks" dxfId="986" priority="8">
      <formula>LEN(TRIM(J26))&gt;0</formula>
    </cfRule>
  </conditionalFormatting>
  <conditionalFormatting sqref="R26:X31">
    <cfRule type="notContainsBlanks" dxfId="985" priority="9">
      <formula>LEN(TRIM(R26))&gt;0</formula>
    </cfRule>
  </conditionalFormatting>
  <conditionalFormatting sqref="B35:H40">
    <cfRule type="notContainsBlanks" dxfId="984" priority="10">
      <formula>LEN(TRIM(B35))&gt;0</formula>
    </cfRule>
  </conditionalFormatting>
  <conditionalFormatting sqref="J35:P40">
    <cfRule type="notContainsBlanks" dxfId="983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6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6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wsTCalendar8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2024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>
        <f>IF(DAY(JanDim1)=1,"",IF(AND(YEAR(JanDim1+1)=AnnéeCalendrier,MONTH(JanDim1+1)=1),JanDim1+1,""))</f>
        <v>45292</v>
      </c>
      <c r="C8" s="5">
        <f>IF(DAY(JanDim1)=1,"",IF(AND(YEAR(JanDim1+2)=AnnéeCalendrier,MONTH(JanDim1+2)=1),JanDim1+2,""))</f>
        <v>45293</v>
      </c>
      <c r="D8" s="5">
        <f>IF(DAY(JanDim1)=1,"",IF(AND(YEAR(JanDim1+3)=AnnéeCalendrier,MONTH(JanDim1+3)=1),JanDim1+3,""))</f>
        <v>45294</v>
      </c>
      <c r="E8" s="5">
        <f>IF(DAY(JanDim1)=1,"",IF(AND(YEAR(JanDim1+4)=AnnéeCalendrier,MONTH(JanDim1+4)=1),JanDim1+4,""))</f>
        <v>45295</v>
      </c>
      <c r="F8" s="5">
        <f>IF(DAY(JanDim1)=1,"",IF(AND(YEAR(JanDim1+5)=AnnéeCalendrier,MONTH(JanDim1+5)=1),JanDim1+5,""))</f>
        <v>45296</v>
      </c>
      <c r="G8" s="5">
        <f>IF(DAY(JanDim1)=1,"",IF(AND(YEAR(JanDim1+6)=AnnéeCalendrier,MONTH(JanDim1+6)=1),JanDim1+6,""))</f>
        <v>45297</v>
      </c>
      <c r="H8" s="5">
        <f>IF(DAY(JanDim1)=1,IF(AND(YEAR(JanDim1)=AnnéeCalendrier,MONTH(JanDim1)=1),JanDim1,""),IF(AND(YEAR(JanDim1+7)=AnnéeCalendrier,MONTH(JanDim1+7)=1),JanDim1+7,""))</f>
        <v>45298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>
        <f>IF(DAY(FévDim1)=1,"",IF(AND(YEAR(FévDim1+4)=AnnéeCalendrier,MONTH(FévDim1+4)=2),FévDim1+4,""))</f>
        <v>45323</v>
      </c>
      <c r="N8" s="5">
        <f>IF(DAY(FévDim1)=1,"",IF(AND(YEAR(FévDim1+5)=AnnéeCalendrier,MONTH(FévDim1+5)=2),FévDim1+5,""))</f>
        <v>45324</v>
      </c>
      <c r="O8" s="5">
        <f>IF(DAY(FévDim1)=1,"",IF(AND(YEAR(FévDim1+6)=AnnéeCalendrier,MONTH(FévDim1+6)=2),FévDim1+6,""))</f>
        <v>45325</v>
      </c>
      <c r="P8" s="5">
        <f>IF(DAY(FévDim1)=1,IF(AND(YEAR(FévDim1)=AnnéeCalendrier,MONTH(FévDim1)=2),FévDim1,""),IF(AND(YEAR(FévDim1+7)=AnnéeCalendrier,MONTH(FévDim1+7)=2),FévDim1+7,""))</f>
        <v>45326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>
        <f>IF(DAY(MarDim1)=1,"",IF(AND(YEAR(MarDim1+5)=AnnéeCalendrier,MONTH(MarDim1+5)=3),MarDim1+5,""))</f>
        <v>45352</v>
      </c>
      <c r="W8" s="5">
        <f>IF(DAY(MarDim1)=1,"",IF(AND(YEAR(MarDim1+6)=AnnéeCalendrier,MONTH(MarDim1+6)=3),MarDim1+6,""))</f>
        <v>45353</v>
      </c>
      <c r="X8" s="5">
        <f>IF(DAY(MarDim1)=1,IF(AND(YEAR(MarDim1)=AnnéeCalendrier,MONTH(MarDim1)=3),MarDim1,""),IF(AND(YEAR(MarDim1+7)=AnnéeCalendrier,MONTH(MarDim1+7)=3),MarDim1+7,""))</f>
        <v>45354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45299</v>
      </c>
      <c r="C9" s="5">
        <f>IF(DAY(JanDim1)=1,IF(AND(YEAR(JanDim1+2)=AnnéeCalendrier,MONTH(JanDim1+2)=1),JanDim1+2,""),IF(AND(YEAR(JanDim1+9)=AnnéeCalendrier,MONTH(JanDim1+9)=1),JanDim1+9,""))</f>
        <v>45300</v>
      </c>
      <c r="D9" s="5">
        <f>IF(DAY(JanDim1)=1,IF(AND(YEAR(JanDim1+3)=AnnéeCalendrier,MONTH(JanDim1+3)=1),JanDim1+3,""),IF(AND(YEAR(JanDim1+10)=AnnéeCalendrier,MONTH(JanDim1+10)=1),JanDim1+10,""))</f>
        <v>45301</v>
      </c>
      <c r="E9" s="5">
        <f>IF(DAY(JanDim1)=1,IF(AND(YEAR(JanDim1+4)=AnnéeCalendrier,MONTH(JanDim1+4)=1),JanDim1+4,""),IF(AND(YEAR(JanDim1+11)=AnnéeCalendrier,MONTH(JanDim1+11)=1),JanDim1+11,""))</f>
        <v>45302</v>
      </c>
      <c r="F9" s="5">
        <f>IF(DAY(JanDim1)=1,IF(AND(YEAR(JanDim1+5)=AnnéeCalendrier,MONTH(JanDim1+5)=1),JanDim1+5,""),IF(AND(YEAR(JanDim1+12)=AnnéeCalendrier,MONTH(JanDim1+12)=1),JanDim1+12,""))</f>
        <v>45303</v>
      </c>
      <c r="G9" s="5">
        <f>IF(DAY(JanDim1)=1,IF(AND(YEAR(JanDim1+6)=AnnéeCalendrier,MONTH(JanDim1+6)=1),JanDim1+6,""),IF(AND(YEAR(JanDim1+13)=AnnéeCalendrier,MONTH(JanDim1+13)=1),JanDim1+13,""))</f>
        <v>45304</v>
      </c>
      <c r="H9" s="5">
        <f>IF(DAY(JanDim1)=1,IF(AND(YEAR(JanDim1+7)=AnnéeCalendrier,MONTH(JanDim1+7)=1),JanDim1+7,""),IF(AND(YEAR(JanDim1+14)=AnnéeCalendrier,MONTH(JanDim1+14)=1),JanDim1+14,""))</f>
        <v>45305</v>
      </c>
      <c r="I9" s="4"/>
      <c r="J9" s="5">
        <f>IF(DAY(FévDim1)=1,IF(AND(YEAR(FévDim1+1)=AnnéeCalendrier,MONTH(FévDim1+1)=2),FévDim1+1,""),IF(AND(YEAR(FévDim1+8)=AnnéeCalendrier,MONTH(FévDim1+8)=2),FévDim1+8,""))</f>
        <v>45327</v>
      </c>
      <c r="K9" s="5">
        <f>IF(DAY(FévDim1)=1,IF(AND(YEAR(FévDim1+2)=AnnéeCalendrier,MONTH(FévDim1+2)=2),FévDim1+2,""),IF(AND(YEAR(FévDim1+9)=AnnéeCalendrier,MONTH(FévDim1+9)=2),FévDim1+9,""))</f>
        <v>45328</v>
      </c>
      <c r="L9" s="5">
        <f>IF(DAY(FévDim1)=1,IF(AND(YEAR(FévDim1+3)=AnnéeCalendrier,MONTH(FévDim1+3)=2),FévDim1+3,""),IF(AND(YEAR(FévDim1+10)=AnnéeCalendrier,MONTH(FévDim1+10)=2),FévDim1+10,""))</f>
        <v>45329</v>
      </c>
      <c r="M9" s="5">
        <f>IF(DAY(FévDim1)=1,IF(AND(YEAR(FévDim1+4)=AnnéeCalendrier,MONTH(FévDim1+4)=2),FévDim1+4,""),IF(AND(YEAR(FévDim1+11)=AnnéeCalendrier,MONTH(FévDim1+11)=2),FévDim1+11,""))</f>
        <v>45330</v>
      </c>
      <c r="N9" s="5">
        <f>IF(DAY(FévDim1)=1,IF(AND(YEAR(FévDim1+5)=AnnéeCalendrier,MONTH(FévDim1+5)=2),FévDim1+5,""),IF(AND(YEAR(FévDim1+12)=AnnéeCalendrier,MONTH(FévDim1+12)=2),FévDim1+12,""))</f>
        <v>45331</v>
      </c>
      <c r="O9" s="5">
        <f>IF(DAY(FévDim1)=1,IF(AND(YEAR(FévDim1+6)=AnnéeCalendrier,MONTH(FévDim1+6)=2),FévDim1+6,""),IF(AND(YEAR(FévDim1+13)=AnnéeCalendrier,MONTH(FévDim1+13)=2),FévDim1+13,""))</f>
        <v>45332</v>
      </c>
      <c r="P9" s="5">
        <f>IF(DAY(FévDim1)=1,IF(AND(YEAR(FévDim1+7)=AnnéeCalendrier,MONTH(FévDim1+7)=2),FévDim1+7,""),IF(AND(YEAR(FévDim1+14)=AnnéeCalendrier,MONTH(FévDim1+14)=2),FévDim1+14,""))</f>
        <v>45333</v>
      </c>
      <c r="Q9" s="4"/>
      <c r="R9" s="5">
        <f>IF(DAY(MarDim1)=1,IF(AND(YEAR(MarDim1+1)=AnnéeCalendrier,MONTH(MarDim1+1)=3),MarDim1+1,""),IF(AND(YEAR(MarDim1+8)=AnnéeCalendrier,MONTH(MarDim1+8)=3),MarDim1+8,""))</f>
        <v>45355</v>
      </c>
      <c r="S9" s="5">
        <f>IF(DAY(MarDim1)=1,IF(AND(YEAR(MarDim1+2)=AnnéeCalendrier,MONTH(MarDim1+2)=3),MarDim1+2,""),IF(AND(YEAR(MarDim1+9)=AnnéeCalendrier,MONTH(MarDim1+9)=3),MarDim1+9,""))</f>
        <v>45356</v>
      </c>
      <c r="T9" s="5">
        <f>IF(DAY(MarDim1)=1,IF(AND(YEAR(MarDim1+3)=AnnéeCalendrier,MONTH(MarDim1+3)=3),MarDim1+3,""),IF(AND(YEAR(MarDim1+10)=AnnéeCalendrier,MONTH(MarDim1+10)=3),MarDim1+10,""))</f>
        <v>45357</v>
      </c>
      <c r="U9" s="5">
        <f>IF(DAY(MarDim1)=1,IF(AND(YEAR(MarDim1+4)=AnnéeCalendrier,MONTH(MarDim1+4)=3),MarDim1+4,""),IF(AND(YEAR(MarDim1+11)=AnnéeCalendrier,MONTH(MarDim1+11)=3),MarDim1+11,""))</f>
        <v>45358</v>
      </c>
      <c r="V9" s="5">
        <f>IF(DAY(MarDim1)=1,IF(AND(YEAR(MarDim1+5)=AnnéeCalendrier,MONTH(MarDim1+5)=3),MarDim1+5,""),IF(AND(YEAR(MarDim1+12)=AnnéeCalendrier,MONTH(MarDim1+12)=3),MarDim1+12,""))</f>
        <v>45359</v>
      </c>
      <c r="W9" s="5">
        <f>IF(DAY(MarDim1)=1,IF(AND(YEAR(MarDim1+6)=AnnéeCalendrier,MONTH(MarDim1+6)=3),MarDim1+6,""),IF(AND(YEAR(MarDim1+13)=AnnéeCalendrier,MONTH(MarDim1+13)=3),MarDim1+13,""))</f>
        <v>45360</v>
      </c>
      <c r="X9" s="5">
        <f>IF(DAY(MarDim1)=1,IF(AND(YEAR(MarDim1+7)=AnnéeCalendrier,MONTH(MarDim1+7)=3),MarDim1+7,""),IF(AND(YEAR(MarDim1+14)=AnnéeCalendrier,MONTH(MarDim1+14)=3),MarDim1+14,""))</f>
        <v>45361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45306</v>
      </c>
      <c r="C10" s="5">
        <f>IF(DAY(JanDim1)=1,IF(AND(YEAR(JanDim1+9)=AnnéeCalendrier,MONTH(JanDim1+9)=1),JanDim1+9,""),IF(AND(YEAR(JanDim1+16)=AnnéeCalendrier,MONTH(JanDim1+16)=1),JanDim1+16,""))</f>
        <v>45307</v>
      </c>
      <c r="D10" s="5">
        <f>IF(DAY(JanDim1)=1,IF(AND(YEAR(JanDim1+10)=AnnéeCalendrier,MONTH(JanDim1+10)=1),JanDim1+10,""),IF(AND(YEAR(JanDim1+17)=AnnéeCalendrier,MONTH(JanDim1+17)=1),JanDim1+17,""))</f>
        <v>45308</v>
      </c>
      <c r="E10" s="5">
        <f>IF(DAY(JanDim1)=1,IF(AND(YEAR(JanDim1+11)=AnnéeCalendrier,MONTH(JanDim1+11)=1),JanDim1+11,""),IF(AND(YEAR(JanDim1+18)=AnnéeCalendrier,MONTH(JanDim1+18)=1),JanDim1+18,""))</f>
        <v>45309</v>
      </c>
      <c r="F10" s="5">
        <f>IF(DAY(JanDim1)=1,IF(AND(YEAR(JanDim1+12)=AnnéeCalendrier,MONTH(JanDim1+12)=1),JanDim1+12,""),IF(AND(YEAR(JanDim1+19)=AnnéeCalendrier,MONTH(JanDim1+19)=1),JanDim1+19,""))</f>
        <v>45310</v>
      </c>
      <c r="G10" s="5">
        <f>IF(DAY(JanDim1)=1,IF(AND(YEAR(JanDim1+13)=AnnéeCalendrier,MONTH(JanDim1+13)=1),JanDim1+13,""),IF(AND(YEAR(JanDim1+20)=AnnéeCalendrier,MONTH(JanDim1+20)=1),JanDim1+20,""))</f>
        <v>45311</v>
      </c>
      <c r="H10" s="5">
        <f>IF(DAY(JanDim1)=1,IF(AND(YEAR(JanDim1+14)=AnnéeCalendrier,MONTH(JanDim1+14)=1),JanDim1+14,""),IF(AND(YEAR(JanDim1+21)=AnnéeCalendrier,MONTH(JanDim1+21)=1),JanDim1+21,""))</f>
        <v>45312</v>
      </c>
      <c r="I10" s="4"/>
      <c r="J10" s="5">
        <f>IF(DAY(FévDim1)=1,IF(AND(YEAR(FévDim1+8)=AnnéeCalendrier,MONTH(FévDim1+8)=2),FévDim1+8,""),IF(AND(YEAR(FévDim1+15)=AnnéeCalendrier,MONTH(FévDim1+15)=2),FévDim1+15,""))</f>
        <v>45334</v>
      </c>
      <c r="K10" s="5">
        <f>IF(DAY(FévDim1)=1,IF(AND(YEAR(FévDim1+9)=AnnéeCalendrier,MONTH(FévDim1+9)=2),FévDim1+9,""),IF(AND(YEAR(FévDim1+16)=AnnéeCalendrier,MONTH(FévDim1+16)=2),FévDim1+16,""))</f>
        <v>45335</v>
      </c>
      <c r="L10" s="5">
        <f>IF(DAY(FévDim1)=1,IF(AND(YEAR(FévDim1+10)=AnnéeCalendrier,MONTH(FévDim1+10)=2),FévDim1+10,""),IF(AND(YEAR(FévDim1+17)=AnnéeCalendrier,MONTH(FévDim1+17)=2),FévDim1+17,""))</f>
        <v>45336</v>
      </c>
      <c r="M10" s="5">
        <f>IF(DAY(FévDim1)=1,IF(AND(YEAR(FévDim1+11)=AnnéeCalendrier,MONTH(FévDim1+11)=2),FévDim1+11,""),IF(AND(YEAR(FévDim1+18)=AnnéeCalendrier,MONTH(FévDim1+18)=2),FévDim1+18,""))</f>
        <v>45337</v>
      </c>
      <c r="N10" s="5">
        <f>IF(DAY(FévDim1)=1,IF(AND(YEAR(FévDim1+12)=AnnéeCalendrier,MONTH(FévDim1+12)=2),FévDim1+12,""),IF(AND(YEAR(FévDim1+19)=AnnéeCalendrier,MONTH(FévDim1+19)=2),FévDim1+19,""))</f>
        <v>45338</v>
      </c>
      <c r="O10" s="5">
        <f>IF(DAY(FévDim1)=1,IF(AND(YEAR(FévDim1+13)=AnnéeCalendrier,MONTH(FévDim1+13)=2),FévDim1+13,""),IF(AND(YEAR(FévDim1+20)=AnnéeCalendrier,MONTH(FévDim1+20)=2),FévDim1+20,""))</f>
        <v>45339</v>
      </c>
      <c r="P10" s="5">
        <f>IF(DAY(FévDim1)=1,IF(AND(YEAR(FévDim1+14)=AnnéeCalendrier,MONTH(FévDim1+14)=2),FévDim1+14,""),IF(AND(YEAR(FévDim1+21)=AnnéeCalendrier,MONTH(FévDim1+21)=2),FévDim1+21,""))</f>
        <v>45340</v>
      </c>
      <c r="Q10" s="4"/>
      <c r="R10" s="5">
        <f>IF(DAY(MarDim1)=1,IF(AND(YEAR(MarDim1+8)=AnnéeCalendrier,MONTH(MarDim1+8)=3),MarDim1+8,""),IF(AND(YEAR(MarDim1+15)=AnnéeCalendrier,MONTH(MarDim1+15)=3),MarDim1+15,""))</f>
        <v>45362</v>
      </c>
      <c r="S10" s="5">
        <f>IF(DAY(MarDim1)=1,IF(AND(YEAR(MarDim1+9)=AnnéeCalendrier,MONTH(MarDim1+9)=3),MarDim1+9,""),IF(AND(YEAR(MarDim1+16)=AnnéeCalendrier,MONTH(MarDim1+16)=3),MarDim1+16,""))</f>
        <v>45363</v>
      </c>
      <c r="T10" s="5">
        <f>IF(DAY(MarDim1)=1,IF(AND(YEAR(MarDim1+10)=AnnéeCalendrier,MONTH(MarDim1+10)=3),MarDim1+10,""),IF(AND(YEAR(MarDim1+17)=AnnéeCalendrier,MONTH(MarDim1+17)=3),MarDim1+17,""))</f>
        <v>45364</v>
      </c>
      <c r="U10" s="5">
        <f>IF(DAY(MarDim1)=1,IF(AND(YEAR(MarDim1+11)=AnnéeCalendrier,MONTH(MarDim1+11)=3),MarDim1+11,""),IF(AND(YEAR(MarDim1+18)=AnnéeCalendrier,MONTH(MarDim1+18)=3),MarDim1+18,""))</f>
        <v>45365</v>
      </c>
      <c r="V10" s="5">
        <f>IF(DAY(MarDim1)=1,IF(AND(YEAR(MarDim1+12)=AnnéeCalendrier,MONTH(MarDim1+12)=3),MarDim1+12,""),IF(AND(YEAR(MarDim1+19)=AnnéeCalendrier,MONTH(MarDim1+19)=3),MarDim1+19,""))</f>
        <v>45366</v>
      </c>
      <c r="W10" s="5">
        <f>IF(DAY(MarDim1)=1,IF(AND(YEAR(MarDim1+13)=AnnéeCalendrier,MONTH(MarDim1+13)=3),MarDim1+13,""),IF(AND(YEAR(MarDim1+20)=AnnéeCalendrier,MONTH(MarDim1+20)=3),MarDim1+20,""))</f>
        <v>45367</v>
      </c>
      <c r="X10" s="5">
        <f>IF(DAY(MarDim1)=1,IF(AND(YEAR(MarDim1+14)=AnnéeCalendrier,MONTH(MarDim1+14)=3),MarDim1+14,""),IF(AND(YEAR(MarDim1+21)=AnnéeCalendrier,MONTH(MarDim1+21)=3),MarDim1+21,""))</f>
        <v>45368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45313</v>
      </c>
      <c r="C11" s="5">
        <f>IF(DAY(JanDim1)=1,IF(AND(YEAR(JanDim1+16)=AnnéeCalendrier,MONTH(JanDim1+16)=1),JanDim1+16,""),IF(AND(YEAR(JanDim1+23)=AnnéeCalendrier,MONTH(JanDim1+23)=1),JanDim1+23,""))</f>
        <v>45314</v>
      </c>
      <c r="D11" s="5">
        <f>IF(DAY(JanDim1)=1,IF(AND(YEAR(JanDim1+17)=AnnéeCalendrier,MONTH(JanDim1+17)=1),JanDim1+17,""),IF(AND(YEAR(JanDim1+24)=AnnéeCalendrier,MONTH(JanDim1+24)=1),JanDim1+24,""))</f>
        <v>45315</v>
      </c>
      <c r="E11" s="5">
        <f>IF(DAY(JanDim1)=1,IF(AND(YEAR(JanDim1+18)=AnnéeCalendrier,MONTH(JanDim1+18)=1),JanDim1+18,""),IF(AND(YEAR(JanDim1+25)=AnnéeCalendrier,MONTH(JanDim1+25)=1),JanDim1+25,""))</f>
        <v>45316</v>
      </c>
      <c r="F11" s="5">
        <f>IF(DAY(JanDim1)=1,IF(AND(YEAR(JanDim1+19)=AnnéeCalendrier,MONTH(JanDim1+19)=1),JanDim1+19,""),IF(AND(YEAR(JanDim1+26)=AnnéeCalendrier,MONTH(JanDim1+26)=1),JanDim1+26,""))</f>
        <v>45317</v>
      </c>
      <c r="G11" s="5">
        <f>IF(DAY(JanDim1)=1,IF(AND(YEAR(JanDim1+20)=AnnéeCalendrier,MONTH(JanDim1+20)=1),JanDim1+20,""),IF(AND(YEAR(JanDim1+27)=AnnéeCalendrier,MONTH(JanDim1+27)=1),JanDim1+27,""))</f>
        <v>45318</v>
      </c>
      <c r="H11" s="5">
        <f>IF(DAY(JanDim1)=1,IF(AND(YEAR(JanDim1+21)=AnnéeCalendrier,MONTH(JanDim1+21)=1),JanDim1+21,""),IF(AND(YEAR(JanDim1+28)=AnnéeCalendrier,MONTH(JanDim1+28)=1),JanDim1+28,""))</f>
        <v>45319</v>
      </c>
      <c r="I11" s="4"/>
      <c r="J11" s="5">
        <f>IF(DAY(FévDim1)=1,IF(AND(YEAR(FévDim1+15)=AnnéeCalendrier,MONTH(FévDim1+15)=2),FévDim1+15,""),IF(AND(YEAR(FévDim1+22)=AnnéeCalendrier,MONTH(FévDim1+22)=2),FévDim1+22,""))</f>
        <v>45341</v>
      </c>
      <c r="K11" s="5">
        <f>IF(DAY(FévDim1)=1,IF(AND(YEAR(FévDim1+16)=AnnéeCalendrier,MONTH(FévDim1+16)=2),FévDim1+16,""),IF(AND(YEAR(FévDim1+23)=AnnéeCalendrier,MONTH(FévDim1+23)=2),FévDim1+23,""))</f>
        <v>45342</v>
      </c>
      <c r="L11" s="5">
        <f>IF(DAY(FévDim1)=1,IF(AND(YEAR(FévDim1+17)=AnnéeCalendrier,MONTH(FévDim1+17)=2),FévDim1+17,""),IF(AND(YEAR(FévDim1+24)=AnnéeCalendrier,MONTH(FévDim1+24)=2),FévDim1+24,""))</f>
        <v>45343</v>
      </c>
      <c r="M11" s="5">
        <f>IF(DAY(FévDim1)=1,IF(AND(YEAR(FévDim1+18)=AnnéeCalendrier,MONTH(FévDim1+18)=2),FévDim1+18,""),IF(AND(YEAR(FévDim1+25)=AnnéeCalendrier,MONTH(FévDim1+25)=2),FévDim1+25,""))</f>
        <v>45344</v>
      </c>
      <c r="N11" s="5">
        <f>IF(DAY(FévDim1)=1,IF(AND(YEAR(FévDim1+19)=AnnéeCalendrier,MONTH(FévDim1+19)=2),FévDim1+19,""),IF(AND(YEAR(FévDim1+26)=AnnéeCalendrier,MONTH(FévDim1+26)=2),FévDim1+26,""))</f>
        <v>45345</v>
      </c>
      <c r="O11" s="5">
        <f>IF(DAY(FévDim1)=1,IF(AND(YEAR(FévDim1+20)=AnnéeCalendrier,MONTH(FévDim1+20)=2),FévDim1+20,""),IF(AND(YEAR(FévDim1+27)=AnnéeCalendrier,MONTH(FévDim1+27)=2),FévDim1+27,""))</f>
        <v>45346</v>
      </c>
      <c r="P11" s="5">
        <f>IF(DAY(FévDim1)=1,IF(AND(YEAR(FévDim1+21)=AnnéeCalendrier,MONTH(FévDim1+21)=2),FévDim1+21,""),IF(AND(YEAR(FévDim1+28)=AnnéeCalendrier,MONTH(FévDim1+28)=2),FévDim1+28,""))</f>
        <v>45347</v>
      </c>
      <c r="Q11" s="4"/>
      <c r="R11" s="5">
        <f>IF(DAY(MarDim1)=1,IF(AND(YEAR(MarDim1+15)=AnnéeCalendrier,MONTH(MarDim1+15)=3),MarDim1+15,""),IF(AND(YEAR(MarDim1+22)=AnnéeCalendrier,MONTH(MarDim1+22)=3),MarDim1+22,""))</f>
        <v>45369</v>
      </c>
      <c r="S11" s="5">
        <f>IF(DAY(MarDim1)=1,IF(AND(YEAR(MarDim1+16)=AnnéeCalendrier,MONTH(MarDim1+16)=3),MarDim1+16,""),IF(AND(YEAR(MarDim1+23)=AnnéeCalendrier,MONTH(MarDim1+23)=3),MarDim1+23,""))</f>
        <v>45370</v>
      </c>
      <c r="T11" s="5">
        <f>IF(DAY(MarDim1)=1,IF(AND(YEAR(MarDim1+17)=AnnéeCalendrier,MONTH(MarDim1+17)=3),MarDim1+17,""),IF(AND(YEAR(MarDim1+24)=AnnéeCalendrier,MONTH(MarDim1+24)=3),MarDim1+24,""))</f>
        <v>45371</v>
      </c>
      <c r="U11" s="5">
        <f>IF(DAY(MarDim1)=1,IF(AND(YEAR(MarDim1+18)=AnnéeCalendrier,MONTH(MarDim1+18)=3),MarDim1+18,""),IF(AND(YEAR(MarDim1+25)=AnnéeCalendrier,MONTH(MarDim1+25)=3),MarDim1+25,""))</f>
        <v>45372</v>
      </c>
      <c r="V11" s="5">
        <f>IF(DAY(MarDim1)=1,IF(AND(YEAR(MarDim1+19)=AnnéeCalendrier,MONTH(MarDim1+19)=3),MarDim1+19,""),IF(AND(YEAR(MarDim1+26)=AnnéeCalendrier,MONTH(MarDim1+26)=3),MarDim1+26,""))</f>
        <v>45373</v>
      </c>
      <c r="W11" s="5">
        <f>IF(DAY(MarDim1)=1,IF(AND(YEAR(MarDim1+20)=AnnéeCalendrier,MONTH(MarDim1+20)=3),MarDim1+20,""),IF(AND(YEAR(MarDim1+27)=AnnéeCalendrier,MONTH(MarDim1+27)=3),MarDim1+27,""))</f>
        <v>45374</v>
      </c>
      <c r="X11" s="5">
        <f>IF(DAY(MarDim1)=1,IF(AND(YEAR(MarDim1+21)=AnnéeCalendrier,MONTH(MarDim1+21)=3),MarDim1+21,""),IF(AND(YEAR(MarDim1+28)=AnnéeCalendrier,MONTH(MarDim1+28)=3),MarDim1+28,""))</f>
        <v>45375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45320</v>
      </c>
      <c r="C12" s="5">
        <f>IF(DAY(JanDim1)=1,IF(AND(YEAR(JanDim1+23)=AnnéeCalendrier,MONTH(JanDim1+23)=1),JanDim1+23,""),IF(AND(YEAR(JanDim1+30)=AnnéeCalendrier,MONTH(JanDim1+30)=1),JanDim1+30,""))</f>
        <v>45321</v>
      </c>
      <c r="D12" s="5">
        <f>IF(DAY(JanDim1)=1,IF(AND(YEAR(JanDim1+24)=AnnéeCalendrier,MONTH(JanDim1+24)=1),JanDim1+24,""),IF(AND(YEAR(JanDim1+31)=AnnéeCalendrier,MONTH(JanDim1+31)=1),JanDim1+31,""))</f>
        <v>45322</v>
      </c>
      <c r="E12" s="5" t="str">
        <f>IF(DAY(JanDim1)=1,IF(AND(YEAR(JanDim1+25)=AnnéeCalendrier,MONTH(JanDim1+25)=1),JanDim1+25,""),IF(AND(YEAR(JanDim1+32)=AnnéeCalendrier,MONTH(JanDim1+32)=1),JanDim1+32,""))</f>
        <v/>
      </c>
      <c r="F12" s="5" t="str">
        <f>IF(DAY(JanDim1)=1,IF(AND(YEAR(JanDim1+26)=AnnéeCalendrier,MONTH(JanDim1+26)=1),JanDim1+26,""),IF(AND(YEAR(JanDim1+33)=AnnéeCalendrier,MONTH(JanDim1+33)=1),JanDim1+33,""))</f>
        <v/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45348</v>
      </c>
      <c r="K12" s="5">
        <f>IF(DAY(FévDim1)=1,IF(AND(YEAR(FévDim1+23)=AnnéeCalendrier,MONTH(FévDim1+23)=2),FévDim1+23,""),IF(AND(YEAR(FévDim1+30)=AnnéeCalendrier,MONTH(FévDim1+30)=2),FévDim1+30,""))</f>
        <v>45349</v>
      </c>
      <c r="L12" s="5">
        <f>IF(DAY(FévDim1)=1,IF(AND(YEAR(FévDim1+24)=AnnéeCalendrier,MONTH(FévDim1+24)=2),FévDim1+24,""),IF(AND(YEAR(FévDim1+31)=AnnéeCalendrier,MONTH(FévDim1+31)=2),FévDim1+31,""))</f>
        <v>45350</v>
      </c>
      <c r="M12" s="5">
        <f>IF(DAY(FévDim1)=1,IF(AND(YEAR(FévDim1+25)=AnnéeCalendrier,MONTH(FévDim1+25)=2),FévDim1+25,""),IF(AND(YEAR(FévDim1+32)=AnnéeCalendrier,MONTH(FévDim1+32)=2),FévDim1+32,""))</f>
        <v>45351</v>
      </c>
      <c r="N12" s="5" t="str">
        <f>IF(DAY(FévDim1)=1,IF(AND(YEAR(FévDim1+26)=AnnéeCalendrier,MONTH(FévDim1+26)=2),FévDim1+26,""),IF(AND(YEAR(FévDim1+33)=AnnéeCalendrier,MONTH(FévDim1+33)=2),FévDim1+33,""))</f>
        <v/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45376</v>
      </c>
      <c r="S12" s="5">
        <f>IF(DAY(MarDim1)=1,IF(AND(YEAR(MarDim1+23)=AnnéeCalendrier,MONTH(MarDim1+23)=3),MarDim1+23,""),IF(AND(YEAR(MarDim1+30)=AnnéeCalendrier,MONTH(MarDim1+30)=3),MarDim1+30,""))</f>
        <v>45377</v>
      </c>
      <c r="T12" s="5">
        <f>IF(DAY(MarDim1)=1,IF(AND(YEAR(MarDim1+24)=AnnéeCalendrier,MONTH(MarDim1+24)=3),MarDim1+24,""),IF(AND(YEAR(MarDim1+31)=AnnéeCalendrier,MONTH(MarDim1+31)=3),MarDim1+31,""))</f>
        <v>45378</v>
      </c>
      <c r="U12" s="5">
        <f>IF(DAY(MarDim1)=1,IF(AND(YEAR(MarDim1+25)=AnnéeCalendrier,MONTH(MarDim1+25)=3),MarDim1+25,""),IF(AND(YEAR(MarDim1+32)=AnnéeCalendrier,MONTH(MarDim1+32)=3),MarDim1+32,""))</f>
        <v>45379</v>
      </c>
      <c r="V12" s="5">
        <f>IF(DAY(MarDim1)=1,IF(AND(YEAR(MarDim1+26)=AnnéeCalendrier,MONTH(MarDim1+26)=3),MarDim1+26,""),IF(AND(YEAR(MarDim1+33)=AnnéeCalendrier,MONTH(MarDim1+33)=3),MarDim1+33,""))</f>
        <v>45380</v>
      </c>
      <c r="W12" s="5">
        <f>IF(DAY(MarDim1)=1,IF(AND(YEAR(MarDim1+27)=AnnéeCalendrier,MONTH(MarDim1+27)=3),MarDim1+27,""),IF(AND(YEAR(MarDim1+34)=AnnéeCalendrier,MONTH(MarDim1+34)=3),MarDim1+34,""))</f>
        <v>45381</v>
      </c>
      <c r="X12" s="5">
        <f>IF(DAY(MarDim1)=1,IF(AND(YEAR(MarDim1+28)=AnnéeCalendrier,MONTH(MarDim1+28)=3),MarDim1+28,""),IF(AND(YEAR(MarDim1+35)=AnnéeCalendrier,MONTH(MarDim1+35)=3),MarDim1+35,""))</f>
        <v>45382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 t="str">
        <f>IF(DAY(MarDim1)=1,IF(AND(YEAR(MarDim1+29)=AnnéeCalendrier,MONTH(MarDim1+29)=3),MarDim1+29,""),IF(AND(YEAR(MarDim1+36)=AnnéeCalendrier,MONTH(MarDim1+36)=3),MarDim1+36,""))</f>
        <v/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>
        <f>IF(DAY(AvrDim1)=1,"",IF(AND(YEAR(AvrDim1+1)=AnnéeCalendrier,MONTH(AvrDim1+1)=4),AvrDim1+1,""))</f>
        <v>45383</v>
      </c>
      <c r="C17" s="5">
        <f>IF(DAY(AvrDim1)=1,"",IF(AND(YEAR(AvrDim1+2)=AnnéeCalendrier,MONTH(AvrDim1+2)=4),AvrDim1+2,""))</f>
        <v>45384</v>
      </c>
      <c r="D17" s="5">
        <f>IF(DAY(AvrDim1)=1,"",IF(AND(YEAR(AvrDim1+3)=AnnéeCalendrier,MONTH(AvrDim1+3)=4),AvrDim1+3,""))</f>
        <v>45385</v>
      </c>
      <c r="E17" s="5">
        <f>IF(DAY(AvrDim1)=1,"",IF(AND(YEAR(AvrDim1+4)=AnnéeCalendrier,MONTH(AvrDim1+4)=4),AvrDim1+4,""))</f>
        <v>45386</v>
      </c>
      <c r="F17" s="5">
        <f>IF(DAY(AvrDim1)=1,"",IF(AND(YEAR(AvrDim1+5)=AnnéeCalendrier,MONTH(AvrDim1+5)=4),AvrDim1+5,""))</f>
        <v>45387</v>
      </c>
      <c r="G17" s="5">
        <f>IF(DAY(AvrDim1)=1,"",IF(AND(YEAR(AvrDim1+6)=AnnéeCalendrier,MONTH(AvrDim1+6)=4),AvrDim1+6,""))</f>
        <v>45388</v>
      </c>
      <c r="H17" s="7">
        <f>IF(DAY(AvrDim1)=1,IF(AND(YEAR(AvrDim1)=AnnéeCalendrier,MONTH(AvrDim1)=4),AvrDim1,""),IF(AND(YEAR(AvrDim1+7)=AnnéeCalendrier,MONTH(AvrDim1+7)=4),AvrDim1+7,""))</f>
        <v>45389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>
        <f>IF(DAY(MaiDim1)=1,"",IF(AND(YEAR(MaiDim1+3)=AnnéeCalendrier,MONTH(MaiDim1+3)=5),MaiDim1+3,""))</f>
        <v>45413</v>
      </c>
      <c r="M17" s="5">
        <f>IF(DAY(MaiDim1)=1,"",IF(AND(YEAR(MaiDim1+4)=AnnéeCalendrier,MONTH(MaiDim1+4)=5),MaiDim1+4,""))</f>
        <v>45414</v>
      </c>
      <c r="N17" s="5">
        <f>IF(DAY(MaiDim1)=1,"",IF(AND(YEAR(MaiDim1+5)=AnnéeCalendrier,MONTH(MaiDim1+5)=5),MaiDim1+5,""))</f>
        <v>45415</v>
      </c>
      <c r="O17" s="5">
        <f>IF(DAY(MaiDim1)=1,"",IF(AND(YEAR(MaiDim1+6)=AnnéeCalendrier,MONTH(MaiDim1+6)=5),MaiDim1+6,""))</f>
        <v>45416</v>
      </c>
      <c r="P17" s="7">
        <f>IF(DAY(MaiDim1)=1,IF(AND(YEAR(MaiDim1)=AnnéeCalendrier,MONTH(MaiDim1)=5),MaiDim1,""),IF(AND(YEAR(MaiDim1+7)=AnnéeCalendrier,MONTH(MaiDim1+7)=5),MaiDim1+7,""))</f>
        <v>45417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>
        <f>IF(DAY(JunDim1)=1,"",IF(AND(YEAR(JunDim1+6)=AnnéeCalendrier,MONTH(JunDim1+6)=6),JunDim1+6,""))</f>
        <v>45444</v>
      </c>
      <c r="X17" s="7">
        <f>IF(DAY(JunDim1)=1,IF(AND(YEAR(JunDim1)=AnnéeCalendrier,MONTH(JunDim1)=6),JunDim1,""),IF(AND(YEAR(JunDim1+7)=AnnéeCalendrier,MONTH(JunDim1+7)=6),JunDim1+7,""))</f>
        <v>45445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45390</v>
      </c>
      <c r="C18" s="5">
        <f>IF(DAY(AvrDim1)=1,IF(AND(YEAR(AvrDim1+2)=AnnéeCalendrier,MONTH(AvrDim1+2)=4),AvrDim1+2,""),IF(AND(YEAR(AvrDim1+9)=AnnéeCalendrier,MONTH(AvrDim1+9)=4),AvrDim1+9,""))</f>
        <v>45391</v>
      </c>
      <c r="D18" s="5">
        <f>IF(DAY(AvrDim1)=1,IF(AND(YEAR(AvrDim1+3)=AnnéeCalendrier,MONTH(AvrDim1+3)=4),AvrDim1+3,""),IF(AND(YEAR(AvrDim1+10)=AnnéeCalendrier,MONTH(AvrDim1+10)=4),AvrDim1+10,""))</f>
        <v>45392</v>
      </c>
      <c r="E18" s="5">
        <f>IF(DAY(AvrDim1)=1,IF(AND(YEAR(AvrDim1+4)=AnnéeCalendrier,MONTH(AvrDim1+4)=4),AvrDim1+4,""),IF(AND(YEAR(AvrDim1+11)=AnnéeCalendrier,MONTH(AvrDim1+11)=4),AvrDim1+11,""))</f>
        <v>45393</v>
      </c>
      <c r="F18" s="5">
        <f>IF(DAY(AvrDim1)=1,IF(AND(YEAR(AvrDim1+5)=AnnéeCalendrier,MONTH(AvrDim1+5)=4),AvrDim1+5,""),IF(AND(YEAR(AvrDim1+12)=AnnéeCalendrier,MONTH(AvrDim1+12)=4),AvrDim1+12,""))</f>
        <v>45394</v>
      </c>
      <c r="G18" s="5">
        <f>IF(DAY(AvrDim1)=1,IF(AND(YEAR(AvrDim1+6)=AnnéeCalendrier,MONTH(AvrDim1+6)=4),AvrDim1+6,""),IF(AND(YEAR(AvrDim1+13)=AnnéeCalendrier,MONTH(AvrDim1+13)=4),AvrDim1+13,""))</f>
        <v>45395</v>
      </c>
      <c r="H18" s="7">
        <f>IF(DAY(AvrDim1)=1,IF(AND(YEAR(AvrDim1+7)=AnnéeCalendrier,MONTH(AvrDim1+7)=4),AvrDim1+7,""),IF(AND(YEAR(AvrDim1+14)=AnnéeCalendrier,MONTH(AvrDim1+14)=4),AvrDim1+14,""))</f>
        <v>45396</v>
      </c>
      <c r="I18" s="4"/>
      <c r="J18" s="6">
        <f>IF(DAY(MaiDim1)=1,IF(AND(YEAR(MaiDim1+1)=AnnéeCalendrier,MONTH(MaiDim1+1)=5),MaiDim1+1,""),IF(AND(YEAR(MaiDim1+8)=AnnéeCalendrier,MONTH(MaiDim1+8)=5),MaiDim1+8,""))</f>
        <v>45418</v>
      </c>
      <c r="K18" s="5">
        <f>IF(DAY(MaiDim1)=1,IF(AND(YEAR(MaiDim1+2)=AnnéeCalendrier,MONTH(MaiDim1+2)=5),MaiDim1+2,""),IF(AND(YEAR(MaiDim1+9)=AnnéeCalendrier,MONTH(MaiDim1+9)=5),MaiDim1+9,""))</f>
        <v>45419</v>
      </c>
      <c r="L18" s="5">
        <f>IF(DAY(MaiDim1)=1,IF(AND(YEAR(MaiDim1+3)=AnnéeCalendrier,MONTH(MaiDim1+3)=5),MaiDim1+3,""),IF(AND(YEAR(MaiDim1+10)=AnnéeCalendrier,MONTH(MaiDim1+10)=5),MaiDim1+10,""))</f>
        <v>45420</v>
      </c>
      <c r="M18" s="5">
        <f>IF(DAY(MaiDim1)=1,IF(AND(YEAR(MaiDim1+4)=AnnéeCalendrier,MONTH(MaiDim1+4)=5),MaiDim1+4,""),IF(AND(YEAR(MaiDim1+11)=AnnéeCalendrier,MONTH(MaiDim1+11)=5),MaiDim1+11,""))</f>
        <v>45421</v>
      </c>
      <c r="N18" s="5">
        <f>IF(DAY(MaiDim1)=1,IF(AND(YEAR(MaiDim1+5)=AnnéeCalendrier,MONTH(MaiDim1+5)=5),MaiDim1+5,""),IF(AND(YEAR(MaiDim1+12)=AnnéeCalendrier,MONTH(MaiDim1+12)=5),MaiDim1+12,""))</f>
        <v>45422</v>
      </c>
      <c r="O18" s="5">
        <f>IF(DAY(MaiDim1)=1,IF(AND(YEAR(MaiDim1+6)=AnnéeCalendrier,MONTH(MaiDim1+6)=5),MaiDim1+6,""),IF(AND(YEAR(MaiDim1+13)=AnnéeCalendrier,MONTH(MaiDim1+13)=5),MaiDim1+13,""))</f>
        <v>45423</v>
      </c>
      <c r="P18" s="7">
        <f>IF(DAY(MaiDim1)=1,IF(AND(YEAR(MaiDim1+7)=AnnéeCalendrier,MONTH(MaiDim1+7)=5),MaiDim1+7,""),IF(AND(YEAR(MaiDim1+14)=AnnéeCalendrier,MONTH(MaiDim1+14)=5),MaiDim1+14,""))</f>
        <v>45424</v>
      </c>
      <c r="Q18" s="4"/>
      <c r="R18" s="6">
        <f>IF(DAY(JunDim1)=1,IF(AND(YEAR(JunDim1+1)=AnnéeCalendrier,MONTH(JunDim1+1)=6),JunDim1+1,""),IF(AND(YEAR(JunDim1+8)=AnnéeCalendrier,MONTH(JunDim1+8)=6),JunDim1+8,""))</f>
        <v>45446</v>
      </c>
      <c r="S18" s="5">
        <f>IF(DAY(JunDim1)=1,IF(AND(YEAR(JunDim1+2)=AnnéeCalendrier,MONTH(JunDim1+2)=6),JunDim1+2,""),IF(AND(YEAR(JunDim1+9)=AnnéeCalendrier,MONTH(JunDim1+9)=6),JunDim1+9,""))</f>
        <v>45447</v>
      </c>
      <c r="T18" s="5">
        <f>IF(DAY(JunDim1)=1,IF(AND(YEAR(JunDim1+3)=AnnéeCalendrier,MONTH(JunDim1+3)=6),JunDim1+3,""),IF(AND(YEAR(JunDim1+10)=AnnéeCalendrier,MONTH(JunDim1+10)=6),JunDim1+10,""))</f>
        <v>45448</v>
      </c>
      <c r="U18" s="5">
        <f>IF(DAY(JunDim1)=1,IF(AND(YEAR(JunDim1+4)=AnnéeCalendrier,MONTH(JunDim1+4)=6),JunDim1+4,""),IF(AND(YEAR(JunDim1+11)=AnnéeCalendrier,MONTH(JunDim1+11)=6),JunDim1+11,""))</f>
        <v>45449</v>
      </c>
      <c r="V18" s="5">
        <f>IF(DAY(JunDim1)=1,IF(AND(YEAR(JunDim1+5)=AnnéeCalendrier,MONTH(JunDim1+5)=6),JunDim1+5,""),IF(AND(YEAR(JunDim1+12)=AnnéeCalendrier,MONTH(JunDim1+12)=6),JunDim1+12,""))</f>
        <v>45450</v>
      </c>
      <c r="W18" s="5">
        <f>IF(DAY(JunDim1)=1,IF(AND(YEAR(JunDim1+6)=AnnéeCalendrier,MONTH(JunDim1+6)=6),JunDim1+6,""),IF(AND(YEAR(JunDim1+13)=AnnéeCalendrier,MONTH(JunDim1+13)=6),JunDim1+13,""))</f>
        <v>45451</v>
      </c>
      <c r="X18" s="7">
        <f>IF(DAY(JunDim1)=1,IF(AND(YEAR(JunDim1+7)=AnnéeCalendrier,MONTH(JunDim1+7)=6),JunDim1+7,""),IF(AND(YEAR(JunDim1+14)=AnnéeCalendrier,MONTH(JunDim1+14)=6),JunDim1+14,""))</f>
        <v>45452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45397</v>
      </c>
      <c r="C19" s="5">
        <f>IF(DAY(AvrDim1)=1,IF(AND(YEAR(AvrDim1+9)=AnnéeCalendrier,MONTH(AvrDim1+9)=4),AvrDim1+9,""),IF(AND(YEAR(AvrDim1+16)=AnnéeCalendrier,MONTH(AvrDim1+16)=4),AvrDim1+16,""))</f>
        <v>45398</v>
      </c>
      <c r="D19" s="5">
        <f>IF(DAY(AvrDim1)=1,IF(AND(YEAR(AvrDim1+10)=AnnéeCalendrier,MONTH(AvrDim1+10)=4),AvrDim1+10,""),IF(AND(YEAR(AvrDim1+17)=AnnéeCalendrier,MONTH(AvrDim1+17)=4),AvrDim1+17,""))</f>
        <v>45399</v>
      </c>
      <c r="E19" s="5">
        <f>IF(DAY(AvrDim1)=1,IF(AND(YEAR(AvrDim1+11)=AnnéeCalendrier,MONTH(AvrDim1+11)=4),AvrDim1+11,""),IF(AND(YEAR(AvrDim1+18)=AnnéeCalendrier,MONTH(AvrDim1+18)=4),AvrDim1+18,""))</f>
        <v>45400</v>
      </c>
      <c r="F19" s="5">
        <f>IF(DAY(AvrDim1)=1,IF(AND(YEAR(AvrDim1+12)=AnnéeCalendrier,MONTH(AvrDim1+12)=4),AvrDim1+12,""),IF(AND(YEAR(AvrDim1+19)=AnnéeCalendrier,MONTH(AvrDim1+19)=4),AvrDim1+19,""))</f>
        <v>45401</v>
      </c>
      <c r="G19" s="5">
        <f>IF(DAY(AvrDim1)=1,IF(AND(YEAR(AvrDim1+13)=AnnéeCalendrier,MONTH(AvrDim1+13)=4),AvrDim1+13,""),IF(AND(YEAR(AvrDim1+20)=AnnéeCalendrier,MONTH(AvrDim1+20)=4),AvrDim1+20,""))</f>
        <v>45402</v>
      </c>
      <c r="H19" s="7">
        <f>IF(DAY(AvrDim1)=1,IF(AND(YEAR(AvrDim1+14)=AnnéeCalendrier,MONTH(AvrDim1+14)=4),AvrDim1+14,""),IF(AND(YEAR(AvrDim1+21)=AnnéeCalendrier,MONTH(AvrDim1+21)=4),AvrDim1+21,""))</f>
        <v>45403</v>
      </c>
      <c r="I19" s="4"/>
      <c r="J19" s="6">
        <f>IF(DAY(MaiDim1)=1,IF(AND(YEAR(MaiDim1+8)=AnnéeCalendrier,MONTH(MaiDim1+8)=5),MaiDim1+8,""),IF(AND(YEAR(MaiDim1+15)=AnnéeCalendrier,MONTH(MaiDim1+15)=5),MaiDim1+15,""))</f>
        <v>45425</v>
      </c>
      <c r="K19" s="5">
        <f>IF(DAY(MaiDim1)=1,IF(AND(YEAR(MaiDim1+9)=AnnéeCalendrier,MONTH(MaiDim1+9)=5),MaiDim1+9,""),IF(AND(YEAR(MaiDim1+16)=AnnéeCalendrier,MONTH(MaiDim1+16)=5),MaiDim1+16,""))</f>
        <v>45426</v>
      </c>
      <c r="L19" s="5">
        <f>IF(DAY(MaiDim1)=1,IF(AND(YEAR(MaiDim1+10)=AnnéeCalendrier,MONTH(MaiDim1+10)=5),MaiDim1+10,""),IF(AND(YEAR(MaiDim1+17)=AnnéeCalendrier,MONTH(MaiDim1+17)=5),MaiDim1+17,""))</f>
        <v>45427</v>
      </c>
      <c r="M19" s="5">
        <f>IF(DAY(MaiDim1)=1,IF(AND(YEAR(MaiDim1+11)=AnnéeCalendrier,MONTH(MaiDim1+11)=5),MaiDim1+11,""),IF(AND(YEAR(MaiDim1+18)=AnnéeCalendrier,MONTH(MaiDim1+18)=5),MaiDim1+18,""))</f>
        <v>45428</v>
      </c>
      <c r="N19" s="5">
        <f>IF(DAY(MaiDim1)=1,IF(AND(YEAR(MaiDim1+12)=AnnéeCalendrier,MONTH(MaiDim1+12)=5),MaiDim1+12,""),IF(AND(YEAR(MaiDim1+19)=AnnéeCalendrier,MONTH(MaiDim1+19)=5),MaiDim1+19,""))</f>
        <v>45429</v>
      </c>
      <c r="O19" s="5">
        <f>IF(DAY(MaiDim1)=1,IF(AND(YEAR(MaiDim1+13)=AnnéeCalendrier,MONTH(MaiDim1+13)=5),MaiDim1+13,""),IF(AND(YEAR(MaiDim1+20)=AnnéeCalendrier,MONTH(MaiDim1+20)=5),MaiDim1+20,""))</f>
        <v>45430</v>
      </c>
      <c r="P19" s="7">
        <f>IF(DAY(MaiDim1)=1,IF(AND(YEAR(MaiDim1+14)=AnnéeCalendrier,MONTH(MaiDim1+14)=5),MaiDim1+14,""),IF(AND(YEAR(MaiDim1+21)=AnnéeCalendrier,MONTH(MaiDim1+21)=5),MaiDim1+21,""))</f>
        <v>45431</v>
      </c>
      <c r="Q19" s="4"/>
      <c r="R19" s="6">
        <f>IF(DAY(JunDim1)=1,IF(AND(YEAR(JunDim1+8)=AnnéeCalendrier,MONTH(JunDim1+8)=6),JunDim1+8,""),IF(AND(YEAR(JunDim1+15)=AnnéeCalendrier,MONTH(JunDim1+15)=6),JunDim1+15,""))</f>
        <v>45453</v>
      </c>
      <c r="S19" s="5">
        <f>IF(DAY(JunDim1)=1,IF(AND(YEAR(JunDim1+9)=AnnéeCalendrier,MONTH(JunDim1+9)=6),JunDim1+9,""),IF(AND(YEAR(JunDim1+16)=AnnéeCalendrier,MONTH(JunDim1+16)=6),JunDim1+16,""))</f>
        <v>45454</v>
      </c>
      <c r="T19" s="5">
        <f>IF(DAY(JunDim1)=1,IF(AND(YEAR(JunDim1+10)=AnnéeCalendrier,MONTH(JunDim1+10)=6),JunDim1+10,""),IF(AND(YEAR(JunDim1+17)=AnnéeCalendrier,MONTH(JunDim1+17)=6),JunDim1+17,""))</f>
        <v>45455</v>
      </c>
      <c r="U19" s="5">
        <f>IF(DAY(JunDim1)=1,IF(AND(YEAR(JunDim1+11)=AnnéeCalendrier,MONTH(JunDim1+11)=6),JunDim1+11,""),IF(AND(YEAR(JunDim1+18)=AnnéeCalendrier,MONTH(JunDim1+18)=6),JunDim1+18,""))</f>
        <v>45456</v>
      </c>
      <c r="V19" s="5">
        <f>IF(DAY(JunDim1)=1,IF(AND(YEAR(JunDim1+12)=AnnéeCalendrier,MONTH(JunDim1+12)=6),JunDim1+12,""),IF(AND(YEAR(JunDim1+19)=AnnéeCalendrier,MONTH(JunDim1+19)=6),JunDim1+19,""))</f>
        <v>45457</v>
      </c>
      <c r="W19" s="5">
        <f>IF(DAY(JunDim1)=1,IF(AND(YEAR(JunDim1+13)=AnnéeCalendrier,MONTH(JunDim1+13)=6),JunDim1+13,""),IF(AND(YEAR(JunDim1+20)=AnnéeCalendrier,MONTH(JunDim1+20)=6),JunDim1+20,""))</f>
        <v>45458</v>
      </c>
      <c r="X19" s="7">
        <f>IF(DAY(JunDim1)=1,IF(AND(YEAR(JunDim1+14)=AnnéeCalendrier,MONTH(JunDim1+14)=6),JunDim1+14,""),IF(AND(YEAR(JunDim1+21)=AnnéeCalendrier,MONTH(JunDim1+21)=6),JunDim1+21,""))</f>
        <v>45459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45404</v>
      </c>
      <c r="C20" s="5">
        <f>IF(DAY(AvrDim1)=1,IF(AND(YEAR(AvrDim1+16)=AnnéeCalendrier,MONTH(AvrDim1+16)=4),AvrDim1+16,""),IF(AND(YEAR(AvrDim1+23)=AnnéeCalendrier,MONTH(AvrDim1+23)=4),AvrDim1+23,""))</f>
        <v>45405</v>
      </c>
      <c r="D20" s="5">
        <f>IF(DAY(AvrDim1)=1,IF(AND(YEAR(AvrDim1+17)=AnnéeCalendrier,MONTH(AvrDim1+17)=4),AvrDim1+17,""),IF(AND(YEAR(AvrDim1+24)=AnnéeCalendrier,MONTH(AvrDim1+24)=4),AvrDim1+24,""))</f>
        <v>45406</v>
      </c>
      <c r="E20" s="5">
        <f>IF(DAY(AvrDim1)=1,IF(AND(YEAR(AvrDim1+18)=AnnéeCalendrier,MONTH(AvrDim1+18)=4),AvrDim1+18,""),IF(AND(YEAR(AvrDim1+25)=AnnéeCalendrier,MONTH(AvrDim1+25)=4),AvrDim1+25,""))</f>
        <v>45407</v>
      </c>
      <c r="F20" s="5">
        <f>IF(DAY(AvrDim1)=1,IF(AND(YEAR(AvrDim1+19)=AnnéeCalendrier,MONTH(AvrDim1+19)=4),AvrDim1+19,""),IF(AND(YEAR(AvrDim1+26)=AnnéeCalendrier,MONTH(AvrDim1+26)=4),AvrDim1+26,""))</f>
        <v>45408</v>
      </c>
      <c r="G20" s="5">
        <f>IF(DAY(AvrDim1)=1,IF(AND(YEAR(AvrDim1+20)=AnnéeCalendrier,MONTH(AvrDim1+20)=4),AvrDim1+20,""),IF(AND(YEAR(AvrDim1+27)=AnnéeCalendrier,MONTH(AvrDim1+27)=4),AvrDim1+27,""))</f>
        <v>45409</v>
      </c>
      <c r="H20" s="7">
        <f>IF(DAY(AvrDim1)=1,IF(AND(YEAR(AvrDim1+21)=AnnéeCalendrier,MONTH(AvrDim1+21)=4),AvrDim1+21,""),IF(AND(YEAR(AvrDim1+28)=AnnéeCalendrier,MONTH(AvrDim1+28)=4),AvrDim1+28,""))</f>
        <v>45410</v>
      </c>
      <c r="I20" s="4"/>
      <c r="J20" s="6">
        <f>IF(DAY(MaiDim1)=1,IF(AND(YEAR(MaiDim1+15)=AnnéeCalendrier,MONTH(MaiDim1+15)=5),MaiDim1+15,""),IF(AND(YEAR(MaiDim1+22)=AnnéeCalendrier,MONTH(MaiDim1+22)=5),MaiDim1+22,""))</f>
        <v>45432</v>
      </c>
      <c r="K20" s="5">
        <f>IF(DAY(MaiDim1)=1,IF(AND(YEAR(MaiDim1+16)=AnnéeCalendrier,MONTH(MaiDim1+16)=5),MaiDim1+16,""),IF(AND(YEAR(MaiDim1+23)=AnnéeCalendrier,MONTH(MaiDim1+23)=5),MaiDim1+23,""))</f>
        <v>45433</v>
      </c>
      <c r="L20" s="5">
        <f>IF(DAY(MaiDim1)=1,IF(AND(YEAR(MaiDim1+17)=AnnéeCalendrier,MONTH(MaiDim1+17)=5),MaiDim1+17,""),IF(AND(YEAR(MaiDim1+24)=AnnéeCalendrier,MONTH(MaiDim1+24)=5),MaiDim1+24,""))</f>
        <v>45434</v>
      </c>
      <c r="M20" s="5">
        <f>IF(DAY(MaiDim1)=1,IF(AND(YEAR(MaiDim1+18)=AnnéeCalendrier,MONTH(MaiDim1+18)=5),MaiDim1+18,""),IF(AND(YEAR(MaiDim1+25)=AnnéeCalendrier,MONTH(MaiDim1+25)=5),MaiDim1+25,""))</f>
        <v>45435</v>
      </c>
      <c r="N20" s="5">
        <f>IF(DAY(MaiDim1)=1,IF(AND(YEAR(MaiDim1+19)=AnnéeCalendrier,MONTH(MaiDim1+19)=5),MaiDim1+19,""),IF(AND(YEAR(MaiDim1+26)=AnnéeCalendrier,MONTH(MaiDim1+26)=5),MaiDim1+26,""))</f>
        <v>45436</v>
      </c>
      <c r="O20" s="5">
        <f>IF(DAY(MaiDim1)=1,IF(AND(YEAR(MaiDim1+20)=AnnéeCalendrier,MONTH(MaiDim1+20)=5),MaiDim1+20,""),IF(AND(YEAR(MaiDim1+27)=AnnéeCalendrier,MONTH(MaiDim1+27)=5),MaiDim1+27,""))</f>
        <v>45437</v>
      </c>
      <c r="P20" s="7">
        <f>IF(DAY(MaiDim1)=1,IF(AND(YEAR(MaiDim1+21)=AnnéeCalendrier,MONTH(MaiDim1+21)=5),MaiDim1+21,""),IF(AND(YEAR(MaiDim1+28)=AnnéeCalendrier,MONTH(MaiDim1+28)=5),MaiDim1+28,""))</f>
        <v>45438</v>
      </c>
      <c r="Q20" s="4"/>
      <c r="R20" s="6">
        <f>IF(DAY(JunDim1)=1,IF(AND(YEAR(JunDim1+15)=AnnéeCalendrier,MONTH(JunDim1+15)=6),JunDim1+15,""),IF(AND(YEAR(JunDim1+22)=AnnéeCalendrier,MONTH(JunDim1+22)=6),JunDim1+22,""))</f>
        <v>45460</v>
      </c>
      <c r="S20" s="5">
        <f>IF(DAY(JunDim1)=1,IF(AND(YEAR(JunDim1+16)=AnnéeCalendrier,MONTH(JunDim1+16)=6),JunDim1+16,""),IF(AND(YEAR(JunDim1+23)=AnnéeCalendrier,MONTH(JunDim1+23)=6),JunDim1+23,""))</f>
        <v>45461</v>
      </c>
      <c r="T20" s="5">
        <f>IF(DAY(JunDim1)=1,IF(AND(YEAR(JunDim1+17)=AnnéeCalendrier,MONTH(JunDim1+17)=6),JunDim1+17,""),IF(AND(YEAR(JunDim1+24)=AnnéeCalendrier,MONTH(JunDim1+24)=6),JunDim1+24,""))</f>
        <v>45462</v>
      </c>
      <c r="U20" s="5">
        <f>IF(DAY(JunDim1)=1,IF(AND(YEAR(JunDim1+18)=AnnéeCalendrier,MONTH(JunDim1+18)=6),JunDim1+18,""),IF(AND(YEAR(JunDim1+25)=AnnéeCalendrier,MONTH(JunDim1+25)=6),JunDim1+25,""))</f>
        <v>45463</v>
      </c>
      <c r="V20" s="5">
        <f>IF(DAY(JunDim1)=1,IF(AND(YEAR(JunDim1+19)=AnnéeCalendrier,MONTH(JunDim1+19)=6),JunDim1+19,""),IF(AND(YEAR(JunDim1+26)=AnnéeCalendrier,MONTH(JunDim1+26)=6),JunDim1+26,""))</f>
        <v>45464</v>
      </c>
      <c r="W20" s="5">
        <f>IF(DAY(JunDim1)=1,IF(AND(YEAR(JunDim1+20)=AnnéeCalendrier,MONTH(JunDim1+20)=6),JunDim1+20,""),IF(AND(YEAR(JunDim1+27)=AnnéeCalendrier,MONTH(JunDim1+27)=6),JunDim1+27,""))</f>
        <v>45465</v>
      </c>
      <c r="X20" s="7">
        <f>IF(DAY(JunDim1)=1,IF(AND(YEAR(JunDim1+21)=AnnéeCalendrier,MONTH(JunDim1+21)=6),JunDim1+21,""),IF(AND(YEAR(JunDim1+28)=AnnéeCalendrier,MONTH(JunDim1+28)=6),JunDim1+28,""))</f>
        <v>45466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45411</v>
      </c>
      <c r="C21" s="5">
        <f>IF(DAY(AvrDim1)=1,IF(AND(YEAR(AvrDim1+23)=AnnéeCalendrier,MONTH(AvrDim1+23)=4),AvrDim1+23,""),IF(AND(YEAR(AvrDim1+30)=AnnéeCalendrier,MONTH(AvrDim1+30)=4),AvrDim1+30,""))</f>
        <v>45412</v>
      </c>
      <c r="D21" s="5" t="str">
        <f>IF(DAY(AvrDim1)=1,IF(AND(YEAR(AvrDim1+24)=AnnéeCalendrier,MONTH(AvrDim1+24)=4),AvrDim1+24,""),IF(AND(YEAR(AvrDim1+31)=AnnéeCalendrier,MONTH(AvrDim1+31)=4),AvrDim1+31,""))</f>
        <v/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45439</v>
      </c>
      <c r="K21" s="5">
        <f>IF(DAY(MaiDim1)=1,IF(AND(YEAR(MaiDim1+23)=AnnéeCalendrier,MONTH(MaiDim1+23)=5),MaiDim1+23,""),IF(AND(YEAR(MaiDim1+30)=AnnéeCalendrier,MONTH(MaiDim1+30)=5),MaiDim1+30,""))</f>
        <v>45440</v>
      </c>
      <c r="L21" s="5">
        <f>IF(DAY(MaiDim1)=1,IF(AND(YEAR(MaiDim1+24)=AnnéeCalendrier,MONTH(MaiDim1+24)=5),MaiDim1+24,""),IF(AND(YEAR(MaiDim1+31)=AnnéeCalendrier,MONTH(MaiDim1+31)=5),MaiDim1+31,""))</f>
        <v>45441</v>
      </c>
      <c r="M21" s="5">
        <f>IF(DAY(MaiDim1)=1,IF(AND(YEAR(MaiDim1+25)=AnnéeCalendrier,MONTH(MaiDim1+25)=5),MaiDim1+25,""),IF(AND(YEAR(MaiDim1+32)=AnnéeCalendrier,MONTH(MaiDim1+32)=5),MaiDim1+32,""))</f>
        <v>45442</v>
      </c>
      <c r="N21" s="5">
        <f>IF(DAY(MaiDim1)=1,IF(AND(YEAR(MaiDim1+26)=AnnéeCalendrier,MONTH(MaiDim1+26)=5),MaiDim1+26,""),IF(AND(YEAR(MaiDim1+33)=AnnéeCalendrier,MONTH(MaiDim1+33)=5),MaiDim1+33,""))</f>
        <v>45443</v>
      </c>
      <c r="O21" s="5" t="str">
        <f>IF(DAY(MaiDim1)=1,IF(AND(YEAR(MaiDim1+27)=AnnéeCalendrier,MONTH(MaiDim1+27)=5),MaiDim1+27,""),IF(AND(YEAR(MaiDim1+34)=AnnéeCalendrier,MONTH(MaiDim1+34)=5),MaiDim1+34,""))</f>
        <v/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45467</v>
      </c>
      <c r="S21" s="5">
        <f>IF(DAY(JunDim1)=1,IF(AND(YEAR(JunDim1+23)=AnnéeCalendrier,MONTH(JunDim1+23)=6),JunDim1+23,""),IF(AND(YEAR(JunDim1+30)=AnnéeCalendrier,MONTH(JunDim1+30)=6),JunDim1+30,""))</f>
        <v>45468</v>
      </c>
      <c r="T21" s="5">
        <f>IF(DAY(JunDim1)=1,IF(AND(YEAR(JunDim1+24)=AnnéeCalendrier,MONTH(JunDim1+24)=6),JunDim1+24,""),IF(AND(YEAR(JunDim1+31)=AnnéeCalendrier,MONTH(JunDim1+31)=6),JunDim1+31,""))</f>
        <v>45469</v>
      </c>
      <c r="U21" s="5">
        <f>IF(DAY(JunDim1)=1,IF(AND(YEAR(JunDim1+25)=AnnéeCalendrier,MONTH(JunDim1+25)=6),JunDim1+25,""),IF(AND(YEAR(JunDim1+32)=AnnéeCalendrier,MONTH(JunDim1+32)=6),JunDim1+32,""))</f>
        <v>45470</v>
      </c>
      <c r="V21" s="5">
        <f>IF(DAY(JunDim1)=1,IF(AND(YEAR(JunDim1+26)=AnnéeCalendrier,MONTH(JunDim1+26)=6),JunDim1+26,""),IF(AND(YEAR(JunDim1+33)=AnnéeCalendrier,MONTH(JunDim1+33)=6),JunDim1+33,""))</f>
        <v>45471</v>
      </c>
      <c r="W21" s="5">
        <f>IF(DAY(JunDim1)=1,IF(AND(YEAR(JunDim1+27)=AnnéeCalendrier,MONTH(JunDim1+27)=6),JunDim1+27,""),IF(AND(YEAR(JunDim1+34)=AnnéeCalendrier,MONTH(JunDim1+34)=6),JunDim1+34,""))</f>
        <v>45472</v>
      </c>
      <c r="X21" s="7">
        <f>IF(DAY(JunDim1)=1,IF(AND(YEAR(JunDim1+28)=AnnéeCalendrier,MONTH(JunDim1+28)=6),JunDim1+28,""),IF(AND(YEAR(JunDim1+35)=AnnéeCalendrier,MONTH(JunDim1+35)=6),JunDim1+35,""))</f>
        <v>45473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 t="str">
        <f>IF(DAY(JunDim1)=1,IF(AND(YEAR(JunDim1+29)=AnnéeCalendrier,MONTH(JunDim1+29)=6),JunDim1+29,""),IF(AND(YEAR(JunDim1+36)=AnnéeCalendrier,MONTH(JunDim1+36)=6),JunDim1+36,""))</f>
        <v/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>
        <f>IF(DAY(JulDim1)=1,"",IF(AND(YEAR(JulDim1+1)=AnnéeCalendrier,MONTH(JulDim1+1)=7),JulDim1+1,""))</f>
        <v>45474</v>
      </c>
      <c r="C26" s="5">
        <f>IF(DAY(JulDim1)=1,"",IF(AND(YEAR(JulDim1+2)=AnnéeCalendrier,MONTH(JulDim1+2)=7),JulDim1+2,""))</f>
        <v>45475</v>
      </c>
      <c r="D26" s="5">
        <f>IF(DAY(JulDim1)=1,"",IF(AND(YEAR(JulDim1+3)=AnnéeCalendrier,MONTH(JulDim1+3)=7),JulDim1+3,""))</f>
        <v>45476</v>
      </c>
      <c r="E26" s="5">
        <f>IF(DAY(JulDim1)=1,"",IF(AND(YEAR(JulDim1+4)=AnnéeCalendrier,MONTH(JulDim1+4)=7),JulDim1+4,""))</f>
        <v>45477</v>
      </c>
      <c r="F26" s="5">
        <f>IF(DAY(JulDim1)=1,"",IF(AND(YEAR(JulDim1+5)=AnnéeCalendrier,MONTH(JulDim1+5)=7),JulDim1+5,""))</f>
        <v>45478</v>
      </c>
      <c r="G26" s="5">
        <f>IF(DAY(JulDim1)=1,"",IF(AND(YEAR(JulDim1+6)=AnnéeCalendrier,MONTH(JulDim1+6)=7),JulDim1+6,""))</f>
        <v>45479</v>
      </c>
      <c r="H26" s="7">
        <f>IF(DAY(JulDim1)=1,IF(AND(YEAR(JulDim1)=AnnéeCalendrier,MONTH(JulDim1)=7),JulDim1,""),IF(AND(YEAR(JulDim1+7)=AnnéeCalendrier,MONTH(JulDim1+7)=7),JulDim1+7,""))</f>
        <v>45480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>
        <f>IF(DAY(AouDim1)=1,"",IF(AND(YEAR(AouDim1+4)=AnnéeCalendrier,MONTH(AouDim1+4)=8),AouDim1+4,""))</f>
        <v>45505</v>
      </c>
      <c r="N26" s="5">
        <f>IF(DAY(AouDim1)=1,"",IF(AND(YEAR(AouDim1+5)=AnnéeCalendrier,MONTH(AouDim1+5)=8),AouDim1+5,""))</f>
        <v>45506</v>
      </c>
      <c r="O26" s="5">
        <f>IF(DAY(AouDim1)=1,"",IF(AND(YEAR(AouDim1+6)=AnnéeCalendrier,MONTH(AouDim1+6)=8),AouDim1+6,""))</f>
        <v>45507</v>
      </c>
      <c r="P26" s="7">
        <f>IF(DAY(AouDim1)=1,IF(AND(YEAR(AouDim1)=AnnéeCalendrier,MONTH(AouDim1)=8),AouDim1,""),IF(AND(YEAR(AouDim1+7)=AnnéeCalendrier,MONTH(AouDim1+7)=8),AouDim1+7,""))</f>
        <v>45508</v>
      </c>
      <c r="Q26" s="1"/>
      <c r="R26" s="6" t="str">
        <f>IF(DAY(SepDim1)=1,"",IF(AND(YEAR(SepDim1+1)=AnnéeCalendrier,MONTH(SepDim1+1)=9),SepDim1+1,""))</f>
        <v/>
      </c>
      <c r="S26" s="5" t="str">
        <f>IF(DAY(SepDim1)=1,"",IF(AND(YEAR(SepDim1+2)=AnnéeCalendrier,MONTH(SepDim1+2)=9),SepDim1+2,""))</f>
        <v/>
      </c>
      <c r="T26" s="5" t="str">
        <f>IF(DAY(SepDim1)=1,"",IF(AND(YEAR(SepDim1+3)=AnnéeCalendrier,MONTH(SepDim1+3)=9),SepDim1+3,""))</f>
        <v/>
      </c>
      <c r="U26" s="5" t="str">
        <f>IF(DAY(SepDim1)=1,"",IF(AND(YEAR(SepDim1+4)=AnnéeCalendrier,MONTH(SepDim1+4)=9),SepDim1+4,""))</f>
        <v/>
      </c>
      <c r="V26" s="5" t="str">
        <f>IF(DAY(SepDim1)=1,"",IF(AND(YEAR(SepDim1+5)=AnnéeCalendrier,MONTH(SepDim1+5)=9),SepDim1+5,""))</f>
        <v/>
      </c>
      <c r="W26" s="5" t="str">
        <f>IF(DAY(SepDim1)=1,"",IF(AND(YEAR(SepDim1+6)=AnnéeCalendrier,MONTH(SepDim1+6)=9),SepDim1+6,""))</f>
        <v/>
      </c>
      <c r="X26" s="7">
        <f>IF(DAY(SepDim1)=1,IF(AND(YEAR(SepDim1)=AnnéeCalendrier,MONTH(SepDim1)=9),SepDim1,""),IF(AND(YEAR(SepDim1+7)=AnnéeCalendrier,MONTH(SepDim1+7)=9),SepDim1+7,""))</f>
        <v>45536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45481</v>
      </c>
      <c r="C27" s="5">
        <f>IF(DAY(JulDim1)=1,IF(AND(YEAR(JulDim1+2)=AnnéeCalendrier,MONTH(JulDim1+2)=7),JulDim1+2,""),IF(AND(YEAR(JulDim1+9)=AnnéeCalendrier,MONTH(JulDim1+9)=7),JulDim1+9,""))</f>
        <v>45482</v>
      </c>
      <c r="D27" s="5">
        <f>IF(DAY(JulDim1)=1,IF(AND(YEAR(JulDim1+3)=AnnéeCalendrier,MONTH(JulDim1+3)=7),JulDim1+3,""),IF(AND(YEAR(JulDim1+10)=AnnéeCalendrier,MONTH(JulDim1+10)=7),JulDim1+10,""))</f>
        <v>45483</v>
      </c>
      <c r="E27" s="5">
        <f>IF(DAY(JulDim1)=1,IF(AND(YEAR(JulDim1+4)=AnnéeCalendrier,MONTH(JulDim1+4)=7),JulDim1+4,""),IF(AND(YEAR(JulDim1+11)=AnnéeCalendrier,MONTH(JulDim1+11)=7),JulDim1+11,""))</f>
        <v>45484</v>
      </c>
      <c r="F27" s="5">
        <f>IF(DAY(JulDim1)=1,IF(AND(YEAR(JulDim1+5)=AnnéeCalendrier,MONTH(JulDim1+5)=7),JulDim1+5,""),IF(AND(YEAR(JulDim1+12)=AnnéeCalendrier,MONTH(JulDim1+12)=7),JulDim1+12,""))</f>
        <v>45485</v>
      </c>
      <c r="G27" s="5">
        <f>IF(DAY(JulDim1)=1,IF(AND(YEAR(JulDim1+6)=AnnéeCalendrier,MONTH(JulDim1+6)=7),JulDim1+6,""),IF(AND(YEAR(JulDim1+13)=AnnéeCalendrier,MONTH(JulDim1+13)=7),JulDim1+13,""))</f>
        <v>45486</v>
      </c>
      <c r="H27" s="7">
        <f>IF(DAY(JulDim1)=1,IF(AND(YEAR(JulDim1+7)=AnnéeCalendrier,MONTH(JulDim1+7)=7),JulDim1+7,""),IF(AND(YEAR(JulDim1+14)=AnnéeCalendrier,MONTH(JulDim1+14)=7),JulDim1+14,""))</f>
        <v>45487</v>
      </c>
      <c r="J27" s="6">
        <f>IF(DAY(AouDim1)=1,IF(AND(YEAR(AouDim1+1)=AnnéeCalendrier,MONTH(AouDim1+1)=8),AouDim1+1,""),IF(AND(YEAR(AouDim1+8)=AnnéeCalendrier,MONTH(AouDim1+8)=8),AouDim1+8,""))</f>
        <v>45509</v>
      </c>
      <c r="K27" s="5">
        <f>IF(DAY(AouDim1)=1,IF(AND(YEAR(AouDim1+2)=AnnéeCalendrier,MONTH(AouDim1+2)=8),AouDim1+2,""),IF(AND(YEAR(AouDim1+9)=AnnéeCalendrier,MONTH(AouDim1+9)=8),AouDim1+9,""))</f>
        <v>45510</v>
      </c>
      <c r="L27" s="5">
        <f>IF(DAY(AouDim1)=1,IF(AND(YEAR(AouDim1+3)=AnnéeCalendrier,MONTH(AouDim1+3)=8),AouDim1+3,""),IF(AND(YEAR(AouDim1+10)=AnnéeCalendrier,MONTH(AouDim1+10)=8),AouDim1+10,""))</f>
        <v>45511</v>
      </c>
      <c r="M27" s="5">
        <f>IF(DAY(AouDim1)=1,IF(AND(YEAR(AouDim1+4)=AnnéeCalendrier,MONTH(AouDim1+4)=8),AouDim1+4,""),IF(AND(YEAR(AouDim1+11)=AnnéeCalendrier,MONTH(AouDim1+11)=8),AouDim1+11,""))</f>
        <v>45512</v>
      </c>
      <c r="N27" s="5">
        <f>IF(DAY(AouDim1)=1,IF(AND(YEAR(AouDim1+5)=AnnéeCalendrier,MONTH(AouDim1+5)=8),AouDim1+5,""),IF(AND(YEAR(AouDim1+12)=AnnéeCalendrier,MONTH(AouDim1+12)=8),AouDim1+12,""))</f>
        <v>45513</v>
      </c>
      <c r="O27" s="5">
        <f>IF(DAY(AouDim1)=1,IF(AND(YEAR(AouDim1+6)=AnnéeCalendrier,MONTH(AouDim1+6)=8),AouDim1+6,""),IF(AND(YEAR(AouDim1+13)=AnnéeCalendrier,MONTH(AouDim1+13)=8),AouDim1+13,""))</f>
        <v>45514</v>
      </c>
      <c r="P27" s="7">
        <f>IF(DAY(AouDim1)=1,IF(AND(YEAR(AouDim1+7)=AnnéeCalendrier,MONTH(AouDim1+7)=8),AouDim1+7,""),IF(AND(YEAR(AouDim1+14)=AnnéeCalendrier,MONTH(AouDim1+14)=8),AouDim1+14,""))</f>
        <v>45515</v>
      </c>
      <c r="Q27" s="1"/>
      <c r="R27" s="6">
        <f>IF(DAY(SepDim1)=1,IF(AND(YEAR(SepDim1+1)=AnnéeCalendrier,MONTH(SepDim1+1)=9),SepDim1+1,""),IF(AND(YEAR(SepDim1+8)=AnnéeCalendrier,MONTH(SepDim1+8)=9),SepDim1+8,""))</f>
        <v>45537</v>
      </c>
      <c r="S27" s="5">
        <f>IF(DAY(SepDim1)=1,IF(AND(YEAR(SepDim1+2)=AnnéeCalendrier,MONTH(SepDim1+2)=9),SepDim1+2,""),IF(AND(YEAR(SepDim1+9)=AnnéeCalendrier,MONTH(SepDim1+9)=9),SepDim1+9,""))</f>
        <v>45538</v>
      </c>
      <c r="T27" s="5">
        <f>IF(DAY(SepDim1)=1,IF(AND(YEAR(SepDim1+3)=AnnéeCalendrier,MONTH(SepDim1+3)=9),SepDim1+3,""),IF(AND(YEAR(SepDim1+10)=AnnéeCalendrier,MONTH(SepDim1+10)=9),SepDim1+10,""))</f>
        <v>45539</v>
      </c>
      <c r="U27" s="5">
        <f>IF(DAY(SepDim1)=1,IF(AND(YEAR(SepDim1+4)=AnnéeCalendrier,MONTH(SepDim1+4)=9),SepDim1+4,""),IF(AND(YEAR(SepDim1+11)=AnnéeCalendrier,MONTH(SepDim1+11)=9),SepDim1+11,""))</f>
        <v>45540</v>
      </c>
      <c r="V27" s="5">
        <f>IF(DAY(SepDim1)=1,IF(AND(YEAR(SepDim1+5)=AnnéeCalendrier,MONTH(SepDim1+5)=9),SepDim1+5,""),IF(AND(YEAR(SepDim1+12)=AnnéeCalendrier,MONTH(SepDim1+12)=9),SepDim1+12,""))</f>
        <v>45541</v>
      </c>
      <c r="W27" s="5">
        <f>IF(DAY(SepDim1)=1,IF(AND(YEAR(SepDim1+6)=AnnéeCalendrier,MONTH(SepDim1+6)=9),SepDim1+6,""),IF(AND(YEAR(SepDim1+13)=AnnéeCalendrier,MONTH(SepDim1+13)=9),SepDim1+13,""))</f>
        <v>45542</v>
      </c>
      <c r="X27" s="7">
        <f>IF(DAY(SepDim1)=1,IF(AND(YEAR(SepDim1+7)=AnnéeCalendrier,MONTH(SepDim1+7)=9),SepDim1+7,""),IF(AND(YEAR(SepDim1+14)=AnnéeCalendrier,MONTH(SepDim1+14)=9),SepDim1+14,""))</f>
        <v>45543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45488</v>
      </c>
      <c r="C28" s="5">
        <f>IF(DAY(JulDim1)=1,IF(AND(YEAR(JulDim1+9)=AnnéeCalendrier,MONTH(JulDim1+9)=7),JulDim1+9,""),IF(AND(YEAR(JulDim1+16)=AnnéeCalendrier,MONTH(JulDim1+16)=7),JulDim1+16,""))</f>
        <v>45489</v>
      </c>
      <c r="D28" s="5">
        <f>IF(DAY(JulDim1)=1,IF(AND(YEAR(JulDim1+10)=AnnéeCalendrier,MONTH(JulDim1+10)=7),JulDim1+10,""),IF(AND(YEAR(JulDim1+17)=AnnéeCalendrier,MONTH(JulDim1+17)=7),JulDim1+17,""))</f>
        <v>45490</v>
      </c>
      <c r="E28" s="5">
        <f>IF(DAY(JulDim1)=1,IF(AND(YEAR(JulDim1+11)=AnnéeCalendrier,MONTH(JulDim1+11)=7),JulDim1+11,""),IF(AND(YEAR(JulDim1+18)=AnnéeCalendrier,MONTH(JulDim1+18)=7),JulDim1+18,""))</f>
        <v>45491</v>
      </c>
      <c r="F28" s="5">
        <f>IF(DAY(JulDim1)=1,IF(AND(YEAR(JulDim1+12)=AnnéeCalendrier,MONTH(JulDim1+12)=7),JulDim1+12,""),IF(AND(YEAR(JulDim1+19)=AnnéeCalendrier,MONTH(JulDim1+19)=7),JulDim1+19,""))</f>
        <v>45492</v>
      </c>
      <c r="G28" s="5">
        <f>IF(DAY(JulDim1)=1,IF(AND(YEAR(JulDim1+13)=AnnéeCalendrier,MONTH(JulDim1+13)=7),JulDim1+13,""),IF(AND(YEAR(JulDim1+20)=AnnéeCalendrier,MONTH(JulDim1+20)=7),JulDim1+20,""))</f>
        <v>45493</v>
      </c>
      <c r="H28" s="7">
        <f>IF(DAY(JulDim1)=1,IF(AND(YEAR(JulDim1+14)=AnnéeCalendrier,MONTH(JulDim1+14)=7),JulDim1+14,""),IF(AND(YEAR(JulDim1+21)=AnnéeCalendrier,MONTH(JulDim1+21)=7),JulDim1+21,""))</f>
        <v>45494</v>
      </c>
      <c r="J28" s="6">
        <f>IF(DAY(AouDim1)=1,IF(AND(YEAR(AouDim1+8)=AnnéeCalendrier,MONTH(AouDim1+8)=8),AouDim1+8,""),IF(AND(YEAR(AouDim1+15)=AnnéeCalendrier,MONTH(AouDim1+15)=8),AouDim1+15,""))</f>
        <v>45516</v>
      </c>
      <c r="K28" s="5">
        <f>IF(DAY(AouDim1)=1,IF(AND(YEAR(AouDim1+9)=AnnéeCalendrier,MONTH(AouDim1+9)=8),AouDim1+9,""),IF(AND(YEAR(AouDim1+16)=AnnéeCalendrier,MONTH(AouDim1+16)=8),AouDim1+16,""))</f>
        <v>45517</v>
      </c>
      <c r="L28" s="5">
        <f>IF(DAY(AouDim1)=1,IF(AND(YEAR(AouDim1+10)=AnnéeCalendrier,MONTH(AouDim1+10)=8),AouDim1+10,""),IF(AND(YEAR(AouDim1+17)=AnnéeCalendrier,MONTH(AouDim1+17)=8),AouDim1+17,""))</f>
        <v>45518</v>
      </c>
      <c r="M28" s="5">
        <f>IF(DAY(AouDim1)=1,IF(AND(YEAR(AouDim1+11)=AnnéeCalendrier,MONTH(AouDim1+11)=8),AouDim1+11,""),IF(AND(YEAR(AouDim1+18)=AnnéeCalendrier,MONTH(AouDim1+18)=8),AouDim1+18,""))</f>
        <v>45519</v>
      </c>
      <c r="N28" s="5">
        <f>IF(DAY(AouDim1)=1,IF(AND(YEAR(AouDim1+12)=AnnéeCalendrier,MONTH(AouDim1+12)=8),AouDim1+12,""),IF(AND(YEAR(AouDim1+19)=AnnéeCalendrier,MONTH(AouDim1+19)=8),AouDim1+19,""))</f>
        <v>45520</v>
      </c>
      <c r="O28" s="5">
        <f>IF(DAY(AouDim1)=1,IF(AND(YEAR(AouDim1+13)=AnnéeCalendrier,MONTH(AouDim1+13)=8),AouDim1+13,""),IF(AND(YEAR(AouDim1+20)=AnnéeCalendrier,MONTH(AouDim1+20)=8),AouDim1+20,""))</f>
        <v>45521</v>
      </c>
      <c r="P28" s="7">
        <f>IF(DAY(AouDim1)=1,IF(AND(YEAR(AouDim1+14)=AnnéeCalendrier,MONTH(AouDim1+14)=8),AouDim1+14,""),IF(AND(YEAR(AouDim1+21)=AnnéeCalendrier,MONTH(AouDim1+21)=8),AouDim1+21,""))</f>
        <v>45522</v>
      </c>
      <c r="Q28" s="1"/>
      <c r="R28" s="6">
        <f>IF(DAY(SepDim1)=1,IF(AND(YEAR(SepDim1+8)=AnnéeCalendrier,MONTH(SepDim1+8)=9),SepDim1+8,""),IF(AND(YEAR(SepDim1+15)=AnnéeCalendrier,MONTH(SepDim1+15)=9),SepDim1+15,""))</f>
        <v>45544</v>
      </c>
      <c r="S28" s="5">
        <f>IF(DAY(SepDim1)=1,IF(AND(YEAR(SepDim1+9)=AnnéeCalendrier,MONTH(SepDim1+9)=9),SepDim1+9,""),IF(AND(YEAR(SepDim1+16)=AnnéeCalendrier,MONTH(SepDim1+16)=9),SepDim1+16,""))</f>
        <v>45545</v>
      </c>
      <c r="T28" s="5">
        <f>IF(DAY(SepDim1)=1,IF(AND(YEAR(SepDim1+10)=AnnéeCalendrier,MONTH(SepDim1+10)=9),SepDim1+10,""),IF(AND(YEAR(SepDim1+17)=AnnéeCalendrier,MONTH(SepDim1+17)=9),SepDim1+17,""))</f>
        <v>45546</v>
      </c>
      <c r="U28" s="5">
        <f>IF(DAY(SepDim1)=1,IF(AND(YEAR(SepDim1+11)=AnnéeCalendrier,MONTH(SepDim1+11)=9),SepDim1+11,""),IF(AND(YEAR(SepDim1+18)=AnnéeCalendrier,MONTH(SepDim1+18)=9),SepDim1+18,""))</f>
        <v>45547</v>
      </c>
      <c r="V28" s="5">
        <f>IF(DAY(SepDim1)=1,IF(AND(YEAR(SepDim1+12)=AnnéeCalendrier,MONTH(SepDim1+12)=9),SepDim1+12,""),IF(AND(YEAR(SepDim1+19)=AnnéeCalendrier,MONTH(SepDim1+19)=9),SepDim1+19,""))</f>
        <v>45548</v>
      </c>
      <c r="W28" s="5">
        <f>IF(DAY(SepDim1)=1,IF(AND(YEAR(SepDim1+13)=AnnéeCalendrier,MONTH(SepDim1+13)=9),SepDim1+13,""),IF(AND(YEAR(SepDim1+20)=AnnéeCalendrier,MONTH(SepDim1+20)=9),SepDim1+20,""))</f>
        <v>45549</v>
      </c>
      <c r="X28" s="7">
        <f>IF(DAY(SepDim1)=1,IF(AND(YEAR(SepDim1+14)=AnnéeCalendrier,MONTH(SepDim1+14)=9),SepDim1+14,""),IF(AND(YEAR(SepDim1+21)=AnnéeCalendrier,MONTH(SepDim1+21)=9),SepDim1+21,""))</f>
        <v>45550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45495</v>
      </c>
      <c r="C29" s="5">
        <f>IF(DAY(JulDim1)=1,IF(AND(YEAR(JulDim1+16)=AnnéeCalendrier,MONTH(JulDim1+16)=7),JulDim1+16,""),IF(AND(YEAR(JulDim1+23)=AnnéeCalendrier,MONTH(JulDim1+23)=7),JulDim1+23,""))</f>
        <v>45496</v>
      </c>
      <c r="D29" s="5">
        <f>IF(DAY(JulDim1)=1,IF(AND(YEAR(JulDim1+17)=AnnéeCalendrier,MONTH(JulDim1+17)=7),JulDim1+17,""),IF(AND(YEAR(JulDim1+24)=AnnéeCalendrier,MONTH(JulDim1+24)=7),JulDim1+24,""))</f>
        <v>45497</v>
      </c>
      <c r="E29" s="5">
        <f>IF(DAY(JulDim1)=1,IF(AND(YEAR(JulDim1+18)=AnnéeCalendrier,MONTH(JulDim1+18)=7),JulDim1+18,""),IF(AND(YEAR(JulDim1+25)=AnnéeCalendrier,MONTH(JulDim1+25)=7),JulDim1+25,""))</f>
        <v>45498</v>
      </c>
      <c r="F29" s="5">
        <f>IF(DAY(JulDim1)=1,IF(AND(YEAR(JulDim1+19)=AnnéeCalendrier,MONTH(JulDim1+19)=7),JulDim1+19,""),IF(AND(YEAR(JulDim1+26)=AnnéeCalendrier,MONTH(JulDim1+26)=7),JulDim1+26,""))</f>
        <v>45499</v>
      </c>
      <c r="G29" s="5">
        <f>IF(DAY(JulDim1)=1,IF(AND(YEAR(JulDim1+20)=AnnéeCalendrier,MONTH(JulDim1+20)=7),JulDim1+20,""),IF(AND(YEAR(JulDim1+27)=AnnéeCalendrier,MONTH(JulDim1+27)=7),JulDim1+27,""))</f>
        <v>45500</v>
      </c>
      <c r="H29" s="7">
        <f>IF(DAY(JulDim1)=1,IF(AND(YEAR(JulDim1+21)=AnnéeCalendrier,MONTH(JulDim1+21)=7),JulDim1+21,""),IF(AND(YEAR(JulDim1+28)=AnnéeCalendrier,MONTH(JulDim1+28)=7),JulDim1+28,""))</f>
        <v>45501</v>
      </c>
      <c r="J29" s="6">
        <f>IF(DAY(AouDim1)=1,IF(AND(YEAR(AouDim1+15)=AnnéeCalendrier,MONTH(AouDim1+15)=8),AouDim1+15,""),IF(AND(YEAR(AouDim1+22)=AnnéeCalendrier,MONTH(AouDim1+22)=8),AouDim1+22,""))</f>
        <v>45523</v>
      </c>
      <c r="K29" s="5">
        <f>IF(DAY(AouDim1)=1,IF(AND(YEAR(AouDim1+16)=AnnéeCalendrier,MONTH(AouDim1+16)=8),AouDim1+16,""),IF(AND(YEAR(AouDim1+23)=AnnéeCalendrier,MONTH(AouDim1+23)=8),AouDim1+23,""))</f>
        <v>45524</v>
      </c>
      <c r="L29" s="5">
        <f>IF(DAY(AouDim1)=1,IF(AND(YEAR(AouDim1+17)=AnnéeCalendrier,MONTH(AouDim1+17)=8),AouDim1+17,""),IF(AND(YEAR(AouDim1+24)=AnnéeCalendrier,MONTH(AouDim1+24)=8),AouDim1+24,""))</f>
        <v>45525</v>
      </c>
      <c r="M29" s="5">
        <f>IF(DAY(AouDim1)=1,IF(AND(YEAR(AouDim1+18)=AnnéeCalendrier,MONTH(AouDim1+18)=8),AouDim1+18,""),IF(AND(YEAR(AouDim1+25)=AnnéeCalendrier,MONTH(AouDim1+25)=8),AouDim1+25,""))</f>
        <v>45526</v>
      </c>
      <c r="N29" s="5">
        <f>IF(DAY(AouDim1)=1,IF(AND(YEAR(AouDim1+19)=AnnéeCalendrier,MONTH(AouDim1+19)=8),AouDim1+19,""),IF(AND(YEAR(AouDim1+26)=AnnéeCalendrier,MONTH(AouDim1+26)=8),AouDim1+26,""))</f>
        <v>45527</v>
      </c>
      <c r="O29" s="5">
        <f>IF(DAY(AouDim1)=1,IF(AND(YEAR(AouDim1+20)=AnnéeCalendrier,MONTH(AouDim1+20)=8),AouDim1+20,""),IF(AND(YEAR(AouDim1+27)=AnnéeCalendrier,MONTH(AouDim1+27)=8),AouDim1+27,""))</f>
        <v>45528</v>
      </c>
      <c r="P29" s="7">
        <f>IF(DAY(AouDim1)=1,IF(AND(YEAR(AouDim1+21)=AnnéeCalendrier,MONTH(AouDim1+21)=8),AouDim1+21,""),IF(AND(YEAR(AouDim1+28)=AnnéeCalendrier,MONTH(AouDim1+28)=8),AouDim1+28,""))</f>
        <v>45529</v>
      </c>
      <c r="Q29" s="1"/>
      <c r="R29" s="6">
        <f>IF(DAY(SepDim1)=1,IF(AND(YEAR(SepDim1+15)=AnnéeCalendrier,MONTH(SepDim1+15)=9),SepDim1+15,""),IF(AND(YEAR(SepDim1+22)=AnnéeCalendrier,MONTH(SepDim1+22)=9),SepDim1+22,""))</f>
        <v>45551</v>
      </c>
      <c r="S29" s="5">
        <f>IF(DAY(SepDim1)=1,IF(AND(YEAR(SepDim1+16)=AnnéeCalendrier,MONTH(SepDim1+16)=9),SepDim1+16,""),IF(AND(YEAR(SepDim1+23)=AnnéeCalendrier,MONTH(SepDim1+23)=9),SepDim1+23,""))</f>
        <v>45552</v>
      </c>
      <c r="T29" s="5">
        <f>IF(DAY(SepDim1)=1,IF(AND(YEAR(SepDim1+17)=AnnéeCalendrier,MONTH(SepDim1+17)=9),SepDim1+17,""),IF(AND(YEAR(SepDim1+24)=AnnéeCalendrier,MONTH(SepDim1+24)=9),SepDim1+24,""))</f>
        <v>45553</v>
      </c>
      <c r="U29" s="5">
        <f>IF(DAY(SepDim1)=1,IF(AND(YEAR(SepDim1+18)=AnnéeCalendrier,MONTH(SepDim1+18)=9),SepDim1+18,""),IF(AND(YEAR(SepDim1+25)=AnnéeCalendrier,MONTH(SepDim1+25)=9),SepDim1+25,""))</f>
        <v>45554</v>
      </c>
      <c r="V29" s="5">
        <f>IF(DAY(SepDim1)=1,IF(AND(YEAR(SepDim1+19)=AnnéeCalendrier,MONTH(SepDim1+19)=9),SepDim1+19,""),IF(AND(YEAR(SepDim1+26)=AnnéeCalendrier,MONTH(SepDim1+26)=9),SepDim1+26,""))</f>
        <v>45555</v>
      </c>
      <c r="W29" s="5">
        <f>IF(DAY(SepDim1)=1,IF(AND(YEAR(SepDim1+20)=AnnéeCalendrier,MONTH(SepDim1+20)=9),SepDim1+20,""),IF(AND(YEAR(SepDim1+27)=AnnéeCalendrier,MONTH(SepDim1+27)=9),SepDim1+27,""))</f>
        <v>45556</v>
      </c>
      <c r="X29" s="7">
        <f>IF(DAY(SepDim1)=1,IF(AND(YEAR(SepDim1+21)=AnnéeCalendrier,MONTH(SepDim1+21)=9),SepDim1+21,""),IF(AND(YEAR(SepDim1+28)=AnnéeCalendrier,MONTH(SepDim1+28)=9),SepDim1+28,""))</f>
        <v>45557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45502</v>
      </c>
      <c r="C30" s="5">
        <f>IF(DAY(JulDim1)=1,IF(AND(YEAR(JulDim1+23)=AnnéeCalendrier,MONTH(JulDim1+23)=7),JulDim1+23,""),IF(AND(YEAR(JulDim1+30)=AnnéeCalendrier,MONTH(JulDim1+30)=7),JulDim1+30,""))</f>
        <v>45503</v>
      </c>
      <c r="D30" s="5">
        <f>IF(DAY(JulDim1)=1,IF(AND(YEAR(JulDim1+24)=AnnéeCalendrier,MONTH(JulDim1+24)=7),JulDim1+24,""),IF(AND(YEAR(JulDim1+31)=AnnéeCalendrier,MONTH(JulDim1+31)=7),JulDim1+31,""))</f>
        <v>45504</v>
      </c>
      <c r="E30" s="5" t="str">
        <f>IF(DAY(JulDim1)=1,IF(AND(YEAR(JulDim1+25)=AnnéeCalendrier,MONTH(JulDim1+25)=7),JulDim1+25,""),IF(AND(YEAR(JulDim1+32)=AnnéeCalendrier,MONTH(JulDim1+32)=7),JulDim1+32,""))</f>
        <v/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45530</v>
      </c>
      <c r="K30" s="5">
        <f>IF(DAY(AouDim1)=1,IF(AND(YEAR(AouDim1+23)=AnnéeCalendrier,MONTH(AouDim1+23)=8),AouDim1+23,""),IF(AND(YEAR(AouDim1+30)=AnnéeCalendrier,MONTH(AouDim1+30)=8),AouDim1+30,""))</f>
        <v>45531</v>
      </c>
      <c r="L30" s="5">
        <f>IF(DAY(AouDim1)=1,IF(AND(YEAR(AouDim1+24)=AnnéeCalendrier,MONTH(AouDim1+24)=8),AouDim1+24,""),IF(AND(YEAR(AouDim1+31)=AnnéeCalendrier,MONTH(AouDim1+31)=8),AouDim1+31,""))</f>
        <v>45532</v>
      </c>
      <c r="M30" s="5">
        <f>IF(DAY(AouDim1)=1,IF(AND(YEAR(AouDim1+25)=AnnéeCalendrier,MONTH(AouDim1+25)=8),AouDim1+25,""),IF(AND(YEAR(AouDim1+32)=AnnéeCalendrier,MONTH(AouDim1+32)=8),AouDim1+32,""))</f>
        <v>45533</v>
      </c>
      <c r="N30" s="5">
        <f>IF(DAY(AouDim1)=1,IF(AND(YEAR(AouDim1+26)=AnnéeCalendrier,MONTH(AouDim1+26)=8),AouDim1+26,""),IF(AND(YEAR(AouDim1+33)=AnnéeCalendrier,MONTH(AouDim1+33)=8),AouDim1+33,""))</f>
        <v>45534</v>
      </c>
      <c r="O30" s="5">
        <f>IF(DAY(AouDim1)=1,IF(AND(YEAR(AouDim1+27)=AnnéeCalendrier,MONTH(AouDim1+27)=8),AouDim1+27,""),IF(AND(YEAR(AouDim1+34)=AnnéeCalendrier,MONTH(AouDim1+34)=8),AouDim1+34,""))</f>
        <v>45535</v>
      </c>
      <c r="P30" s="7" t="str">
        <f>IF(DAY(AouDim1)=1,IF(AND(YEAR(AouDim1+28)=AnnéeCalendrier,MONTH(AouDim1+28)=8),AouDim1+28,""),IF(AND(YEAR(AouDim1+35)=AnnéeCalendrier,MONTH(AouDim1+35)=8),AouDim1+35,""))</f>
        <v/>
      </c>
      <c r="Q30" s="1"/>
      <c r="R30" s="6">
        <f>IF(DAY(SepDim1)=1,IF(AND(YEAR(SepDim1+22)=AnnéeCalendrier,MONTH(SepDim1+22)=9),SepDim1+22,""),IF(AND(YEAR(SepDim1+29)=AnnéeCalendrier,MONTH(SepDim1+29)=9),SepDim1+29,""))</f>
        <v>45558</v>
      </c>
      <c r="S30" s="5">
        <f>IF(DAY(SepDim1)=1,IF(AND(YEAR(SepDim1+23)=AnnéeCalendrier,MONTH(SepDim1+23)=9),SepDim1+23,""),IF(AND(YEAR(SepDim1+30)=AnnéeCalendrier,MONTH(SepDim1+30)=9),SepDim1+30,""))</f>
        <v>45559</v>
      </c>
      <c r="T30" s="5">
        <f>IF(DAY(SepDim1)=1,IF(AND(YEAR(SepDim1+24)=AnnéeCalendrier,MONTH(SepDim1+24)=9),SepDim1+24,""),IF(AND(YEAR(SepDim1+31)=AnnéeCalendrier,MONTH(SepDim1+31)=9),SepDim1+31,""))</f>
        <v>45560</v>
      </c>
      <c r="U30" s="5">
        <f>IF(DAY(SepDim1)=1,IF(AND(YEAR(SepDim1+25)=AnnéeCalendrier,MONTH(SepDim1+25)=9),SepDim1+25,""),IF(AND(YEAR(SepDim1+32)=AnnéeCalendrier,MONTH(SepDim1+32)=9),SepDim1+32,""))</f>
        <v>45561</v>
      </c>
      <c r="V30" s="5">
        <f>IF(DAY(SepDim1)=1,IF(AND(YEAR(SepDim1+26)=AnnéeCalendrier,MONTH(SepDim1+26)=9),SepDim1+26,""),IF(AND(YEAR(SepDim1+33)=AnnéeCalendrier,MONTH(SepDim1+33)=9),SepDim1+33,""))</f>
        <v>45562</v>
      </c>
      <c r="W30" s="5">
        <f>IF(DAY(SepDim1)=1,IF(AND(YEAR(SepDim1+27)=AnnéeCalendrier,MONTH(SepDim1+27)=9),SepDim1+27,""),IF(AND(YEAR(SepDim1+34)=AnnéeCalendrier,MONTH(SepDim1+34)=9),SepDim1+34,""))</f>
        <v>45563</v>
      </c>
      <c r="X30" s="7">
        <f>IF(DAY(SepDim1)=1,IF(AND(YEAR(SepDim1+28)=AnnéeCalendrier,MONTH(SepDim1+28)=9),SepDim1+28,""),IF(AND(YEAR(SepDim1+35)=AnnéeCalendrier,MONTH(SepDim1+35)=9),SepDim1+35,""))</f>
        <v>45564</v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>
        <f>IF(DAY(SepDim1)=1,IF(AND(YEAR(SepDim1+29)=AnnéeCalendrier,MONTH(SepDim1+29)=9),SepDim1+29,""),IF(AND(YEAR(SepDim1+36)=AnnéeCalendrier,MONTH(SepDim1+36)=9),SepDim1+36,""))</f>
        <v>45565</v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>
        <f>IF(DAY(OctDim1)=1,"",IF(AND(YEAR(OctDim1+2)=AnnéeCalendrier,MONTH(OctDim1+2)=10),OctDim1+2,""))</f>
        <v>45566</v>
      </c>
      <c r="D35" s="5">
        <f>IF(DAY(OctDim1)=1,"",IF(AND(YEAR(OctDim1+3)=AnnéeCalendrier,MONTH(OctDim1+3)=10),OctDim1+3,""))</f>
        <v>45567</v>
      </c>
      <c r="E35" s="5">
        <f>IF(DAY(OctDim1)=1,"",IF(AND(YEAR(OctDim1+4)=AnnéeCalendrier,MONTH(OctDim1+4)=10),OctDim1+4,""))</f>
        <v>45568</v>
      </c>
      <c r="F35" s="5">
        <f>IF(DAY(OctDim1)=1,"",IF(AND(YEAR(OctDim1+5)=AnnéeCalendrier,MONTH(OctDim1+5)=10),OctDim1+5,""))</f>
        <v>45569</v>
      </c>
      <c r="G35" s="5">
        <f>IF(DAY(OctDim1)=1,"",IF(AND(YEAR(OctDim1+6)=AnnéeCalendrier,MONTH(OctDim1+6)=10),OctDim1+6,""))</f>
        <v>45570</v>
      </c>
      <c r="H35" s="7">
        <f>IF(DAY(OctDim1)=1,IF(AND(YEAR(OctDim1)=AnnéeCalendrier,MONTH(OctDim1)=10),OctDim1,""),IF(AND(YEAR(OctDim1+7)=AnnéeCalendrier,MONTH(OctDim1+7)=10),OctDim1+7,""))</f>
        <v>45571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>
        <f>IF(DAY(NovDim1)=1,"",IF(AND(YEAR(NovDim1+5)=AnnéeCalendrier,MONTH(NovDim1+5)=11),NovDim1+5,""))</f>
        <v>45597</v>
      </c>
      <c r="O35" s="5">
        <f>IF(DAY(NovDim1)=1,"",IF(AND(YEAR(NovDim1+6)=AnnéeCalendrier,MONTH(NovDim1+6)=11),NovDim1+6,""))</f>
        <v>45598</v>
      </c>
      <c r="P35" s="7">
        <f>IF(DAY(NovDim1)=1,IF(AND(YEAR(NovDim1)=AnnéeCalendrier,MONTH(NovDim1)=11),NovDim1,""),IF(AND(YEAR(NovDim1+7)=AnnéeCalendrier,MONTH(NovDim1+7)=11),NovDim1+7,""))</f>
        <v>45599</v>
      </c>
      <c r="R35" s="6" t="str">
        <f>IF(DAY(DécDim1)=1,"",IF(AND(YEAR(DécDim1+1)=AnnéeCalendrier,MONTH(DécDim1+1)=12),DécDim1+1,""))</f>
        <v/>
      </c>
      <c r="S35" s="5" t="str">
        <f>IF(DAY(DécDim1)=1,"",IF(AND(YEAR(DécDim1+2)=AnnéeCalendrier,MONTH(DécDim1+2)=12),DécDim1+2,""))</f>
        <v/>
      </c>
      <c r="T35" s="5" t="str">
        <f>IF(DAY(DécDim1)=1,"",IF(AND(YEAR(DécDim1+3)=AnnéeCalendrier,MONTH(DécDim1+3)=12),DécDim1+3,""))</f>
        <v/>
      </c>
      <c r="U35" s="5" t="str">
        <f>IF(DAY(DécDim1)=1,"",IF(AND(YEAR(DécDim1+4)=AnnéeCalendrier,MONTH(DécDim1+4)=12),DécDim1+4,""))</f>
        <v/>
      </c>
      <c r="V35" s="5" t="str">
        <f>IF(DAY(DécDim1)=1,"",IF(AND(YEAR(DécDim1+5)=AnnéeCalendrier,MONTH(DécDim1+5)=12),DécDim1+5,""))</f>
        <v/>
      </c>
      <c r="W35" s="5" t="str">
        <f>IF(DAY(DécDim1)=1,"",IF(AND(YEAR(DécDim1+6)=AnnéeCalendrier,MONTH(DécDim1+6)=12),DécDim1+6,""))</f>
        <v/>
      </c>
      <c r="X35" s="7" t="str">
        <f>IF(DAY(DécDim1)=1,IF(AND(YEAR(DécDim1)=AnnéeCalendrier,MONTH(DécDim1)=12),DécDim1,""),IF(AND(YEAR(DécDim1+7)=AnnéeCalendrier,MONTH(DécDim1+7)=12),DécDim1+7,""))</f>
        <v/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45572</v>
      </c>
      <c r="C36" s="5">
        <f>IF(DAY(OctDim1)=1,IF(AND(YEAR(OctDim1+2)=AnnéeCalendrier,MONTH(OctDim1+2)=10),OctDim1+2,""),IF(AND(YEAR(OctDim1+9)=AnnéeCalendrier,MONTH(OctDim1+9)=10),OctDim1+9,""))</f>
        <v>45573</v>
      </c>
      <c r="D36" s="5">
        <f>IF(DAY(OctDim1)=1,IF(AND(YEAR(OctDim1+3)=AnnéeCalendrier,MONTH(OctDim1+3)=10),OctDim1+3,""),IF(AND(YEAR(OctDim1+10)=AnnéeCalendrier,MONTH(OctDim1+10)=10),OctDim1+10,""))</f>
        <v>45574</v>
      </c>
      <c r="E36" s="5">
        <f>IF(DAY(OctDim1)=1,IF(AND(YEAR(OctDim1+4)=AnnéeCalendrier,MONTH(OctDim1+4)=10),OctDim1+4,""),IF(AND(YEAR(OctDim1+11)=AnnéeCalendrier,MONTH(OctDim1+11)=10),OctDim1+11,""))</f>
        <v>45575</v>
      </c>
      <c r="F36" s="5">
        <f>IF(DAY(OctDim1)=1,IF(AND(YEAR(OctDim1+5)=AnnéeCalendrier,MONTH(OctDim1+5)=10),OctDim1+5,""),IF(AND(YEAR(OctDim1+12)=AnnéeCalendrier,MONTH(OctDim1+12)=10),OctDim1+12,""))</f>
        <v>45576</v>
      </c>
      <c r="G36" s="5">
        <f>IF(DAY(OctDim1)=1,IF(AND(YEAR(OctDim1+6)=AnnéeCalendrier,MONTH(OctDim1+6)=10),OctDim1+6,""),IF(AND(YEAR(OctDim1+13)=AnnéeCalendrier,MONTH(OctDim1+13)=10),OctDim1+13,""))</f>
        <v>45577</v>
      </c>
      <c r="H36" s="7">
        <f>IF(DAY(OctDim1)=1,IF(AND(YEAR(OctDim1+7)=AnnéeCalendrier,MONTH(OctDim1+7)=10),OctDim1+7,""),IF(AND(YEAR(OctDim1+14)=AnnéeCalendrier,MONTH(OctDim1+14)=10),OctDim1+14,""))</f>
        <v>45578</v>
      </c>
      <c r="I36" s="4"/>
      <c r="J36" s="6">
        <f>IF(DAY(NovDim1)=1,IF(AND(YEAR(NovDim1+1)=AnnéeCalendrier,MONTH(NovDim1+1)=11),NovDim1+1,""),IF(AND(YEAR(NovDim1+8)=AnnéeCalendrier,MONTH(NovDim1+8)=11),NovDim1+8,""))</f>
        <v>45600</v>
      </c>
      <c r="K36" s="5">
        <f>IF(DAY(NovDim1)=1,IF(AND(YEAR(NovDim1+2)=AnnéeCalendrier,MONTH(NovDim1+2)=11),NovDim1+2,""),IF(AND(YEAR(NovDim1+9)=AnnéeCalendrier,MONTH(NovDim1+9)=11),NovDim1+9,""))</f>
        <v>45601</v>
      </c>
      <c r="L36" s="5">
        <f>IF(DAY(NovDim1)=1,IF(AND(YEAR(NovDim1+3)=AnnéeCalendrier,MONTH(NovDim1+3)=11),NovDim1+3,""),IF(AND(YEAR(NovDim1+10)=AnnéeCalendrier,MONTH(NovDim1+10)=11),NovDim1+10,""))</f>
        <v>45602</v>
      </c>
      <c r="M36" s="5">
        <f>IF(DAY(NovDim1)=1,IF(AND(YEAR(NovDim1+4)=AnnéeCalendrier,MONTH(NovDim1+4)=11),NovDim1+4,""),IF(AND(YEAR(NovDim1+11)=AnnéeCalendrier,MONTH(NovDim1+11)=11),NovDim1+11,""))</f>
        <v>45603</v>
      </c>
      <c r="N36" s="5">
        <f>IF(DAY(NovDim1)=1,IF(AND(YEAR(NovDim1+5)=AnnéeCalendrier,MONTH(NovDim1+5)=11),NovDim1+5,""),IF(AND(YEAR(NovDim1+12)=AnnéeCalendrier,MONTH(NovDim1+12)=11),NovDim1+12,""))</f>
        <v>45604</v>
      </c>
      <c r="O36" s="5">
        <f>IF(DAY(NovDim1)=1,IF(AND(YEAR(NovDim1+6)=AnnéeCalendrier,MONTH(NovDim1+6)=11),NovDim1+6,""),IF(AND(YEAR(NovDim1+13)=AnnéeCalendrier,MONTH(NovDim1+13)=11),NovDim1+13,""))</f>
        <v>45605</v>
      </c>
      <c r="P36" s="7">
        <f>IF(DAY(NovDim1)=1,IF(AND(YEAR(NovDim1+7)=AnnéeCalendrier,MONTH(NovDim1+7)=11),NovDim1+7,""),IF(AND(YEAR(NovDim1+14)=AnnéeCalendrier,MONTH(NovDim1+14)=11),NovDim1+14,""))</f>
        <v>45606</v>
      </c>
      <c r="R36" s="6" t="str">
        <f>IF(DAY(DécDim1)=1,IF(AND(YEAR(DécDim1+1)=AnnéeCalendrier,MONTH(DécDim1+1)=12),DécDim1+1,""),IF(AND(YEAR(DécDim1+8)=AnnéeCalendrier,MONTH(DécDim1+8)=12),DécDim1+8,""))</f>
        <v/>
      </c>
      <c r="S36" s="5" t="str">
        <f>IF(DAY(DécDim1)=1,IF(AND(YEAR(DécDim1+2)=AnnéeCalendrier,MONTH(DécDim1+2)=12),DécDim1+2,""),IF(AND(YEAR(DécDim1+9)=AnnéeCalendrier,MONTH(DécDim1+9)=12),DécDim1+9,""))</f>
        <v/>
      </c>
      <c r="T36" s="5" t="str">
        <f>IF(DAY(DécDim1)=1,IF(AND(YEAR(DécDim1+3)=AnnéeCalendrier,MONTH(DécDim1+3)=12),DécDim1+3,""),IF(AND(YEAR(DécDim1+10)=AnnéeCalendrier,MONTH(DécDim1+10)=12),DécDim1+10,""))</f>
        <v/>
      </c>
      <c r="U36" s="5" t="str">
        <f>IF(DAY(DécDim1)=1,IF(AND(YEAR(DécDim1+4)=AnnéeCalendrier,MONTH(DécDim1+4)=12),DécDim1+4,""),IF(AND(YEAR(DécDim1+11)=AnnéeCalendrier,MONTH(DécDim1+11)=12),DécDim1+11,""))</f>
        <v/>
      </c>
      <c r="V36" s="5" t="str">
        <f>IF(DAY(DécDim1)=1,IF(AND(YEAR(DécDim1+5)=AnnéeCalendrier,MONTH(DécDim1+5)=12),DécDim1+5,""),IF(AND(YEAR(DécDim1+12)=AnnéeCalendrier,MONTH(DécDim1+12)=12),DécDim1+12,""))</f>
        <v/>
      </c>
      <c r="W36" s="5" t="str">
        <f>IF(DAY(DécDim1)=1,IF(AND(YEAR(DécDim1+6)=AnnéeCalendrier,MONTH(DécDim1+6)=12),DécDim1+6,""),IF(AND(YEAR(DécDim1+13)=AnnéeCalendrier,MONTH(DécDim1+13)=12),DécDim1+13,""))</f>
        <v/>
      </c>
      <c r="X36" s="7" t="str">
        <f>IF(DAY(DécDim1)=1,IF(AND(YEAR(DécDim1+7)=AnnéeCalendrier,MONTH(DécDim1+7)=12),DécDim1+7,""),IF(AND(YEAR(DécDim1+14)=AnnéeCalendrier,MONTH(DécDim1+14)=12),DécDim1+14,""))</f>
        <v/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45579</v>
      </c>
      <c r="C37" s="5">
        <f>IF(DAY(OctDim1)=1,IF(AND(YEAR(OctDim1+9)=AnnéeCalendrier,MONTH(OctDim1+9)=10),OctDim1+9,""),IF(AND(YEAR(OctDim1+16)=AnnéeCalendrier,MONTH(OctDim1+16)=10),OctDim1+16,""))</f>
        <v>45580</v>
      </c>
      <c r="D37" s="5">
        <f>IF(DAY(OctDim1)=1,IF(AND(YEAR(OctDim1+10)=AnnéeCalendrier,MONTH(OctDim1+10)=10),OctDim1+10,""),IF(AND(YEAR(OctDim1+17)=AnnéeCalendrier,MONTH(OctDim1+17)=10),OctDim1+17,""))</f>
        <v>45581</v>
      </c>
      <c r="E37" s="5">
        <f>IF(DAY(OctDim1)=1,IF(AND(YEAR(OctDim1+11)=AnnéeCalendrier,MONTH(OctDim1+11)=10),OctDim1+11,""),IF(AND(YEAR(OctDim1+18)=AnnéeCalendrier,MONTH(OctDim1+18)=10),OctDim1+18,""))</f>
        <v>45582</v>
      </c>
      <c r="F37" s="5">
        <f>IF(DAY(OctDim1)=1,IF(AND(YEAR(OctDim1+12)=AnnéeCalendrier,MONTH(OctDim1+12)=10),OctDim1+12,""),IF(AND(YEAR(OctDim1+19)=AnnéeCalendrier,MONTH(OctDim1+19)=10),OctDim1+19,""))</f>
        <v>45583</v>
      </c>
      <c r="G37" s="5">
        <f>IF(DAY(OctDim1)=1,IF(AND(YEAR(OctDim1+13)=AnnéeCalendrier,MONTH(OctDim1+13)=10),OctDim1+13,""),IF(AND(YEAR(OctDim1+20)=AnnéeCalendrier,MONTH(OctDim1+20)=10),OctDim1+20,""))</f>
        <v>45584</v>
      </c>
      <c r="H37" s="7">
        <f>IF(DAY(OctDim1)=1,IF(AND(YEAR(OctDim1+14)=AnnéeCalendrier,MONTH(OctDim1+14)=10),OctDim1+14,""),IF(AND(YEAR(OctDim1+21)=AnnéeCalendrier,MONTH(OctDim1+21)=10),OctDim1+21,""))</f>
        <v>45585</v>
      </c>
      <c r="I37" s="4"/>
      <c r="J37" s="6">
        <f>IF(DAY(NovDim1)=1,IF(AND(YEAR(NovDim1+8)=AnnéeCalendrier,MONTH(NovDim1+8)=11),NovDim1+8,""),IF(AND(YEAR(NovDim1+15)=AnnéeCalendrier,MONTH(NovDim1+15)=11),NovDim1+15,""))</f>
        <v>45607</v>
      </c>
      <c r="K37" s="5">
        <f>IF(DAY(NovDim1)=1,IF(AND(YEAR(NovDim1+9)=AnnéeCalendrier,MONTH(NovDim1+9)=11),NovDim1+9,""),IF(AND(YEAR(NovDim1+16)=AnnéeCalendrier,MONTH(NovDim1+16)=11),NovDim1+16,""))</f>
        <v>45608</v>
      </c>
      <c r="L37" s="5">
        <f>IF(DAY(NovDim1)=1,IF(AND(YEAR(NovDim1+10)=AnnéeCalendrier,MONTH(NovDim1+10)=11),NovDim1+10,""),IF(AND(YEAR(NovDim1+17)=AnnéeCalendrier,MONTH(NovDim1+17)=11),NovDim1+17,""))</f>
        <v>45609</v>
      </c>
      <c r="M37" s="5">
        <f>IF(DAY(NovDim1)=1,IF(AND(YEAR(NovDim1+11)=AnnéeCalendrier,MONTH(NovDim1+11)=11),NovDim1+11,""),IF(AND(YEAR(NovDim1+18)=AnnéeCalendrier,MONTH(NovDim1+18)=11),NovDim1+18,""))</f>
        <v>45610</v>
      </c>
      <c r="N37" s="5">
        <f>IF(DAY(NovDim1)=1,IF(AND(YEAR(NovDim1+12)=AnnéeCalendrier,MONTH(NovDim1+12)=11),NovDim1+12,""),IF(AND(YEAR(NovDim1+19)=AnnéeCalendrier,MONTH(NovDim1+19)=11),NovDim1+19,""))</f>
        <v>45611</v>
      </c>
      <c r="O37" s="5">
        <f>IF(DAY(NovDim1)=1,IF(AND(YEAR(NovDim1+13)=AnnéeCalendrier,MONTH(NovDim1+13)=11),NovDim1+13,""),IF(AND(YEAR(NovDim1+20)=AnnéeCalendrier,MONTH(NovDim1+20)=11),NovDim1+20,""))</f>
        <v>45612</v>
      </c>
      <c r="P37" s="7">
        <f>IF(DAY(NovDim1)=1,IF(AND(YEAR(NovDim1+14)=AnnéeCalendrier,MONTH(NovDim1+14)=11),NovDim1+14,""),IF(AND(YEAR(NovDim1+21)=AnnéeCalendrier,MONTH(NovDim1+21)=11),NovDim1+21,""))</f>
        <v>45613</v>
      </c>
      <c r="R37" s="6" t="str">
        <f>IF(DAY(DécDim1)=1,IF(AND(YEAR(DécDim1+8)=AnnéeCalendrier,MONTH(DécDim1+8)=12),DécDim1+8,""),IF(AND(YEAR(DécDim1+15)=AnnéeCalendrier,MONTH(DécDim1+15)=12),DécDim1+15,""))</f>
        <v/>
      </c>
      <c r="S37" s="5" t="str">
        <f>IF(DAY(DécDim1)=1,IF(AND(YEAR(DécDim1+9)=AnnéeCalendrier,MONTH(DécDim1+9)=12),DécDim1+9,""),IF(AND(YEAR(DécDim1+16)=AnnéeCalendrier,MONTH(DécDim1+16)=12),DécDim1+16,""))</f>
        <v/>
      </c>
      <c r="T37" s="5" t="str">
        <f>IF(DAY(DécDim1)=1,IF(AND(YEAR(DécDim1+10)=AnnéeCalendrier,MONTH(DécDim1+10)=12),DécDim1+10,""),IF(AND(YEAR(DécDim1+17)=AnnéeCalendrier,MONTH(DécDim1+17)=12),DécDim1+17,""))</f>
        <v/>
      </c>
      <c r="U37" s="5" t="str">
        <f>IF(DAY(DécDim1)=1,IF(AND(YEAR(DécDim1+11)=AnnéeCalendrier,MONTH(DécDim1+11)=12),DécDim1+11,""),IF(AND(YEAR(DécDim1+18)=AnnéeCalendrier,MONTH(DécDim1+18)=12),DécDim1+18,""))</f>
        <v/>
      </c>
      <c r="V37" s="5" t="str">
        <f>IF(DAY(DécDim1)=1,IF(AND(YEAR(DécDim1+12)=AnnéeCalendrier,MONTH(DécDim1+12)=12),DécDim1+12,""),IF(AND(YEAR(DécDim1+19)=AnnéeCalendrier,MONTH(DécDim1+19)=12),DécDim1+19,""))</f>
        <v/>
      </c>
      <c r="W37" s="5" t="str">
        <f>IF(DAY(DécDim1)=1,IF(AND(YEAR(DécDim1+13)=AnnéeCalendrier,MONTH(DécDim1+13)=12),DécDim1+13,""),IF(AND(YEAR(DécDim1+20)=AnnéeCalendrier,MONTH(DécDim1+20)=12),DécDim1+20,""))</f>
        <v/>
      </c>
      <c r="X37" s="7" t="str">
        <f>IF(DAY(DécDim1)=1,IF(AND(YEAR(DécDim1+14)=AnnéeCalendrier,MONTH(DécDim1+14)=12),DécDim1+14,""),IF(AND(YEAR(DécDim1+21)=AnnéeCalendrier,MONTH(DécDim1+21)=12),DécDim1+21,""))</f>
        <v/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45586</v>
      </c>
      <c r="C38" s="5">
        <f>IF(DAY(OctDim1)=1,IF(AND(YEAR(OctDim1+16)=AnnéeCalendrier,MONTH(OctDim1+16)=10),OctDim1+16,""),IF(AND(YEAR(OctDim1+23)=AnnéeCalendrier,MONTH(OctDim1+23)=10),OctDim1+23,""))</f>
        <v>45587</v>
      </c>
      <c r="D38" s="5">
        <f>IF(DAY(OctDim1)=1,IF(AND(YEAR(OctDim1+17)=AnnéeCalendrier,MONTH(OctDim1+17)=10),OctDim1+17,""),IF(AND(YEAR(OctDim1+24)=AnnéeCalendrier,MONTH(OctDim1+24)=10),OctDim1+24,""))</f>
        <v>45588</v>
      </c>
      <c r="E38" s="5">
        <f>IF(DAY(OctDim1)=1,IF(AND(YEAR(OctDim1+18)=AnnéeCalendrier,MONTH(OctDim1+18)=10),OctDim1+18,""),IF(AND(YEAR(OctDim1+25)=AnnéeCalendrier,MONTH(OctDim1+25)=10),OctDim1+25,""))</f>
        <v>45589</v>
      </c>
      <c r="F38" s="5">
        <f>IF(DAY(OctDim1)=1,IF(AND(YEAR(OctDim1+19)=AnnéeCalendrier,MONTH(OctDim1+19)=10),OctDim1+19,""),IF(AND(YEAR(OctDim1+26)=AnnéeCalendrier,MONTH(OctDim1+26)=10),OctDim1+26,""))</f>
        <v>45590</v>
      </c>
      <c r="G38" s="5">
        <f>IF(DAY(OctDim1)=1,IF(AND(YEAR(OctDim1+20)=AnnéeCalendrier,MONTH(OctDim1+20)=10),OctDim1+20,""),IF(AND(YEAR(OctDim1+27)=AnnéeCalendrier,MONTH(OctDim1+27)=10),OctDim1+27,""))</f>
        <v>45591</v>
      </c>
      <c r="H38" s="7">
        <f>IF(DAY(OctDim1)=1,IF(AND(YEAR(OctDim1+21)=AnnéeCalendrier,MONTH(OctDim1+21)=10),OctDim1+21,""),IF(AND(YEAR(OctDim1+28)=AnnéeCalendrier,MONTH(OctDim1+28)=10),OctDim1+28,""))</f>
        <v>45592</v>
      </c>
      <c r="I38" s="4"/>
      <c r="J38" s="6">
        <f>IF(DAY(NovDim1)=1,IF(AND(YEAR(NovDim1+15)=AnnéeCalendrier,MONTH(NovDim1+15)=11),NovDim1+15,""),IF(AND(YEAR(NovDim1+22)=AnnéeCalendrier,MONTH(NovDim1+22)=11),NovDim1+22,""))</f>
        <v>45614</v>
      </c>
      <c r="K38" s="5">
        <f>IF(DAY(NovDim1)=1,IF(AND(YEAR(NovDim1+16)=AnnéeCalendrier,MONTH(NovDim1+16)=11),NovDim1+16,""),IF(AND(YEAR(NovDim1+23)=AnnéeCalendrier,MONTH(NovDim1+23)=11),NovDim1+23,""))</f>
        <v>45615</v>
      </c>
      <c r="L38" s="5">
        <f>IF(DAY(NovDim1)=1,IF(AND(YEAR(NovDim1+17)=AnnéeCalendrier,MONTH(NovDim1+17)=11),NovDim1+17,""),IF(AND(YEAR(NovDim1+24)=AnnéeCalendrier,MONTH(NovDim1+24)=11),NovDim1+24,""))</f>
        <v>45616</v>
      </c>
      <c r="M38" s="5">
        <f>IF(DAY(NovDim1)=1,IF(AND(YEAR(NovDim1+18)=AnnéeCalendrier,MONTH(NovDim1+18)=11),NovDim1+18,""),IF(AND(YEAR(NovDim1+25)=AnnéeCalendrier,MONTH(NovDim1+25)=11),NovDim1+25,""))</f>
        <v>45617</v>
      </c>
      <c r="N38" s="5">
        <f>IF(DAY(NovDim1)=1,IF(AND(YEAR(NovDim1+19)=AnnéeCalendrier,MONTH(NovDim1+19)=11),NovDim1+19,""),IF(AND(YEAR(NovDim1+26)=AnnéeCalendrier,MONTH(NovDim1+26)=11),NovDim1+26,""))</f>
        <v>45618</v>
      </c>
      <c r="O38" s="5">
        <f>IF(DAY(NovDim1)=1,IF(AND(YEAR(NovDim1+20)=AnnéeCalendrier,MONTH(NovDim1+20)=11),NovDim1+20,""),IF(AND(YEAR(NovDim1+27)=AnnéeCalendrier,MONTH(NovDim1+27)=11),NovDim1+27,""))</f>
        <v>45619</v>
      </c>
      <c r="P38" s="7">
        <f>IF(DAY(NovDim1)=1,IF(AND(YEAR(NovDim1+21)=AnnéeCalendrier,MONTH(NovDim1+21)=11),NovDim1+21,""),IF(AND(YEAR(NovDim1+28)=AnnéeCalendrier,MONTH(NovDim1+28)=11),NovDim1+28,""))</f>
        <v>45620</v>
      </c>
      <c r="R38" s="6" t="str">
        <f>IF(DAY(DécDim1)=1,IF(AND(YEAR(DécDim1+15)=AnnéeCalendrier,MONTH(DécDim1+15)=12),DécDim1+15,""),IF(AND(YEAR(DécDim1+22)=AnnéeCalendrier,MONTH(DécDim1+22)=12),DécDim1+22,""))</f>
        <v/>
      </c>
      <c r="S38" s="5" t="str">
        <f>IF(DAY(DécDim1)=1,IF(AND(YEAR(DécDim1+16)=AnnéeCalendrier,MONTH(DécDim1+16)=12),DécDim1+16,""),IF(AND(YEAR(DécDim1+23)=AnnéeCalendrier,MONTH(DécDim1+23)=12),DécDim1+23,""))</f>
        <v/>
      </c>
      <c r="T38" s="5" t="str">
        <f>IF(DAY(DécDim1)=1,IF(AND(YEAR(DécDim1+17)=AnnéeCalendrier,MONTH(DécDim1+17)=12),DécDim1+17,""),IF(AND(YEAR(DécDim1+24)=AnnéeCalendrier,MONTH(DécDim1+24)=12),DécDim1+24,""))</f>
        <v/>
      </c>
      <c r="U38" s="5" t="str">
        <f>IF(DAY(DécDim1)=1,IF(AND(YEAR(DécDim1+18)=AnnéeCalendrier,MONTH(DécDim1+18)=12),DécDim1+18,""),IF(AND(YEAR(DécDim1+25)=AnnéeCalendrier,MONTH(DécDim1+25)=12),DécDim1+25,""))</f>
        <v/>
      </c>
      <c r="V38" s="5" t="str">
        <f>IF(DAY(DécDim1)=1,IF(AND(YEAR(DécDim1+19)=AnnéeCalendrier,MONTH(DécDim1+19)=12),DécDim1+19,""),IF(AND(YEAR(DécDim1+26)=AnnéeCalendrier,MONTH(DécDim1+26)=12),DécDim1+26,""))</f>
        <v/>
      </c>
      <c r="W38" s="5" t="str">
        <f>IF(DAY(DécDim1)=1,IF(AND(YEAR(DécDim1+20)=AnnéeCalendrier,MONTH(DécDim1+20)=12),DécDim1+20,""),IF(AND(YEAR(DécDim1+27)=AnnéeCalendrier,MONTH(DécDim1+27)=12),DécDim1+27,""))</f>
        <v/>
      </c>
      <c r="X38" s="7" t="str">
        <f>IF(DAY(DécDim1)=1,IF(AND(YEAR(DécDim1+21)=AnnéeCalendrier,MONTH(DécDim1+21)=12),DécDim1+21,""),IF(AND(YEAR(DécDim1+28)=AnnéeCalendrier,MONTH(DécDim1+28)=12),DécDim1+28,""))</f>
        <v/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45593</v>
      </c>
      <c r="C39" s="5">
        <f>IF(DAY(OctDim1)=1,IF(AND(YEAR(OctDim1+23)=AnnéeCalendrier,MONTH(OctDim1+23)=10),OctDim1+23,""),IF(AND(YEAR(OctDim1+30)=AnnéeCalendrier,MONTH(OctDim1+30)=10),OctDim1+30,""))</f>
        <v>45594</v>
      </c>
      <c r="D39" s="5">
        <f>IF(DAY(OctDim1)=1,IF(AND(YEAR(OctDim1+24)=AnnéeCalendrier,MONTH(OctDim1+24)=10),OctDim1+24,""),IF(AND(YEAR(OctDim1+31)=AnnéeCalendrier,MONTH(OctDim1+31)=10),OctDim1+31,""))</f>
        <v>45595</v>
      </c>
      <c r="E39" s="5">
        <f>IF(DAY(OctDim1)=1,IF(AND(YEAR(OctDim1+25)=AnnéeCalendrier,MONTH(OctDim1+25)=10),OctDim1+25,""),IF(AND(YEAR(OctDim1+32)=AnnéeCalendrier,MONTH(OctDim1+32)=10),OctDim1+32,""))</f>
        <v>45596</v>
      </c>
      <c r="F39" s="5" t="str">
        <f>IF(DAY(OctDim1)=1,IF(AND(YEAR(OctDim1+26)=AnnéeCalendrier,MONTH(OctDim1+26)=10),OctDim1+26,""),IF(AND(YEAR(OctDim1+33)=AnnéeCalendrier,MONTH(OctDim1+33)=10),OctDim1+33,""))</f>
        <v/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45621</v>
      </c>
      <c r="K39" s="5">
        <f>IF(DAY(NovDim1)=1,IF(AND(YEAR(NovDim1+23)=AnnéeCalendrier,MONTH(NovDim1+23)=11),NovDim1+23,""),IF(AND(YEAR(NovDim1+30)=AnnéeCalendrier,MONTH(NovDim1+30)=11),NovDim1+30,""))</f>
        <v>45622</v>
      </c>
      <c r="L39" s="5">
        <f>IF(DAY(NovDim1)=1,IF(AND(YEAR(NovDim1+24)=AnnéeCalendrier,MONTH(NovDim1+24)=11),NovDim1+24,""),IF(AND(YEAR(NovDim1+31)=AnnéeCalendrier,MONTH(NovDim1+31)=11),NovDim1+31,""))</f>
        <v>45623</v>
      </c>
      <c r="M39" s="5">
        <f>IF(DAY(NovDim1)=1,IF(AND(YEAR(NovDim1+25)=AnnéeCalendrier,MONTH(NovDim1+25)=11),NovDim1+25,""),IF(AND(YEAR(NovDim1+32)=AnnéeCalendrier,MONTH(NovDim1+32)=11),NovDim1+32,""))</f>
        <v>45624</v>
      </c>
      <c r="N39" s="5">
        <f>IF(DAY(NovDim1)=1,IF(AND(YEAR(NovDim1+26)=AnnéeCalendrier,MONTH(NovDim1+26)=11),NovDim1+26,""),IF(AND(YEAR(NovDim1+33)=AnnéeCalendrier,MONTH(NovDim1+33)=11),NovDim1+33,""))</f>
        <v>45625</v>
      </c>
      <c r="O39" s="5">
        <f>IF(DAY(NovDim1)=1,IF(AND(YEAR(NovDim1+27)=AnnéeCalendrier,MONTH(NovDim1+27)=11),NovDim1+27,""),IF(AND(YEAR(NovDim1+34)=AnnéeCalendrier,MONTH(NovDim1+34)=11),NovDim1+34,""))</f>
        <v>45626</v>
      </c>
      <c r="P39" s="7" t="str">
        <f>IF(DAY(NovDim1)=1,IF(AND(YEAR(NovDim1+28)=AnnéeCalendrier,MONTH(NovDim1+28)=11),NovDim1+28,""),IF(AND(YEAR(NovDim1+35)=AnnéeCalendrier,MONTH(NovDim1+35)=11),NovDim1+35,""))</f>
        <v/>
      </c>
      <c r="R39" s="6" t="str">
        <f>IF(DAY(DécDim1)=1,IF(AND(YEAR(DécDim1+22)=AnnéeCalendrier,MONTH(DécDim1+22)=12),DécDim1+22,""),IF(AND(YEAR(DécDim1+29)=AnnéeCalendrier,MONTH(DécDim1+29)=12),DécDim1+29,""))</f>
        <v/>
      </c>
      <c r="S39" s="5" t="str">
        <f>IF(DAY(DécDim1)=1,IF(AND(YEAR(DécDim1+23)=AnnéeCalendrier,MONTH(DécDim1+23)=12),DécDim1+23,""),IF(AND(YEAR(DécDim1+30)=AnnéeCalendrier,MONTH(DécDim1+30)=12),DécDim1+30,""))</f>
        <v/>
      </c>
      <c r="T39" s="5" t="str">
        <f>IF(DAY(DécDim1)=1,IF(AND(YEAR(DécDim1+24)=AnnéeCalendrier,MONTH(DécDim1+24)=12),DécDim1+24,""),IF(AND(YEAR(DécDim1+31)=AnnéeCalendrier,MONTH(DécDim1+31)=12),DécDim1+31,""))</f>
        <v/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871" priority="1">
      <formula>LEN(TRIM(B8))&gt;0</formula>
    </cfRule>
  </conditionalFormatting>
  <conditionalFormatting sqref="J8:P13">
    <cfRule type="notContainsBlanks" dxfId="870" priority="2">
      <formula>LEN(TRIM(J8))&gt;0</formula>
    </cfRule>
  </conditionalFormatting>
  <conditionalFormatting sqref="R8:X13">
    <cfRule type="notContainsBlanks" dxfId="869" priority="3">
      <formula>LEN(TRIM(R8))&gt;0</formula>
    </cfRule>
  </conditionalFormatting>
  <conditionalFormatting sqref="B17:H22">
    <cfRule type="notContainsBlanks" dxfId="868" priority="4">
      <formula>LEN(TRIM(B17))&gt;0</formula>
    </cfRule>
  </conditionalFormatting>
  <conditionalFormatting sqref="J17:P22">
    <cfRule type="notContainsBlanks" dxfId="867" priority="5">
      <formula>LEN(TRIM(J17))&gt;0</formula>
    </cfRule>
  </conditionalFormatting>
  <conditionalFormatting sqref="R17:X22">
    <cfRule type="notContainsBlanks" dxfId="866" priority="6">
      <formula>LEN(TRIM(R17))&gt;0</formula>
    </cfRule>
  </conditionalFormatting>
  <conditionalFormatting sqref="R35:X40">
    <cfRule type="notContainsBlanks" dxfId="865" priority="12">
      <formula>LEN(TRIM(R35))&gt;0</formula>
    </cfRule>
  </conditionalFormatting>
  <conditionalFormatting sqref="B26:H31">
    <cfRule type="notContainsBlanks" dxfId="864" priority="7">
      <formula>LEN(TRIM(B26))&gt;0</formula>
    </cfRule>
  </conditionalFormatting>
  <conditionalFormatting sqref="J26:P31">
    <cfRule type="notContainsBlanks" dxfId="863" priority="8">
      <formula>LEN(TRIM(J26))&gt;0</formula>
    </cfRule>
  </conditionalFormatting>
  <conditionalFormatting sqref="R26:X31">
    <cfRule type="notContainsBlanks" dxfId="862" priority="9">
      <formula>LEN(TRIM(R26))&gt;0</formula>
    </cfRule>
  </conditionalFormatting>
  <conditionalFormatting sqref="B35:H40">
    <cfRule type="notContainsBlanks" dxfId="861" priority="10">
      <formula>LEN(TRIM(B35))&gt;0</formula>
    </cfRule>
  </conditionalFormatting>
  <conditionalFormatting sqref="J35:P40">
    <cfRule type="notContainsBlanks" dxfId="860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7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7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wsTCalendar9">
    <pageSetUpPr autoPageBreaks="0" fitToPage="1"/>
  </sheetPr>
  <dimension ref="A1:AC40"/>
  <sheetViews>
    <sheetView showGridLines="0" showRowColHeaders="0" zoomScaleNormal="100" workbookViewId="0"/>
  </sheetViews>
  <sheetFormatPr baseColWidth="10"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15" customFormat="1" ht="76.5" customHeight="1" x14ac:dyDescent="0.8">
      <c r="B2" s="17" t="s">
        <v>0</v>
      </c>
      <c r="C2" s="18"/>
      <c r="D2" s="18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20"/>
      <c r="U2" s="20"/>
      <c r="V2" s="20"/>
      <c r="W2" s="20"/>
      <c r="X2" s="20"/>
    </row>
    <row r="3" spans="1:29" s="11" customFormat="1" ht="75" customHeight="1" thickBot="1" x14ac:dyDescent="0.3">
      <c r="B3" s="47">
        <v>2025</v>
      </c>
      <c r="C3" s="47"/>
      <c r="D3" s="47"/>
      <c r="E3" s="47"/>
      <c r="F3" s="47"/>
      <c r="G3" s="27"/>
      <c r="H3" s="27"/>
      <c r="I3" s="16"/>
      <c r="J3" s="16"/>
      <c r="K3" s="16"/>
      <c r="L3" s="16"/>
      <c r="M3" s="16"/>
      <c r="N3" s="16"/>
      <c r="O3" s="16"/>
      <c r="P3" s="16"/>
      <c r="Q3" s="16"/>
      <c r="R3" s="16"/>
      <c r="S3" s="21"/>
      <c r="T3" s="21"/>
      <c r="U3" s="21"/>
      <c r="V3" s="21"/>
      <c r="W3" s="21"/>
      <c r="X3" s="21"/>
    </row>
    <row r="4" spans="1:29" s="11" customFormat="1" ht="21" customHeight="1" thickTop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9" ht="20.100000000000001" customHeight="1" x14ac:dyDescent="0.25">
      <c r="X5" s="1"/>
      <c r="Y5" s="14"/>
      <c r="Z5" s="14"/>
      <c r="AA5" s="14"/>
      <c r="AB5" s="14"/>
      <c r="AC5" s="14"/>
    </row>
    <row r="6" spans="1:29" s="26" customFormat="1" ht="42" customHeight="1" x14ac:dyDescent="0.25">
      <c r="A6" s="25"/>
      <c r="B6" s="48" t="s">
        <v>1</v>
      </c>
      <c r="C6" s="48"/>
      <c r="D6" s="48"/>
      <c r="E6" s="48"/>
      <c r="F6" s="48"/>
      <c r="G6" s="48"/>
      <c r="H6" s="48"/>
      <c r="J6" s="48" t="s">
        <v>12</v>
      </c>
      <c r="K6" s="48"/>
      <c r="L6" s="48"/>
      <c r="M6" s="48"/>
      <c r="N6" s="48"/>
      <c r="O6" s="48"/>
      <c r="P6" s="48"/>
      <c r="R6" s="48" t="s">
        <v>16</v>
      </c>
      <c r="S6" s="48"/>
      <c r="T6" s="48"/>
      <c r="U6" s="48"/>
      <c r="V6" s="48"/>
      <c r="W6" s="48"/>
      <c r="X6" s="48"/>
    </row>
    <row r="7" spans="1:29" s="29" customFormat="1" ht="26.25" customHeight="1" x14ac:dyDescent="0.25">
      <c r="A7" s="28"/>
      <c r="B7" s="29" t="s">
        <v>2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J7" s="29" t="s">
        <v>2</v>
      </c>
      <c r="K7" s="29" t="s">
        <v>6</v>
      </c>
      <c r="L7" s="29" t="s">
        <v>7</v>
      </c>
      <c r="M7" s="29" t="s">
        <v>8</v>
      </c>
      <c r="N7" s="29" t="s">
        <v>9</v>
      </c>
      <c r="O7" s="29" t="s">
        <v>10</v>
      </c>
      <c r="P7" s="29" t="s">
        <v>11</v>
      </c>
      <c r="R7" s="29" t="s">
        <v>2</v>
      </c>
      <c r="S7" s="29" t="s">
        <v>6</v>
      </c>
      <c r="T7" s="29" t="s">
        <v>7</v>
      </c>
      <c r="U7" s="29" t="s">
        <v>8</v>
      </c>
      <c r="V7" s="29" t="s">
        <v>9</v>
      </c>
      <c r="W7" s="29" t="s">
        <v>10</v>
      </c>
      <c r="X7" s="29" t="s">
        <v>11</v>
      </c>
    </row>
    <row r="8" spans="1:29" ht="36" customHeight="1" x14ac:dyDescent="0.25">
      <c r="B8" s="5" t="str">
        <f>IF(DAY(JanDim1)=1,"",IF(AND(YEAR(JanDim1+1)=AnnéeCalendrier,MONTH(JanDim1+1)=1),JanDim1+1,""))</f>
        <v/>
      </c>
      <c r="C8" s="5" t="str">
        <f>IF(DAY(JanDim1)=1,"",IF(AND(YEAR(JanDim1+2)=AnnéeCalendrier,MONTH(JanDim1+2)=1),JanDim1+2,""))</f>
        <v/>
      </c>
      <c r="D8" s="5">
        <f>IF(DAY(JanDim1)=1,"",IF(AND(YEAR(JanDim1+3)=AnnéeCalendrier,MONTH(JanDim1+3)=1),JanDim1+3,""))</f>
        <v>45658</v>
      </c>
      <c r="E8" s="5">
        <f>IF(DAY(JanDim1)=1,"",IF(AND(YEAR(JanDim1+4)=AnnéeCalendrier,MONTH(JanDim1+4)=1),JanDim1+4,""))</f>
        <v>45659</v>
      </c>
      <c r="F8" s="5">
        <f>IF(DAY(JanDim1)=1,"",IF(AND(YEAR(JanDim1+5)=AnnéeCalendrier,MONTH(JanDim1+5)=1),JanDim1+5,""))</f>
        <v>45660</v>
      </c>
      <c r="G8" s="5">
        <f>IF(DAY(JanDim1)=1,"",IF(AND(YEAR(JanDim1+6)=AnnéeCalendrier,MONTH(JanDim1+6)=1),JanDim1+6,""))</f>
        <v>45661</v>
      </c>
      <c r="H8" s="5">
        <f>IF(DAY(JanDim1)=1,IF(AND(YEAR(JanDim1)=AnnéeCalendrier,MONTH(JanDim1)=1),JanDim1,""),IF(AND(YEAR(JanDim1+7)=AnnéeCalendrier,MONTH(JanDim1+7)=1),JanDim1+7,""))</f>
        <v>45662</v>
      </c>
      <c r="I8" s="4"/>
      <c r="J8" s="5" t="str">
        <f>IF(DAY(FévDim1)=1,"",IF(AND(YEAR(FévDim1+1)=AnnéeCalendrier,MONTH(FévDim1+1)=2),FévDim1+1,""))</f>
        <v/>
      </c>
      <c r="K8" s="5" t="str">
        <f>IF(DAY(FévDim1)=1,"",IF(AND(YEAR(FévDim1+2)=AnnéeCalendrier,MONTH(FévDim1+2)=2),FévDim1+2,""))</f>
        <v/>
      </c>
      <c r="L8" s="5" t="str">
        <f>IF(DAY(FévDim1)=1,"",IF(AND(YEAR(FévDim1+3)=AnnéeCalendrier,MONTH(FévDim1+3)=2),FévDim1+3,""))</f>
        <v/>
      </c>
      <c r="M8" s="5" t="str">
        <f>IF(DAY(FévDim1)=1,"",IF(AND(YEAR(FévDim1+4)=AnnéeCalendrier,MONTH(FévDim1+4)=2),FévDim1+4,""))</f>
        <v/>
      </c>
      <c r="N8" s="5" t="str">
        <f>IF(DAY(FévDim1)=1,"",IF(AND(YEAR(FévDim1+5)=AnnéeCalendrier,MONTH(FévDim1+5)=2),FévDim1+5,""))</f>
        <v/>
      </c>
      <c r="O8" s="5">
        <f>IF(DAY(FévDim1)=1,"",IF(AND(YEAR(FévDim1+6)=AnnéeCalendrier,MONTH(FévDim1+6)=2),FévDim1+6,""))</f>
        <v>45689</v>
      </c>
      <c r="P8" s="5">
        <f>IF(DAY(FévDim1)=1,IF(AND(YEAR(FévDim1)=AnnéeCalendrier,MONTH(FévDim1)=2),FévDim1,""),IF(AND(YEAR(FévDim1+7)=AnnéeCalendrier,MONTH(FévDim1+7)=2),FévDim1+7,""))</f>
        <v>45690</v>
      </c>
      <c r="Q8" s="4"/>
      <c r="R8" s="5" t="str">
        <f>IF(DAY(MarDim1)=1,"",IF(AND(YEAR(MarDim1+1)=AnnéeCalendrier,MONTH(MarDim1+1)=3),MarDim1+1,""))</f>
        <v/>
      </c>
      <c r="S8" s="5" t="str">
        <f>IF(DAY(MarDim1)=1,"",IF(AND(YEAR(MarDim1+2)=AnnéeCalendrier,MONTH(MarDim1+2)=3),MarDim1+2,""))</f>
        <v/>
      </c>
      <c r="T8" s="5" t="str">
        <f>IF(DAY(MarDim1)=1,"",IF(AND(YEAR(MarDim1+3)=AnnéeCalendrier,MONTH(MarDim1+3)=3),MarDim1+3,""))</f>
        <v/>
      </c>
      <c r="U8" s="5" t="str">
        <f>IF(DAY(MarDim1)=1,"",IF(AND(YEAR(MarDim1+4)=AnnéeCalendrier,MONTH(MarDim1+4)=3),MarDim1+4,""))</f>
        <v/>
      </c>
      <c r="V8" s="5" t="str">
        <f>IF(DAY(MarDim1)=1,"",IF(AND(YEAR(MarDim1+5)=AnnéeCalendrier,MONTH(MarDim1+5)=3),MarDim1+5,""))</f>
        <v/>
      </c>
      <c r="W8" s="5">
        <f>IF(DAY(MarDim1)=1,"",IF(AND(YEAR(MarDim1+6)=AnnéeCalendrier,MONTH(MarDim1+6)=3),MarDim1+6,""))</f>
        <v>45717</v>
      </c>
      <c r="X8" s="5">
        <f>IF(DAY(MarDim1)=1,IF(AND(YEAR(MarDim1)=AnnéeCalendrier,MONTH(MarDim1)=3),MarDim1,""),IF(AND(YEAR(MarDim1+7)=AnnéeCalendrier,MONTH(MarDim1+7)=3),MarDim1+7,""))</f>
        <v>45718</v>
      </c>
    </row>
    <row r="9" spans="1:29" ht="36" customHeight="1" x14ac:dyDescent="0.25">
      <c r="B9" s="5">
        <f>IF(DAY(JanDim1)=1,IF(AND(YEAR(JanDim1+1)=AnnéeCalendrier,MONTH(JanDim1+1)=1),JanDim1+1,""),IF(AND(YEAR(JanDim1+8)=AnnéeCalendrier,MONTH(JanDim1+8)=1),JanDim1+8,""))</f>
        <v>45663</v>
      </c>
      <c r="C9" s="5">
        <f>IF(DAY(JanDim1)=1,IF(AND(YEAR(JanDim1+2)=AnnéeCalendrier,MONTH(JanDim1+2)=1),JanDim1+2,""),IF(AND(YEAR(JanDim1+9)=AnnéeCalendrier,MONTH(JanDim1+9)=1),JanDim1+9,""))</f>
        <v>45664</v>
      </c>
      <c r="D9" s="5">
        <f>IF(DAY(JanDim1)=1,IF(AND(YEAR(JanDim1+3)=AnnéeCalendrier,MONTH(JanDim1+3)=1),JanDim1+3,""),IF(AND(YEAR(JanDim1+10)=AnnéeCalendrier,MONTH(JanDim1+10)=1),JanDim1+10,""))</f>
        <v>45665</v>
      </c>
      <c r="E9" s="5">
        <f>IF(DAY(JanDim1)=1,IF(AND(YEAR(JanDim1+4)=AnnéeCalendrier,MONTH(JanDim1+4)=1),JanDim1+4,""),IF(AND(YEAR(JanDim1+11)=AnnéeCalendrier,MONTH(JanDim1+11)=1),JanDim1+11,""))</f>
        <v>45666</v>
      </c>
      <c r="F9" s="5">
        <f>IF(DAY(JanDim1)=1,IF(AND(YEAR(JanDim1+5)=AnnéeCalendrier,MONTH(JanDim1+5)=1),JanDim1+5,""),IF(AND(YEAR(JanDim1+12)=AnnéeCalendrier,MONTH(JanDim1+12)=1),JanDim1+12,""))</f>
        <v>45667</v>
      </c>
      <c r="G9" s="5">
        <f>IF(DAY(JanDim1)=1,IF(AND(YEAR(JanDim1+6)=AnnéeCalendrier,MONTH(JanDim1+6)=1),JanDim1+6,""),IF(AND(YEAR(JanDim1+13)=AnnéeCalendrier,MONTH(JanDim1+13)=1),JanDim1+13,""))</f>
        <v>45668</v>
      </c>
      <c r="H9" s="5">
        <f>IF(DAY(JanDim1)=1,IF(AND(YEAR(JanDim1+7)=AnnéeCalendrier,MONTH(JanDim1+7)=1),JanDim1+7,""),IF(AND(YEAR(JanDim1+14)=AnnéeCalendrier,MONTH(JanDim1+14)=1),JanDim1+14,""))</f>
        <v>45669</v>
      </c>
      <c r="I9" s="4"/>
      <c r="J9" s="5">
        <f>IF(DAY(FévDim1)=1,IF(AND(YEAR(FévDim1+1)=AnnéeCalendrier,MONTH(FévDim1+1)=2),FévDim1+1,""),IF(AND(YEAR(FévDim1+8)=AnnéeCalendrier,MONTH(FévDim1+8)=2),FévDim1+8,""))</f>
        <v>45691</v>
      </c>
      <c r="K9" s="5">
        <f>IF(DAY(FévDim1)=1,IF(AND(YEAR(FévDim1+2)=AnnéeCalendrier,MONTH(FévDim1+2)=2),FévDim1+2,""),IF(AND(YEAR(FévDim1+9)=AnnéeCalendrier,MONTH(FévDim1+9)=2),FévDim1+9,""))</f>
        <v>45692</v>
      </c>
      <c r="L9" s="5">
        <f>IF(DAY(FévDim1)=1,IF(AND(YEAR(FévDim1+3)=AnnéeCalendrier,MONTH(FévDim1+3)=2),FévDim1+3,""),IF(AND(YEAR(FévDim1+10)=AnnéeCalendrier,MONTH(FévDim1+10)=2),FévDim1+10,""))</f>
        <v>45693</v>
      </c>
      <c r="M9" s="5">
        <f>IF(DAY(FévDim1)=1,IF(AND(YEAR(FévDim1+4)=AnnéeCalendrier,MONTH(FévDim1+4)=2),FévDim1+4,""),IF(AND(YEAR(FévDim1+11)=AnnéeCalendrier,MONTH(FévDim1+11)=2),FévDim1+11,""))</f>
        <v>45694</v>
      </c>
      <c r="N9" s="5">
        <f>IF(DAY(FévDim1)=1,IF(AND(YEAR(FévDim1+5)=AnnéeCalendrier,MONTH(FévDim1+5)=2),FévDim1+5,""),IF(AND(YEAR(FévDim1+12)=AnnéeCalendrier,MONTH(FévDim1+12)=2),FévDim1+12,""))</f>
        <v>45695</v>
      </c>
      <c r="O9" s="5">
        <f>IF(DAY(FévDim1)=1,IF(AND(YEAR(FévDim1+6)=AnnéeCalendrier,MONTH(FévDim1+6)=2),FévDim1+6,""),IF(AND(YEAR(FévDim1+13)=AnnéeCalendrier,MONTH(FévDim1+13)=2),FévDim1+13,""))</f>
        <v>45696</v>
      </c>
      <c r="P9" s="5">
        <f>IF(DAY(FévDim1)=1,IF(AND(YEAR(FévDim1+7)=AnnéeCalendrier,MONTH(FévDim1+7)=2),FévDim1+7,""),IF(AND(YEAR(FévDim1+14)=AnnéeCalendrier,MONTH(FévDim1+14)=2),FévDim1+14,""))</f>
        <v>45697</v>
      </c>
      <c r="Q9" s="4"/>
      <c r="R9" s="5">
        <f>IF(DAY(MarDim1)=1,IF(AND(YEAR(MarDim1+1)=AnnéeCalendrier,MONTH(MarDim1+1)=3),MarDim1+1,""),IF(AND(YEAR(MarDim1+8)=AnnéeCalendrier,MONTH(MarDim1+8)=3),MarDim1+8,""))</f>
        <v>45719</v>
      </c>
      <c r="S9" s="5">
        <f>IF(DAY(MarDim1)=1,IF(AND(YEAR(MarDim1+2)=AnnéeCalendrier,MONTH(MarDim1+2)=3),MarDim1+2,""),IF(AND(YEAR(MarDim1+9)=AnnéeCalendrier,MONTH(MarDim1+9)=3),MarDim1+9,""))</f>
        <v>45720</v>
      </c>
      <c r="T9" s="5">
        <f>IF(DAY(MarDim1)=1,IF(AND(YEAR(MarDim1+3)=AnnéeCalendrier,MONTH(MarDim1+3)=3),MarDim1+3,""),IF(AND(YEAR(MarDim1+10)=AnnéeCalendrier,MONTH(MarDim1+10)=3),MarDim1+10,""))</f>
        <v>45721</v>
      </c>
      <c r="U9" s="5">
        <f>IF(DAY(MarDim1)=1,IF(AND(YEAR(MarDim1+4)=AnnéeCalendrier,MONTH(MarDim1+4)=3),MarDim1+4,""),IF(AND(YEAR(MarDim1+11)=AnnéeCalendrier,MONTH(MarDim1+11)=3),MarDim1+11,""))</f>
        <v>45722</v>
      </c>
      <c r="V9" s="5">
        <f>IF(DAY(MarDim1)=1,IF(AND(YEAR(MarDim1+5)=AnnéeCalendrier,MONTH(MarDim1+5)=3),MarDim1+5,""),IF(AND(YEAR(MarDim1+12)=AnnéeCalendrier,MONTH(MarDim1+12)=3),MarDim1+12,""))</f>
        <v>45723</v>
      </c>
      <c r="W9" s="5">
        <f>IF(DAY(MarDim1)=1,IF(AND(YEAR(MarDim1+6)=AnnéeCalendrier,MONTH(MarDim1+6)=3),MarDim1+6,""),IF(AND(YEAR(MarDim1+13)=AnnéeCalendrier,MONTH(MarDim1+13)=3),MarDim1+13,""))</f>
        <v>45724</v>
      </c>
      <c r="X9" s="5">
        <f>IF(DAY(MarDim1)=1,IF(AND(YEAR(MarDim1+7)=AnnéeCalendrier,MONTH(MarDim1+7)=3),MarDim1+7,""),IF(AND(YEAR(MarDim1+14)=AnnéeCalendrier,MONTH(MarDim1+14)=3),MarDim1+14,""))</f>
        <v>45725</v>
      </c>
    </row>
    <row r="10" spans="1:29" ht="36" customHeight="1" x14ac:dyDescent="0.25">
      <c r="B10" s="5">
        <f>IF(DAY(JanDim1)=1,IF(AND(YEAR(JanDim1+8)=AnnéeCalendrier,MONTH(JanDim1+8)=1),JanDim1+8,""),IF(AND(YEAR(JanDim1+15)=AnnéeCalendrier,MONTH(JanDim1+15)=1),JanDim1+15,""))</f>
        <v>45670</v>
      </c>
      <c r="C10" s="5">
        <f>IF(DAY(JanDim1)=1,IF(AND(YEAR(JanDim1+9)=AnnéeCalendrier,MONTH(JanDim1+9)=1),JanDim1+9,""),IF(AND(YEAR(JanDim1+16)=AnnéeCalendrier,MONTH(JanDim1+16)=1),JanDim1+16,""))</f>
        <v>45671</v>
      </c>
      <c r="D10" s="5">
        <f>IF(DAY(JanDim1)=1,IF(AND(YEAR(JanDim1+10)=AnnéeCalendrier,MONTH(JanDim1+10)=1),JanDim1+10,""),IF(AND(YEAR(JanDim1+17)=AnnéeCalendrier,MONTH(JanDim1+17)=1),JanDim1+17,""))</f>
        <v>45672</v>
      </c>
      <c r="E10" s="5">
        <f>IF(DAY(JanDim1)=1,IF(AND(YEAR(JanDim1+11)=AnnéeCalendrier,MONTH(JanDim1+11)=1),JanDim1+11,""),IF(AND(YEAR(JanDim1+18)=AnnéeCalendrier,MONTH(JanDim1+18)=1),JanDim1+18,""))</f>
        <v>45673</v>
      </c>
      <c r="F10" s="5">
        <f>IF(DAY(JanDim1)=1,IF(AND(YEAR(JanDim1+12)=AnnéeCalendrier,MONTH(JanDim1+12)=1),JanDim1+12,""),IF(AND(YEAR(JanDim1+19)=AnnéeCalendrier,MONTH(JanDim1+19)=1),JanDim1+19,""))</f>
        <v>45674</v>
      </c>
      <c r="G10" s="5">
        <f>IF(DAY(JanDim1)=1,IF(AND(YEAR(JanDim1+13)=AnnéeCalendrier,MONTH(JanDim1+13)=1),JanDim1+13,""),IF(AND(YEAR(JanDim1+20)=AnnéeCalendrier,MONTH(JanDim1+20)=1),JanDim1+20,""))</f>
        <v>45675</v>
      </c>
      <c r="H10" s="5">
        <f>IF(DAY(JanDim1)=1,IF(AND(YEAR(JanDim1+14)=AnnéeCalendrier,MONTH(JanDim1+14)=1),JanDim1+14,""),IF(AND(YEAR(JanDim1+21)=AnnéeCalendrier,MONTH(JanDim1+21)=1),JanDim1+21,""))</f>
        <v>45676</v>
      </c>
      <c r="I10" s="4"/>
      <c r="J10" s="5">
        <f>IF(DAY(FévDim1)=1,IF(AND(YEAR(FévDim1+8)=AnnéeCalendrier,MONTH(FévDim1+8)=2),FévDim1+8,""),IF(AND(YEAR(FévDim1+15)=AnnéeCalendrier,MONTH(FévDim1+15)=2),FévDim1+15,""))</f>
        <v>45698</v>
      </c>
      <c r="K10" s="5">
        <f>IF(DAY(FévDim1)=1,IF(AND(YEAR(FévDim1+9)=AnnéeCalendrier,MONTH(FévDim1+9)=2),FévDim1+9,""),IF(AND(YEAR(FévDim1+16)=AnnéeCalendrier,MONTH(FévDim1+16)=2),FévDim1+16,""))</f>
        <v>45699</v>
      </c>
      <c r="L10" s="5">
        <f>IF(DAY(FévDim1)=1,IF(AND(YEAR(FévDim1+10)=AnnéeCalendrier,MONTH(FévDim1+10)=2),FévDim1+10,""),IF(AND(YEAR(FévDim1+17)=AnnéeCalendrier,MONTH(FévDim1+17)=2),FévDim1+17,""))</f>
        <v>45700</v>
      </c>
      <c r="M10" s="5">
        <f>IF(DAY(FévDim1)=1,IF(AND(YEAR(FévDim1+11)=AnnéeCalendrier,MONTH(FévDim1+11)=2),FévDim1+11,""),IF(AND(YEAR(FévDim1+18)=AnnéeCalendrier,MONTH(FévDim1+18)=2),FévDim1+18,""))</f>
        <v>45701</v>
      </c>
      <c r="N10" s="5">
        <f>IF(DAY(FévDim1)=1,IF(AND(YEAR(FévDim1+12)=AnnéeCalendrier,MONTH(FévDim1+12)=2),FévDim1+12,""),IF(AND(YEAR(FévDim1+19)=AnnéeCalendrier,MONTH(FévDim1+19)=2),FévDim1+19,""))</f>
        <v>45702</v>
      </c>
      <c r="O10" s="5">
        <f>IF(DAY(FévDim1)=1,IF(AND(YEAR(FévDim1+13)=AnnéeCalendrier,MONTH(FévDim1+13)=2),FévDim1+13,""),IF(AND(YEAR(FévDim1+20)=AnnéeCalendrier,MONTH(FévDim1+20)=2),FévDim1+20,""))</f>
        <v>45703</v>
      </c>
      <c r="P10" s="5">
        <f>IF(DAY(FévDim1)=1,IF(AND(YEAR(FévDim1+14)=AnnéeCalendrier,MONTH(FévDim1+14)=2),FévDim1+14,""),IF(AND(YEAR(FévDim1+21)=AnnéeCalendrier,MONTH(FévDim1+21)=2),FévDim1+21,""))</f>
        <v>45704</v>
      </c>
      <c r="Q10" s="4"/>
      <c r="R10" s="5">
        <f>IF(DAY(MarDim1)=1,IF(AND(YEAR(MarDim1+8)=AnnéeCalendrier,MONTH(MarDim1+8)=3),MarDim1+8,""),IF(AND(YEAR(MarDim1+15)=AnnéeCalendrier,MONTH(MarDim1+15)=3),MarDim1+15,""))</f>
        <v>45726</v>
      </c>
      <c r="S10" s="5">
        <f>IF(DAY(MarDim1)=1,IF(AND(YEAR(MarDim1+9)=AnnéeCalendrier,MONTH(MarDim1+9)=3),MarDim1+9,""),IF(AND(YEAR(MarDim1+16)=AnnéeCalendrier,MONTH(MarDim1+16)=3),MarDim1+16,""))</f>
        <v>45727</v>
      </c>
      <c r="T10" s="5">
        <f>IF(DAY(MarDim1)=1,IF(AND(YEAR(MarDim1+10)=AnnéeCalendrier,MONTH(MarDim1+10)=3),MarDim1+10,""),IF(AND(YEAR(MarDim1+17)=AnnéeCalendrier,MONTH(MarDim1+17)=3),MarDim1+17,""))</f>
        <v>45728</v>
      </c>
      <c r="U10" s="5">
        <f>IF(DAY(MarDim1)=1,IF(AND(YEAR(MarDim1+11)=AnnéeCalendrier,MONTH(MarDim1+11)=3),MarDim1+11,""),IF(AND(YEAR(MarDim1+18)=AnnéeCalendrier,MONTH(MarDim1+18)=3),MarDim1+18,""))</f>
        <v>45729</v>
      </c>
      <c r="V10" s="5">
        <f>IF(DAY(MarDim1)=1,IF(AND(YEAR(MarDim1+12)=AnnéeCalendrier,MONTH(MarDim1+12)=3),MarDim1+12,""),IF(AND(YEAR(MarDim1+19)=AnnéeCalendrier,MONTH(MarDim1+19)=3),MarDim1+19,""))</f>
        <v>45730</v>
      </c>
      <c r="W10" s="5">
        <f>IF(DAY(MarDim1)=1,IF(AND(YEAR(MarDim1+13)=AnnéeCalendrier,MONTH(MarDim1+13)=3),MarDim1+13,""),IF(AND(YEAR(MarDim1+20)=AnnéeCalendrier,MONTH(MarDim1+20)=3),MarDim1+20,""))</f>
        <v>45731</v>
      </c>
      <c r="X10" s="5">
        <f>IF(DAY(MarDim1)=1,IF(AND(YEAR(MarDim1+14)=AnnéeCalendrier,MONTH(MarDim1+14)=3),MarDim1+14,""),IF(AND(YEAR(MarDim1+21)=AnnéeCalendrier,MONTH(MarDim1+21)=3),MarDim1+21,""))</f>
        <v>45732</v>
      </c>
    </row>
    <row r="11" spans="1:29" ht="36" customHeight="1" x14ac:dyDescent="0.25">
      <c r="B11" s="5">
        <f>IF(DAY(JanDim1)=1,IF(AND(YEAR(JanDim1+15)=AnnéeCalendrier,MONTH(JanDim1+15)=1),JanDim1+15,""),IF(AND(YEAR(JanDim1+22)=AnnéeCalendrier,MONTH(JanDim1+22)=1),JanDim1+22,""))</f>
        <v>45677</v>
      </c>
      <c r="C11" s="5">
        <f>IF(DAY(JanDim1)=1,IF(AND(YEAR(JanDim1+16)=AnnéeCalendrier,MONTH(JanDim1+16)=1),JanDim1+16,""),IF(AND(YEAR(JanDim1+23)=AnnéeCalendrier,MONTH(JanDim1+23)=1),JanDim1+23,""))</f>
        <v>45678</v>
      </c>
      <c r="D11" s="5">
        <f>IF(DAY(JanDim1)=1,IF(AND(YEAR(JanDim1+17)=AnnéeCalendrier,MONTH(JanDim1+17)=1),JanDim1+17,""),IF(AND(YEAR(JanDim1+24)=AnnéeCalendrier,MONTH(JanDim1+24)=1),JanDim1+24,""))</f>
        <v>45679</v>
      </c>
      <c r="E11" s="5">
        <f>IF(DAY(JanDim1)=1,IF(AND(YEAR(JanDim1+18)=AnnéeCalendrier,MONTH(JanDim1+18)=1),JanDim1+18,""),IF(AND(YEAR(JanDim1+25)=AnnéeCalendrier,MONTH(JanDim1+25)=1),JanDim1+25,""))</f>
        <v>45680</v>
      </c>
      <c r="F11" s="5">
        <f>IF(DAY(JanDim1)=1,IF(AND(YEAR(JanDim1+19)=AnnéeCalendrier,MONTH(JanDim1+19)=1),JanDim1+19,""),IF(AND(YEAR(JanDim1+26)=AnnéeCalendrier,MONTH(JanDim1+26)=1),JanDim1+26,""))</f>
        <v>45681</v>
      </c>
      <c r="G11" s="5">
        <f>IF(DAY(JanDim1)=1,IF(AND(YEAR(JanDim1+20)=AnnéeCalendrier,MONTH(JanDim1+20)=1),JanDim1+20,""),IF(AND(YEAR(JanDim1+27)=AnnéeCalendrier,MONTH(JanDim1+27)=1),JanDim1+27,""))</f>
        <v>45682</v>
      </c>
      <c r="H11" s="5">
        <f>IF(DAY(JanDim1)=1,IF(AND(YEAR(JanDim1+21)=AnnéeCalendrier,MONTH(JanDim1+21)=1),JanDim1+21,""),IF(AND(YEAR(JanDim1+28)=AnnéeCalendrier,MONTH(JanDim1+28)=1),JanDim1+28,""))</f>
        <v>45683</v>
      </c>
      <c r="I11" s="4"/>
      <c r="J11" s="5">
        <f>IF(DAY(FévDim1)=1,IF(AND(YEAR(FévDim1+15)=AnnéeCalendrier,MONTH(FévDim1+15)=2),FévDim1+15,""),IF(AND(YEAR(FévDim1+22)=AnnéeCalendrier,MONTH(FévDim1+22)=2),FévDim1+22,""))</f>
        <v>45705</v>
      </c>
      <c r="K11" s="5">
        <f>IF(DAY(FévDim1)=1,IF(AND(YEAR(FévDim1+16)=AnnéeCalendrier,MONTH(FévDim1+16)=2),FévDim1+16,""),IF(AND(YEAR(FévDim1+23)=AnnéeCalendrier,MONTH(FévDim1+23)=2),FévDim1+23,""))</f>
        <v>45706</v>
      </c>
      <c r="L11" s="5">
        <f>IF(DAY(FévDim1)=1,IF(AND(YEAR(FévDim1+17)=AnnéeCalendrier,MONTH(FévDim1+17)=2),FévDim1+17,""),IF(AND(YEAR(FévDim1+24)=AnnéeCalendrier,MONTH(FévDim1+24)=2),FévDim1+24,""))</f>
        <v>45707</v>
      </c>
      <c r="M11" s="5">
        <f>IF(DAY(FévDim1)=1,IF(AND(YEAR(FévDim1+18)=AnnéeCalendrier,MONTH(FévDim1+18)=2),FévDim1+18,""),IF(AND(YEAR(FévDim1+25)=AnnéeCalendrier,MONTH(FévDim1+25)=2),FévDim1+25,""))</f>
        <v>45708</v>
      </c>
      <c r="N11" s="5">
        <f>IF(DAY(FévDim1)=1,IF(AND(YEAR(FévDim1+19)=AnnéeCalendrier,MONTH(FévDim1+19)=2),FévDim1+19,""),IF(AND(YEAR(FévDim1+26)=AnnéeCalendrier,MONTH(FévDim1+26)=2),FévDim1+26,""))</f>
        <v>45709</v>
      </c>
      <c r="O11" s="5">
        <f>IF(DAY(FévDim1)=1,IF(AND(YEAR(FévDim1+20)=AnnéeCalendrier,MONTH(FévDim1+20)=2),FévDim1+20,""),IF(AND(YEAR(FévDim1+27)=AnnéeCalendrier,MONTH(FévDim1+27)=2),FévDim1+27,""))</f>
        <v>45710</v>
      </c>
      <c r="P11" s="5">
        <f>IF(DAY(FévDim1)=1,IF(AND(YEAR(FévDim1+21)=AnnéeCalendrier,MONTH(FévDim1+21)=2),FévDim1+21,""),IF(AND(YEAR(FévDim1+28)=AnnéeCalendrier,MONTH(FévDim1+28)=2),FévDim1+28,""))</f>
        <v>45711</v>
      </c>
      <c r="Q11" s="4"/>
      <c r="R11" s="5">
        <f>IF(DAY(MarDim1)=1,IF(AND(YEAR(MarDim1+15)=AnnéeCalendrier,MONTH(MarDim1+15)=3),MarDim1+15,""),IF(AND(YEAR(MarDim1+22)=AnnéeCalendrier,MONTH(MarDim1+22)=3),MarDim1+22,""))</f>
        <v>45733</v>
      </c>
      <c r="S11" s="5">
        <f>IF(DAY(MarDim1)=1,IF(AND(YEAR(MarDim1+16)=AnnéeCalendrier,MONTH(MarDim1+16)=3),MarDim1+16,""),IF(AND(YEAR(MarDim1+23)=AnnéeCalendrier,MONTH(MarDim1+23)=3),MarDim1+23,""))</f>
        <v>45734</v>
      </c>
      <c r="T11" s="5">
        <f>IF(DAY(MarDim1)=1,IF(AND(YEAR(MarDim1+17)=AnnéeCalendrier,MONTH(MarDim1+17)=3),MarDim1+17,""),IF(AND(YEAR(MarDim1+24)=AnnéeCalendrier,MONTH(MarDim1+24)=3),MarDim1+24,""))</f>
        <v>45735</v>
      </c>
      <c r="U11" s="5">
        <f>IF(DAY(MarDim1)=1,IF(AND(YEAR(MarDim1+18)=AnnéeCalendrier,MONTH(MarDim1+18)=3),MarDim1+18,""),IF(AND(YEAR(MarDim1+25)=AnnéeCalendrier,MONTH(MarDim1+25)=3),MarDim1+25,""))</f>
        <v>45736</v>
      </c>
      <c r="V11" s="5">
        <f>IF(DAY(MarDim1)=1,IF(AND(YEAR(MarDim1+19)=AnnéeCalendrier,MONTH(MarDim1+19)=3),MarDim1+19,""),IF(AND(YEAR(MarDim1+26)=AnnéeCalendrier,MONTH(MarDim1+26)=3),MarDim1+26,""))</f>
        <v>45737</v>
      </c>
      <c r="W11" s="5">
        <f>IF(DAY(MarDim1)=1,IF(AND(YEAR(MarDim1+20)=AnnéeCalendrier,MONTH(MarDim1+20)=3),MarDim1+20,""),IF(AND(YEAR(MarDim1+27)=AnnéeCalendrier,MONTH(MarDim1+27)=3),MarDim1+27,""))</f>
        <v>45738</v>
      </c>
      <c r="X11" s="5">
        <f>IF(DAY(MarDim1)=1,IF(AND(YEAR(MarDim1+21)=AnnéeCalendrier,MONTH(MarDim1+21)=3),MarDim1+21,""),IF(AND(YEAR(MarDim1+28)=AnnéeCalendrier,MONTH(MarDim1+28)=3),MarDim1+28,""))</f>
        <v>45739</v>
      </c>
    </row>
    <row r="12" spans="1:29" ht="36" customHeight="1" x14ac:dyDescent="0.25">
      <c r="B12" s="5">
        <f>IF(DAY(JanDim1)=1,IF(AND(YEAR(JanDim1+22)=AnnéeCalendrier,MONTH(JanDim1+22)=1),JanDim1+22,""),IF(AND(YEAR(JanDim1+29)=AnnéeCalendrier,MONTH(JanDim1+29)=1),JanDim1+29,""))</f>
        <v>45684</v>
      </c>
      <c r="C12" s="5">
        <f>IF(DAY(JanDim1)=1,IF(AND(YEAR(JanDim1+23)=AnnéeCalendrier,MONTH(JanDim1+23)=1),JanDim1+23,""),IF(AND(YEAR(JanDim1+30)=AnnéeCalendrier,MONTH(JanDim1+30)=1),JanDim1+30,""))</f>
        <v>45685</v>
      </c>
      <c r="D12" s="5">
        <f>IF(DAY(JanDim1)=1,IF(AND(YEAR(JanDim1+24)=AnnéeCalendrier,MONTH(JanDim1+24)=1),JanDim1+24,""),IF(AND(YEAR(JanDim1+31)=AnnéeCalendrier,MONTH(JanDim1+31)=1),JanDim1+31,""))</f>
        <v>45686</v>
      </c>
      <c r="E12" s="5">
        <f>IF(DAY(JanDim1)=1,IF(AND(YEAR(JanDim1+25)=AnnéeCalendrier,MONTH(JanDim1+25)=1),JanDim1+25,""),IF(AND(YEAR(JanDim1+32)=AnnéeCalendrier,MONTH(JanDim1+32)=1),JanDim1+32,""))</f>
        <v>45687</v>
      </c>
      <c r="F12" s="5">
        <f>IF(DAY(JanDim1)=1,IF(AND(YEAR(JanDim1+26)=AnnéeCalendrier,MONTH(JanDim1+26)=1),JanDim1+26,""),IF(AND(YEAR(JanDim1+33)=AnnéeCalendrier,MONTH(JanDim1+33)=1),JanDim1+33,""))</f>
        <v>45688</v>
      </c>
      <c r="G12" s="5" t="str">
        <f>IF(DAY(JanDim1)=1,IF(AND(YEAR(JanDim1+27)=AnnéeCalendrier,MONTH(JanDim1+27)=1),JanDim1+27,""),IF(AND(YEAR(JanDim1+34)=AnnéeCalendrier,MONTH(JanDim1+34)=1),JanDim1+34,""))</f>
        <v/>
      </c>
      <c r="H12" s="5" t="str">
        <f>IF(DAY(JanDim1)=1,IF(AND(YEAR(JanDim1+28)=AnnéeCalendrier,MONTH(JanDim1+28)=1),JanDim1+28,""),IF(AND(YEAR(JanDim1+35)=AnnéeCalendrier,MONTH(JanDim1+35)=1),JanDim1+35,""))</f>
        <v/>
      </c>
      <c r="I12" s="4"/>
      <c r="J12" s="5">
        <f>IF(DAY(FévDim1)=1,IF(AND(YEAR(FévDim1+22)=AnnéeCalendrier,MONTH(FévDim1+22)=2),FévDim1+22,""),IF(AND(YEAR(FévDim1+29)=AnnéeCalendrier,MONTH(FévDim1+29)=2),FévDim1+29,""))</f>
        <v>45712</v>
      </c>
      <c r="K12" s="5">
        <f>IF(DAY(FévDim1)=1,IF(AND(YEAR(FévDim1+23)=AnnéeCalendrier,MONTH(FévDim1+23)=2),FévDim1+23,""),IF(AND(YEAR(FévDim1+30)=AnnéeCalendrier,MONTH(FévDim1+30)=2),FévDim1+30,""))</f>
        <v>45713</v>
      </c>
      <c r="L12" s="5">
        <f>IF(DAY(FévDim1)=1,IF(AND(YEAR(FévDim1+24)=AnnéeCalendrier,MONTH(FévDim1+24)=2),FévDim1+24,""),IF(AND(YEAR(FévDim1+31)=AnnéeCalendrier,MONTH(FévDim1+31)=2),FévDim1+31,""))</f>
        <v>45714</v>
      </c>
      <c r="M12" s="5">
        <f>IF(DAY(FévDim1)=1,IF(AND(YEAR(FévDim1+25)=AnnéeCalendrier,MONTH(FévDim1+25)=2),FévDim1+25,""),IF(AND(YEAR(FévDim1+32)=AnnéeCalendrier,MONTH(FévDim1+32)=2),FévDim1+32,""))</f>
        <v>45715</v>
      </c>
      <c r="N12" s="5">
        <f>IF(DAY(FévDim1)=1,IF(AND(YEAR(FévDim1+26)=AnnéeCalendrier,MONTH(FévDim1+26)=2),FévDim1+26,""),IF(AND(YEAR(FévDim1+33)=AnnéeCalendrier,MONTH(FévDim1+33)=2),FévDim1+33,""))</f>
        <v>45716</v>
      </c>
      <c r="O12" s="5" t="str">
        <f>IF(DAY(FévDim1)=1,IF(AND(YEAR(FévDim1+27)=AnnéeCalendrier,MONTH(FévDim1+27)=2),FévDim1+27,""),IF(AND(YEAR(FévDim1+34)=AnnéeCalendrier,MONTH(FévDim1+34)=2),FévDim1+34,""))</f>
        <v/>
      </c>
      <c r="P12" s="5" t="str">
        <f>IF(DAY(FévDim1)=1,IF(AND(YEAR(FévDim1+28)=AnnéeCalendrier,MONTH(FévDim1+28)=2),FévDim1+28,""),IF(AND(YEAR(FévDim1+35)=AnnéeCalendrier,MONTH(FévDim1+35)=2),FévDim1+35,""))</f>
        <v/>
      </c>
      <c r="Q12" s="4"/>
      <c r="R12" s="5">
        <f>IF(DAY(MarDim1)=1,IF(AND(YEAR(MarDim1+22)=AnnéeCalendrier,MONTH(MarDim1+22)=3),MarDim1+22,""),IF(AND(YEAR(MarDim1+29)=AnnéeCalendrier,MONTH(MarDim1+29)=3),MarDim1+29,""))</f>
        <v>45740</v>
      </c>
      <c r="S12" s="5">
        <f>IF(DAY(MarDim1)=1,IF(AND(YEAR(MarDim1+23)=AnnéeCalendrier,MONTH(MarDim1+23)=3),MarDim1+23,""),IF(AND(YEAR(MarDim1+30)=AnnéeCalendrier,MONTH(MarDim1+30)=3),MarDim1+30,""))</f>
        <v>45741</v>
      </c>
      <c r="T12" s="5">
        <f>IF(DAY(MarDim1)=1,IF(AND(YEAR(MarDim1+24)=AnnéeCalendrier,MONTH(MarDim1+24)=3),MarDim1+24,""),IF(AND(YEAR(MarDim1+31)=AnnéeCalendrier,MONTH(MarDim1+31)=3),MarDim1+31,""))</f>
        <v>45742</v>
      </c>
      <c r="U12" s="5">
        <f>IF(DAY(MarDim1)=1,IF(AND(YEAR(MarDim1+25)=AnnéeCalendrier,MONTH(MarDim1+25)=3),MarDim1+25,""),IF(AND(YEAR(MarDim1+32)=AnnéeCalendrier,MONTH(MarDim1+32)=3),MarDim1+32,""))</f>
        <v>45743</v>
      </c>
      <c r="V12" s="5">
        <f>IF(DAY(MarDim1)=1,IF(AND(YEAR(MarDim1+26)=AnnéeCalendrier,MONTH(MarDim1+26)=3),MarDim1+26,""),IF(AND(YEAR(MarDim1+33)=AnnéeCalendrier,MONTH(MarDim1+33)=3),MarDim1+33,""))</f>
        <v>45744</v>
      </c>
      <c r="W12" s="5">
        <f>IF(DAY(MarDim1)=1,IF(AND(YEAR(MarDim1+27)=AnnéeCalendrier,MONTH(MarDim1+27)=3),MarDim1+27,""),IF(AND(YEAR(MarDim1+34)=AnnéeCalendrier,MONTH(MarDim1+34)=3),MarDim1+34,""))</f>
        <v>45745</v>
      </c>
      <c r="X12" s="5">
        <f>IF(DAY(MarDim1)=1,IF(AND(YEAR(MarDim1+28)=AnnéeCalendrier,MONTH(MarDim1+28)=3),MarDim1+28,""),IF(AND(YEAR(MarDim1+35)=AnnéeCalendrier,MONTH(MarDim1+35)=3),MarDim1+35,""))</f>
        <v>45746</v>
      </c>
    </row>
    <row r="13" spans="1:29" ht="36" customHeight="1" x14ac:dyDescent="0.25">
      <c r="B13" s="5" t="str">
        <f>IF(DAY(JanDim1)=1,IF(AND(YEAR(JanDim1+29)=AnnéeCalendrier,MONTH(JanDim1+29)=1),JanDim1+29,""),IF(AND(YEAR(JanDim1+36)=AnnéeCalendrier,MONTH(JanDim1+36)=1),JanDim1+36,""))</f>
        <v/>
      </c>
      <c r="C13" s="5" t="str">
        <f>IF(DAY(JanDim1)=1,IF(AND(YEAR(JanDim1+30)=AnnéeCalendrier,MONTH(JanDim1+30)=1),JanDim1+30,""),IF(AND(YEAR(JanDim1+37)=AnnéeCalendrier,MONTH(JanDim1+37)=1),JanDim1+37,""))</f>
        <v/>
      </c>
      <c r="D13" s="5" t="str">
        <f>IF(DAY(JanDim1)=1,IF(AND(YEAR(JanDim1+31)=AnnéeCalendrier,MONTH(JanDim1+31)=1),JanDim1+31,""),IF(AND(YEAR(JanDim1+38)=AnnéeCalendrier,MONTH(JanDim1+38)=1),JanDim1+38,""))</f>
        <v/>
      </c>
      <c r="E13" s="5" t="str">
        <f>IF(DAY(JanDim1)=1,IF(AND(YEAR(JanDim1+32)=AnnéeCalendrier,MONTH(JanDim1+32)=1),JanDim1+32,""),IF(AND(YEAR(JanDim1+39)=AnnéeCalendrier,MONTH(JanDim1+39)=1),JanDim1+39,""))</f>
        <v/>
      </c>
      <c r="F13" s="5" t="str">
        <f>IF(DAY(JanDim1)=1,IF(AND(YEAR(JanDim1+33)=AnnéeCalendrier,MONTH(JanDim1+33)=1),JanDim1+33,""),IF(AND(YEAR(JanDim1+40)=AnnéeCalendrier,MONTH(JanDim1+40)=1),JanDim1+40,""))</f>
        <v/>
      </c>
      <c r="G13" s="5" t="str">
        <f>IF(DAY(JanDim1)=1,IF(AND(YEAR(JanDim1+34)=AnnéeCalendrier,MONTH(JanDim1+34)=1),JanDim1+34,""),IF(AND(YEAR(JanDim1+41)=AnnéeCalendrier,MONTH(JanDim1+41)=1),JanDim1+41,""))</f>
        <v/>
      </c>
      <c r="H13" s="5" t="str">
        <f>IF(DAY(JanDim1)=1,IF(AND(YEAR(JanDim1+35)=AnnéeCalendrier,MONTH(JanDim1+35)=1),JanDim1+35,""),IF(AND(YEAR(JanDim1+42)=AnnéeCalendrier,MONTH(JanDim1+42)=1),JanDim1+42,""))</f>
        <v/>
      </c>
      <c r="I13" s="4"/>
      <c r="J13" s="5" t="str">
        <f>IF(DAY(FévDim1)=1,IF(AND(YEAR(FévDim1+29)=AnnéeCalendrier,MONTH(FévDim1+29)=2),FévDim1+29,""),IF(AND(YEAR(FévDim1+36)=AnnéeCalendrier,MONTH(FévDim1+36)=2),FévDim1+36,""))</f>
        <v/>
      </c>
      <c r="K13" s="5" t="str">
        <f>IF(DAY(FévDim1)=1,IF(AND(YEAR(FévDim1+30)=AnnéeCalendrier,MONTH(FévDim1+30)=2),FévDim1+30,""),IF(AND(YEAR(FévDim1+37)=AnnéeCalendrier,MONTH(FévDim1+37)=2),FévDim1+37,""))</f>
        <v/>
      </c>
      <c r="L13" s="5" t="str">
        <f>IF(DAY(FévDim1)=1,IF(AND(YEAR(FévDim1+31)=AnnéeCalendrier,MONTH(FévDim1+31)=2),FévDim1+31,""),IF(AND(YEAR(FévDim1+38)=AnnéeCalendrier,MONTH(FévDim1+38)=2),FévDim1+38,""))</f>
        <v/>
      </c>
      <c r="M13" s="5" t="str">
        <f>IF(DAY(FévDim1)=1,IF(AND(YEAR(FévDim1+32)=AnnéeCalendrier,MONTH(FévDim1+32)=2),FévDim1+32,""),IF(AND(YEAR(FévDim1+39)=AnnéeCalendrier,MONTH(FévDim1+39)=2),FévDim1+39,""))</f>
        <v/>
      </c>
      <c r="N13" s="5" t="str">
        <f>IF(DAY(FévDim1)=1,IF(AND(YEAR(FévDim1+33)=AnnéeCalendrier,MONTH(FévDim1+33)=2),FévDim1+33,""),IF(AND(YEAR(FévDim1+40)=AnnéeCalendrier,MONTH(FévDim1+40)=2),FévDim1+40,""))</f>
        <v/>
      </c>
      <c r="O13" s="5" t="str">
        <f>IF(DAY(FévDim1)=1,IF(AND(YEAR(FévDim1+34)=AnnéeCalendrier,MONTH(FévDim1+34)=2),FévDim1+34,""),IF(AND(YEAR(FévDim1+41)=AnnéeCalendrier,MONTH(FévDim1+41)=2),FévDim1+41,""))</f>
        <v/>
      </c>
      <c r="P13" s="5" t="str">
        <f>IF(DAY(FévDim1)=1,IF(AND(YEAR(FévDim1+35)=AnnéeCalendrier,MONTH(FévDim1+35)=2),FévDim1+35,""),IF(AND(YEAR(FévDim1+42)=AnnéeCalendrier,MONTH(FévDim1+42)=2),FévDim1+42,""))</f>
        <v/>
      </c>
      <c r="Q13" s="4"/>
      <c r="R13" s="5">
        <f>IF(DAY(MarDim1)=1,IF(AND(YEAR(MarDim1+29)=AnnéeCalendrier,MONTH(MarDim1+29)=3),MarDim1+29,""),IF(AND(YEAR(MarDim1+36)=AnnéeCalendrier,MONTH(MarDim1+36)=3),MarDim1+36,""))</f>
        <v>45747</v>
      </c>
      <c r="S13" s="5" t="str">
        <f>IF(DAY(MarDim1)=1,IF(AND(YEAR(MarDim1+30)=AnnéeCalendrier,MONTH(MarDim1+30)=3),MarDim1+30,""),IF(AND(YEAR(MarDim1+37)=AnnéeCalendrier,MONTH(MarDim1+37)=3),MarDim1+37,""))</f>
        <v/>
      </c>
      <c r="T13" s="5" t="str">
        <f>IF(DAY(MarDim1)=1,IF(AND(YEAR(MarDim1+31)=AnnéeCalendrier,MONTH(MarDim1+31)=3),MarDim1+31,""),IF(AND(YEAR(MarDim1+38)=AnnéeCalendrier,MONTH(MarDim1+38)=3),MarDim1+38,""))</f>
        <v/>
      </c>
      <c r="U13" s="5" t="str">
        <f>IF(DAY(MarDim1)=1,IF(AND(YEAR(MarDim1+32)=AnnéeCalendrier,MONTH(MarDim1+32)=3),MarDim1+32,""),IF(AND(YEAR(MarDim1+39)=AnnéeCalendrier,MONTH(MarDim1+39)=3),MarDim1+39,""))</f>
        <v/>
      </c>
      <c r="V13" s="5" t="str">
        <f>IF(DAY(MarDim1)=1,IF(AND(YEAR(MarDim1+33)=AnnéeCalendrier,MONTH(MarDim1+33)=3),MarDim1+33,""),IF(AND(YEAR(MarDim1+40)=AnnéeCalendrier,MONTH(MarDim1+40)=3),MarDim1+40,""))</f>
        <v/>
      </c>
      <c r="W13" s="5" t="str">
        <f>IF(DAY(MarDim1)=1,IF(AND(YEAR(MarDim1+34)=AnnéeCalendrier,MONTH(MarDim1+34)=3),MarDim1+34,""),IF(AND(YEAR(MarDim1+41)=AnnéeCalendrier,MONTH(MarDim1+41)=3),MarDim1+41,""))</f>
        <v/>
      </c>
      <c r="X13" s="5" t="str">
        <f>IF(DAY(MarDim1)=1,IF(AND(YEAR(MarDim1+35)=AnnéeCalendrier,MONTH(MarDim1+35)=3),MarDim1+35,""),IF(AND(YEAR(MarDim1+42)=AnnéeCalendrier,MONTH(MarDim1+42)=3),MarDim1+42,""))</f>
        <v/>
      </c>
    </row>
    <row r="14" spans="1:29" ht="20.100000000000001" customHeight="1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29" s="26" customFormat="1" ht="42" customHeight="1" x14ac:dyDescent="0.25">
      <c r="A15" s="25"/>
      <c r="B15" s="48" t="s">
        <v>3</v>
      </c>
      <c r="C15" s="48"/>
      <c r="D15" s="48"/>
      <c r="E15" s="48"/>
      <c r="F15" s="48"/>
      <c r="G15" s="48"/>
      <c r="H15" s="48"/>
      <c r="J15" s="48" t="s">
        <v>13</v>
      </c>
      <c r="K15" s="48"/>
      <c r="L15" s="48"/>
      <c r="M15" s="48"/>
      <c r="N15" s="48"/>
      <c r="O15" s="48"/>
      <c r="P15" s="48"/>
      <c r="R15" s="48" t="s">
        <v>17</v>
      </c>
      <c r="S15" s="48"/>
      <c r="T15" s="48"/>
      <c r="U15" s="48"/>
      <c r="V15" s="48"/>
      <c r="W15" s="48"/>
      <c r="X15" s="48"/>
    </row>
    <row r="16" spans="1:29" s="29" customFormat="1" ht="26.25" customHeight="1" x14ac:dyDescent="0.25">
      <c r="A16" s="28"/>
      <c r="B16" s="29" t="s">
        <v>2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J16" s="29" t="s">
        <v>2</v>
      </c>
      <c r="K16" s="29" t="s">
        <v>6</v>
      </c>
      <c r="L16" s="29" t="s">
        <v>7</v>
      </c>
      <c r="M16" s="29" t="s">
        <v>8</v>
      </c>
      <c r="N16" s="29" t="s">
        <v>9</v>
      </c>
      <c r="O16" s="29" t="s">
        <v>10</v>
      </c>
      <c r="P16" s="29" t="s">
        <v>11</v>
      </c>
      <c r="R16" s="29" t="s">
        <v>2</v>
      </c>
      <c r="S16" s="29" t="s">
        <v>6</v>
      </c>
      <c r="T16" s="29" t="s">
        <v>7</v>
      </c>
      <c r="U16" s="29" t="s">
        <v>8</v>
      </c>
      <c r="V16" s="29" t="s">
        <v>9</v>
      </c>
      <c r="W16" s="29" t="s">
        <v>10</v>
      </c>
      <c r="X16" s="29" t="s">
        <v>11</v>
      </c>
    </row>
    <row r="17" spans="1:24" ht="36" customHeight="1" x14ac:dyDescent="0.25">
      <c r="B17" s="6" t="str">
        <f>IF(DAY(AvrDim1)=1,"",IF(AND(YEAR(AvrDim1+1)=AnnéeCalendrier,MONTH(AvrDim1+1)=4),AvrDim1+1,""))</f>
        <v/>
      </c>
      <c r="C17" s="5">
        <f>IF(DAY(AvrDim1)=1,"",IF(AND(YEAR(AvrDim1+2)=AnnéeCalendrier,MONTH(AvrDim1+2)=4),AvrDim1+2,""))</f>
        <v>45748</v>
      </c>
      <c r="D17" s="5">
        <f>IF(DAY(AvrDim1)=1,"",IF(AND(YEAR(AvrDim1+3)=AnnéeCalendrier,MONTH(AvrDim1+3)=4),AvrDim1+3,""))</f>
        <v>45749</v>
      </c>
      <c r="E17" s="5">
        <f>IF(DAY(AvrDim1)=1,"",IF(AND(YEAR(AvrDim1+4)=AnnéeCalendrier,MONTH(AvrDim1+4)=4),AvrDim1+4,""))</f>
        <v>45750</v>
      </c>
      <c r="F17" s="5">
        <f>IF(DAY(AvrDim1)=1,"",IF(AND(YEAR(AvrDim1+5)=AnnéeCalendrier,MONTH(AvrDim1+5)=4),AvrDim1+5,""))</f>
        <v>45751</v>
      </c>
      <c r="G17" s="5">
        <f>IF(DAY(AvrDim1)=1,"",IF(AND(YEAR(AvrDim1+6)=AnnéeCalendrier,MONTH(AvrDim1+6)=4),AvrDim1+6,""))</f>
        <v>45752</v>
      </c>
      <c r="H17" s="7">
        <f>IF(DAY(AvrDim1)=1,IF(AND(YEAR(AvrDim1)=AnnéeCalendrier,MONTH(AvrDim1)=4),AvrDim1,""),IF(AND(YEAR(AvrDim1+7)=AnnéeCalendrier,MONTH(AvrDim1+7)=4),AvrDim1+7,""))</f>
        <v>45753</v>
      </c>
      <c r="I17" s="4"/>
      <c r="J17" s="6" t="str">
        <f>IF(DAY(MaiDim1)=1,"",IF(AND(YEAR(MaiDim1+1)=AnnéeCalendrier,MONTH(MaiDim1+1)=5),MaiDim1+1,""))</f>
        <v/>
      </c>
      <c r="K17" s="5" t="str">
        <f>IF(DAY(MaiDim1)=1,"",IF(AND(YEAR(MaiDim1+2)=AnnéeCalendrier,MONTH(MaiDim1+2)=5),MaiDim1+2,""))</f>
        <v/>
      </c>
      <c r="L17" s="5" t="str">
        <f>IF(DAY(MaiDim1)=1,"",IF(AND(YEAR(MaiDim1+3)=AnnéeCalendrier,MONTH(MaiDim1+3)=5),MaiDim1+3,""))</f>
        <v/>
      </c>
      <c r="M17" s="5">
        <f>IF(DAY(MaiDim1)=1,"",IF(AND(YEAR(MaiDim1+4)=AnnéeCalendrier,MONTH(MaiDim1+4)=5),MaiDim1+4,""))</f>
        <v>45778</v>
      </c>
      <c r="N17" s="5">
        <f>IF(DAY(MaiDim1)=1,"",IF(AND(YEAR(MaiDim1+5)=AnnéeCalendrier,MONTH(MaiDim1+5)=5),MaiDim1+5,""))</f>
        <v>45779</v>
      </c>
      <c r="O17" s="5">
        <f>IF(DAY(MaiDim1)=1,"",IF(AND(YEAR(MaiDim1+6)=AnnéeCalendrier,MONTH(MaiDim1+6)=5),MaiDim1+6,""))</f>
        <v>45780</v>
      </c>
      <c r="P17" s="7">
        <f>IF(DAY(MaiDim1)=1,IF(AND(YEAR(MaiDim1)=AnnéeCalendrier,MONTH(MaiDim1)=5),MaiDim1,""),IF(AND(YEAR(MaiDim1+7)=AnnéeCalendrier,MONTH(MaiDim1+7)=5),MaiDim1+7,""))</f>
        <v>45781</v>
      </c>
      <c r="Q17" s="4"/>
      <c r="R17" s="6" t="str">
        <f>IF(DAY(JunDim1)=1,"",IF(AND(YEAR(JunDim1+1)=AnnéeCalendrier,MONTH(JunDim1+1)=6),JunDim1+1,""))</f>
        <v/>
      </c>
      <c r="S17" s="5" t="str">
        <f>IF(DAY(JunDim1)=1,"",IF(AND(YEAR(JunDim1+2)=AnnéeCalendrier,MONTH(JunDim1+2)=6),JunDim1+2,""))</f>
        <v/>
      </c>
      <c r="T17" s="5" t="str">
        <f>IF(DAY(JunDim1)=1,"",IF(AND(YEAR(JunDim1+3)=AnnéeCalendrier,MONTH(JunDim1+3)=6),JunDim1+3,""))</f>
        <v/>
      </c>
      <c r="U17" s="5" t="str">
        <f>IF(DAY(JunDim1)=1,"",IF(AND(YEAR(JunDim1+4)=AnnéeCalendrier,MONTH(JunDim1+4)=6),JunDim1+4,""))</f>
        <v/>
      </c>
      <c r="V17" s="5" t="str">
        <f>IF(DAY(JunDim1)=1,"",IF(AND(YEAR(JunDim1+5)=AnnéeCalendrier,MONTH(JunDim1+5)=6),JunDim1+5,""))</f>
        <v/>
      </c>
      <c r="W17" s="5" t="str">
        <f>IF(DAY(JunDim1)=1,"",IF(AND(YEAR(JunDim1+6)=AnnéeCalendrier,MONTH(JunDim1+6)=6),JunDim1+6,""))</f>
        <v/>
      </c>
      <c r="X17" s="7">
        <f>IF(DAY(JunDim1)=1,IF(AND(YEAR(JunDim1)=AnnéeCalendrier,MONTH(JunDim1)=6),JunDim1,""),IF(AND(YEAR(JunDim1+7)=AnnéeCalendrier,MONTH(JunDim1+7)=6),JunDim1+7,""))</f>
        <v>45809</v>
      </c>
    </row>
    <row r="18" spans="1:24" ht="36" customHeight="1" x14ac:dyDescent="0.25">
      <c r="B18" s="6">
        <f>IF(DAY(AvrDim1)=1,IF(AND(YEAR(AvrDim1+1)=AnnéeCalendrier,MONTH(AvrDim1+1)=4),AvrDim1+1,""),IF(AND(YEAR(AvrDim1+8)=AnnéeCalendrier,MONTH(AvrDim1+8)=4),AvrDim1+8,""))</f>
        <v>45754</v>
      </c>
      <c r="C18" s="5">
        <f>IF(DAY(AvrDim1)=1,IF(AND(YEAR(AvrDim1+2)=AnnéeCalendrier,MONTH(AvrDim1+2)=4),AvrDim1+2,""),IF(AND(YEAR(AvrDim1+9)=AnnéeCalendrier,MONTH(AvrDim1+9)=4),AvrDim1+9,""))</f>
        <v>45755</v>
      </c>
      <c r="D18" s="5">
        <f>IF(DAY(AvrDim1)=1,IF(AND(YEAR(AvrDim1+3)=AnnéeCalendrier,MONTH(AvrDim1+3)=4),AvrDim1+3,""),IF(AND(YEAR(AvrDim1+10)=AnnéeCalendrier,MONTH(AvrDim1+10)=4),AvrDim1+10,""))</f>
        <v>45756</v>
      </c>
      <c r="E18" s="5">
        <f>IF(DAY(AvrDim1)=1,IF(AND(YEAR(AvrDim1+4)=AnnéeCalendrier,MONTH(AvrDim1+4)=4),AvrDim1+4,""),IF(AND(YEAR(AvrDim1+11)=AnnéeCalendrier,MONTH(AvrDim1+11)=4),AvrDim1+11,""))</f>
        <v>45757</v>
      </c>
      <c r="F18" s="5">
        <f>IF(DAY(AvrDim1)=1,IF(AND(YEAR(AvrDim1+5)=AnnéeCalendrier,MONTH(AvrDim1+5)=4),AvrDim1+5,""),IF(AND(YEAR(AvrDim1+12)=AnnéeCalendrier,MONTH(AvrDim1+12)=4),AvrDim1+12,""))</f>
        <v>45758</v>
      </c>
      <c r="G18" s="5">
        <f>IF(DAY(AvrDim1)=1,IF(AND(YEAR(AvrDim1+6)=AnnéeCalendrier,MONTH(AvrDim1+6)=4),AvrDim1+6,""),IF(AND(YEAR(AvrDim1+13)=AnnéeCalendrier,MONTH(AvrDim1+13)=4),AvrDim1+13,""))</f>
        <v>45759</v>
      </c>
      <c r="H18" s="7">
        <f>IF(DAY(AvrDim1)=1,IF(AND(YEAR(AvrDim1+7)=AnnéeCalendrier,MONTH(AvrDim1+7)=4),AvrDim1+7,""),IF(AND(YEAR(AvrDim1+14)=AnnéeCalendrier,MONTH(AvrDim1+14)=4),AvrDim1+14,""))</f>
        <v>45760</v>
      </c>
      <c r="I18" s="4"/>
      <c r="J18" s="6">
        <f>IF(DAY(MaiDim1)=1,IF(AND(YEAR(MaiDim1+1)=AnnéeCalendrier,MONTH(MaiDim1+1)=5),MaiDim1+1,""),IF(AND(YEAR(MaiDim1+8)=AnnéeCalendrier,MONTH(MaiDim1+8)=5),MaiDim1+8,""))</f>
        <v>45782</v>
      </c>
      <c r="K18" s="5">
        <f>IF(DAY(MaiDim1)=1,IF(AND(YEAR(MaiDim1+2)=AnnéeCalendrier,MONTH(MaiDim1+2)=5),MaiDim1+2,""),IF(AND(YEAR(MaiDim1+9)=AnnéeCalendrier,MONTH(MaiDim1+9)=5),MaiDim1+9,""))</f>
        <v>45783</v>
      </c>
      <c r="L18" s="5">
        <f>IF(DAY(MaiDim1)=1,IF(AND(YEAR(MaiDim1+3)=AnnéeCalendrier,MONTH(MaiDim1+3)=5),MaiDim1+3,""),IF(AND(YEAR(MaiDim1+10)=AnnéeCalendrier,MONTH(MaiDim1+10)=5),MaiDim1+10,""))</f>
        <v>45784</v>
      </c>
      <c r="M18" s="5">
        <f>IF(DAY(MaiDim1)=1,IF(AND(YEAR(MaiDim1+4)=AnnéeCalendrier,MONTH(MaiDim1+4)=5),MaiDim1+4,""),IF(AND(YEAR(MaiDim1+11)=AnnéeCalendrier,MONTH(MaiDim1+11)=5),MaiDim1+11,""))</f>
        <v>45785</v>
      </c>
      <c r="N18" s="5">
        <f>IF(DAY(MaiDim1)=1,IF(AND(YEAR(MaiDim1+5)=AnnéeCalendrier,MONTH(MaiDim1+5)=5),MaiDim1+5,""),IF(AND(YEAR(MaiDim1+12)=AnnéeCalendrier,MONTH(MaiDim1+12)=5),MaiDim1+12,""))</f>
        <v>45786</v>
      </c>
      <c r="O18" s="5">
        <f>IF(DAY(MaiDim1)=1,IF(AND(YEAR(MaiDim1+6)=AnnéeCalendrier,MONTH(MaiDim1+6)=5),MaiDim1+6,""),IF(AND(YEAR(MaiDim1+13)=AnnéeCalendrier,MONTH(MaiDim1+13)=5),MaiDim1+13,""))</f>
        <v>45787</v>
      </c>
      <c r="P18" s="7">
        <f>IF(DAY(MaiDim1)=1,IF(AND(YEAR(MaiDim1+7)=AnnéeCalendrier,MONTH(MaiDim1+7)=5),MaiDim1+7,""),IF(AND(YEAR(MaiDim1+14)=AnnéeCalendrier,MONTH(MaiDim1+14)=5),MaiDim1+14,""))</f>
        <v>45788</v>
      </c>
      <c r="Q18" s="4"/>
      <c r="R18" s="6">
        <f>IF(DAY(JunDim1)=1,IF(AND(YEAR(JunDim1+1)=AnnéeCalendrier,MONTH(JunDim1+1)=6),JunDim1+1,""),IF(AND(YEAR(JunDim1+8)=AnnéeCalendrier,MONTH(JunDim1+8)=6),JunDim1+8,""))</f>
        <v>45810</v>
      </c>
      <c r="S18" s="5">
        <f>IF(DAY(JunDim1)=1,IF(AND(YEAR(JunDim1+2)=AnnéeCalendrier,MONTH(JunDim1+2)=6),JunDim1+2,""),IF(AND(YEAR(JunDim1+9)=AnnéeCalendrier,MONTH(JunDim1+9)=6),JunDim1+9,""))</f>
        <v>45811</v>
      </c>
      <c r="T18" s="5">
        <f>IF(DAY(JunDim1)=1,IF(AND(YEAR(JunDim1+3)=AnnéeCalendrier,MONTH(JunDim1+3)=6),JunDim1+3,""),IF(AND(YEAR(JunDim1+10)=AnnéeCalendrier,MONTH(JunDim1+10)=6),JunDim1+10,""))</f>
        <v>45812</v>
      </c>
      <c r="U18" s="5">
        <f>IF(DAY(JunDim1)=1,IF(AND(YEAR(JunDim1+4)=AnnéeCalendrier,MONTH(JunDim1+4)=6),JunDim1+4,""),IF(AND(YEAR(JunDim1+11)=AnnéeCalendrier,MONTH(JunDim1+11)=6),JunDim1+11,""))</f>
        <v>45813</v>
      </c>
      <c r="V18" s="5">
        <f>IF(DAY(JunDim1)=1,IF(AND(YEAR(JunDim1+5)=AnnéeCalendrier,MONTH(JunDim1+5)=6),JunDim1+5,""),IF(AND(YEAR(JunDim1+12)=AnnéeCalendrier,MONTH(JunDim1+12)=6),JunDim1+12,""))</f>
        <v>45814</v>
      </c>
      <c r="W18" s="5">
        <f>IF(DAY(JunDim1)=1,IF(AND(YEAR(JunDim1+6)=AnnéeCalendrier,MONTH(JunDim1+6)=6),JunDim1+6,""),IF(AND(YEAR(JunDim1+13)=AnnéeCalendrier,MONTH(JunDim1+13)=6),JunDim1+13,""))</f>
        <v>45815</v>
      </c>
      <c r="X18" s="7">
        <f>IF(DAY(JunDim1)=1,IF(AND(YEAR(JunDim1+7)=AnnéeCalendrier,MONTH(JunDim1+7)=6),JunDim1+7,""),IF(AND(YEAR(JunDim1+14)=AnnéeCalendrier,MONTH(JunDim1+14)=6),JunDim1+14,""))</f>
        <v>45816</v>
      </c>
    </row>
    <row r="19" spans="1:24" ht="36" customHeight="1" x14ac:dyDescent="0.25">
      <c r="B19" s="6">
        <f>IF(DAY(AvrDim1)=1,IF(AND(YEAR(AvrDim1+8)=AnnéeCalendrier,MONTH(AvrDim1+8)=4),AvrDim1+8,""),IF(AND(YEAR(AvrDim1+15)=AnnéeCalendrier,MONTH(AvrDim1+15)=4),AvrDim1+15,""))</f>
        <v>45761</v>
      </c>
      <c r="C19" s="5">
        <f>IF(DAY(AvrDim1)=1,IF(AND(YEAR(AvrDim1+9)=AnnéeCalendrier,MONTH(AvrDim1+9)=4),AvrDim1+9,""),IF(AND(YEAR(AvrDim1+16)=AnnéeCalendrier,MONTH(AvrDim1+16)=4),AvrDim1+16,""))</f>
        <v>45762</v>
      </c>
      <c r="D19" s="5">
        <f>IF(DAY(AvrDim1)=1,IF(AND(YEAR(AvrDim1+10)=AnnéeCalendrier,MONTH(AvrDim1+10)=4),AvrDim1+10,""),IF(AND(YEAR(AvrDim1+17)=AnnéeCalendrier,MONTH(AvrDim1+17)=4),AvrDim1+17,""))</f>
        <v>45763</v>
      </c>
      <c r="E19" s="5">
        <f>IF(DAY(AvrDim1)=1,IF(AND(YEAR(AvrDim1+11)=AnnéeCalendrier,MONTH(AvrDim1+11)=4),AvrDim1+11,""),IF(AND(YEAR(AvrDim1+18)=AnnéeCalendrier,MONTH(AvrDim1+18)=4),AvrDim1+18,""))</f>
        <v>45764</v>
      </c>
      <c r="F19" s="5">
        <f>IF(DAY(AvrDim1)=1,IF(AND(YEAR(AvrDim1+12)=AnnéeCalendrier,MONTH(AvrDim1+12)=4),AvrDim1+12,""),IF(AND(YEAR(AvrDim1+19)=AnnéeCalendrier,MONTH(AvrDim1+19)=4),AvrDim1+19,""))</f>
        <v>45765</v>
      </c>
      <c r="G19" s="5">
        <f>IF(DAY(AvrDim1)=1,IF(AND(YEAR(AvrDim1+13)=AnnéeCalendrier,MONTH(AvrDim1+13)=4),AvrDim1+13,""),IF(AND(YEAR(AvrDim1+20)=AnnéeCalendrier,MONTH(AvrDim1+20)=4),AvrDim1+20,""))</f>
        <v>45766</v>
      </c>
      <c r="H19" s="7">
        <f>IF(DAY(AvrDim1)=1,IF(AND(YEAR(AvrDim1+14)=AnnéeCalendrier,MONTH(AvrDim1+14)=4),AvrDim1+14,""),IF(AND(YEAR(AvrDim1+21)=AnnéeCalendrier,MONTH(AvrDim1+21)=4),AvrDim1+21,""))</f>
        <v>45767</v>
      </c>
      <c r="I19" s="4"/>
      <c r="J19" s="6">
        <f>IF(DAY(MaiDim1)=1,IF(AND(YEAR(MaiDim1+8)=AnnéeCalendrier,MONTH(MaiDim1+8)=5),MaiDim1+8,""),IF(AND(YEAR(MaiDim1+15)=AnnéeCalendrier,MONTH(MaiDim1+15)=5),MaiDim1+15,""))</f>
        <v>45789</v>
      </c>
      <c r="K19" s="5">
        <f>IF(DAY(MaiDim1)=1,IF(AND(YEAR(MaiDim1+9)=AnnéeCalendrier,MONTH(MaiDim1+9)=5),MaiDim1+9,""),IF(AND(YEAR(MaiDim1+16)=AnnéeCalendrier,MONTH(MaiDim1+16)=5),MaiDim1+16,""))</f>
        <v>45790</v>
      </c>
      <c r="L19" s="5">
        <f>IF(DAY(MaiDim1)=1,IF(AND(YEAR(MaiDim1+10)=AnnéeCalendrier,MONTH(MaiDim1+10)=5),MaiDim1+10,""),IF(AND(YEAR(MaiDim1+17)=AnnéeCalendrier,MONTH(MaiDim1+17)=5),MaiDim1+17,""))</f>
        <v>45791</v>
      </c>
      <c r="M19" s="5">
        <f>IF(DAY(MaiDim1)=1,IF(AND(YEAR(MaiDim1+11)=AnnéeCalendrier,MONTH(MaiDim1+11)=5),MaiDim1+11,""),IF(AND(YEAR(MaiDim1+18)=AnnéeCalendrier,MONTH(MaiDim1+18)=5),MaiDim1+18,""))</f>
        <v>45792</v>
      </c>
      <c r="N19" s="5">
        <f>IF(DAY(MaiDim1)=1,IF(AND(YEAR(MaiDim1+12)=AnnéeCalendrier,MONTH(MaiDim1+12)=5),MaiDim1+12,""),IF(AND(YEAR(MaiDim1+19)=AnnéeCalendrier,MONTH(MaiDim1+19)=5),MaiDim1+19,""))</f>
        <v>45793</v>
      </c>
      <c r="O19" s="5">
        <f>IF(DAY(MaiDim1)=1,IF(AND(YEAR(MaiDim1+13)=AnnéeCalendrier,MONTH(MaiDim1+13)=5),MaiDim1+13,""),IF(AND(YEAR(MaiDim1+20)=AnnéeCalendrier,MONTH(MaiDim1+20)=5),MaiDim1+20,""))</f>
        <v>45794</v>
      </c>
      <c r="P19" s="7">
        <f>IF(DAY(MaiDim1)=1,IF(AND(YEAR(MaiDim1+14)=AnnéeCalendrier,MONTH(MaiDim1+14)=5),MaiDim1+14,""),IF(AND(YEAR(MaiDim1+21)=AnnéeCalendrier,MONTH(MaiDim1+21)=5),MaiDim1+21,""))</f>
        <v>45795</v>
      </c>
      <c r="Q19" s="4"/>
      <c r="R19" s="6">
        <f>IF(DAY(JunDim1)=1,IF(AND(YEAR(JunDim1+8)=AnnéeCalendrier,MONTH(JunDim1+8)=6),JunDim1+8,""),IF(AND(YEAR(JunDim1+15)=AnnéeCalendrier,MONTH(JunDim1+15)=6),JunDim1+15,""))</f>
        <v>45817</v>
      </c>
      <c r="S19" s="5">
        <f>IF(DAY(JunDim1)=1,IF(AND(YEAR(JunDim1+9)=AnnéeCalendrier,MONTH(JunDim1+9)=6),JunDim1+9,""),IF(AND(YEAR(JunDim1+16)=AnnéeCalendrier,MONTH(JunDim1+16)=6),JunDim1+16,""))</f>
        <v>45818</v>
      </c>
      <c r="T19" s="5">
        <f>IF(DAY(JunDim1)=1,IF(AND(YEAR(JunDim1+10)=AnnéeCalendrier,MONTH(JunDim1+10)=6),JunDim1+10,""),IF(AND(YEAR(JunDim1+17)=AnnéeCalendrier,MONTH(JunDim1+17)=6),JunDim1+17,""))</f>
        <v>45819</v>
      </c>
      <c r="U19" s="5">
        <f>IF(DAY(JunDim1)=1,IF(AND(YEAR(JunDim1+11)=AnnéeCalendrier,MONTH(JunDim1+11)=6),JunDim1+11,""),IF(AND(YEAR(JunDim1+18)=AnnéeCalendrier,MONTH(JunDim1+18)=6),JunDim1+18,""))</f>
        <v>45820</v>
      </c>
      <c r="V19" s="5">
        <f>IF(DAY(JunDim1)=1,IF(AND(YEAR(JunDim1+12)=AnnéeCalendrier,MONTH(JunDim1+12)=6),JunDim1+12,""),IF(AND(YEAR(JunDim1+19)=AnnéeCalendrier,MONTH(JunDim1+19)=6),JunDim1+19,""))</f>
        <v>45821</v>
      </c>
      <c r="W19" s="5">
        <f>IF(DAY(JunDim1)=1,IF(AND(YEAR(JunDim1+13)=AnnéeCalendrier,MONTH(JunDim1+13)=6),JunDim1+13,""),IF(AND(YEAR(JunDim1+20)=AnnéeCalendrier,MONTH(JunDim1+20)=6),JunDim1+20,""))</f>
        <v>45822</v>
      </c>
      <c r="X19" s="7">
        <f>IF(DAY(JunDim1)=1,IF(AND(YEAR(JunDim1+14)=AnnéeCalendrier,MONTH(JunDim1+14)=6),JunDim1+14,""),IF(AND(YEAR(JunDim1+21)=AnnéeCalendrier,MONTH(JunDim1+21)=6),JunDim1+21,""))</f>
        <v>45823</v>
      </c>
    </row>
    <row r="20" spans="1:24" ht="36" customHeight="1" x14ac:dyDescent="0.25">
      <c r="B20" s="6">
        <f>IF(DAY(AvrDim1)=1,IF(AND(YEAR(AvrDim1+15)=AnnéeCalendrier,MONTH(AvrDim1+15)=4),AvrDim1+15,""),IF(AND(YEAR(AvrDim1+22)=AnnéeCalendrier,MONTH(AvrDim1+22)=4),AvrDim1+22,""))</f>
        <v>45768</v>
      </c>
      <c r="C20" s="5">
        <f>IF(DAY(AvrDim1)=1,IF(AND(YEAR(AvrDim1+16)=AnnéeCalendrier,MONTH(AvrDim1+16)=4),AvrDim1+16,""),IF(AND(YEAR(AvrDim1+23)=AnnéeCalendrier,MONTH(AvrDim1+23)=4),AvrDim1+23,""))</f>
        <v>45769</v>
      </c>
      <c r="D20" s="5">
        <f>IF(DAY(AvrDim1)=1,IF(AND(YEAR(AvrDim1+17)=AnnéeCalendrier,MONTH(AvrDim1+17)=4),AvrDim1+17,""),IF(AND(YEAR(AvrDim1+24)=AnnéeCalendrier,MONTH(AvrDim1+24)=4),AvrDim1+24,""))</f>
        <v>45770</v>
      </c>
      <c r="E20" s="5">
        <f>IF(DAY(AvrDim1)=1,IF(AND(YEAR(AvrDim1+18)=AnnéeCalendrier,MONTH(AvrDim1+18)=4),AvrDim1+18,""),IF(AND(YEAR(AvrDim1+25)=AnnéeCalendrier,MONTH(AvrDim1+25)=4),AvrDim1+25,""))</f>
        <v>45771</v>
      </c>
      <c r="F20" s="5">
        <f>IF(DAY(AvrDim1)=1,IF(AND(YEAR(AvrDim1+19)=AnnéeCalendrier,MONTH(AvrDim1+19)=4),AvrDim1+19,""),IF(AND(YEAR(AvrDim1+26)=AnnéeCalendrier,MONTH(AvrDim1+26)=4),AvrDim1+26,""))</f>
        <v>45772</v>
      </c>
      <c r="G20" s="5">
        <f>IF(DAY(AvrDim1)=1,IF(AND(YEAR(AvrDim1+20)=AnnéeCalendrier,MONTH(AvrDim1+20)=4),AvrDim1+20,""),IF(AND(YEAR(AvrDim1+27)=AnnéeCalendrier,MONTH(AvrDim1+27)=4),AvrDim1+27,""))</f>
        <v>45773</v>
      </c>
      <c r="H20" s="7">
        <f>IF(DAY(AvrDim1)=1,IF(AND(YEAR(AvrDim1+21)=AnnéeCalendrier,MONTH(AvrDim1+21)=4),AvrDim1+21,""),IF(AND(YEAR(AvrDim1+28)=AnnéeCalendrier,MONTH(AvrDim1+28)=4),AvrDim1+28,""))</f>
        <v>45774</v>
      </c>
      <c r="I20" s="4"/>
      <c r="J20" s="6">
        <f>IF(DAY(MaiDim1)=1,IF(AND(YEAR(MaiDim1+15)=AnnéeCalendrier,MONTH(MaiDim1+15)=5),MaiDim1+15,""),IF(AND(YEAR(MaiDim1+22)=AnnéeCalendrier,MONTH(MaiDim1+22)=5),MaiDim1+22,""))</f>
        <v>45796</v>
      </c>
      <c r="K20" s="5">
        <f>IF(DAY(MaiDim1)=1,IF(AND(YEAR(MaiDim1+16)=AnnéeCalendrier,MONTH(MaiDim1+16)=5),MaiDim1+16,""),IF(AND(YEAR(MaiDim1+23)=AnnéeCalendrier,MONTH(MaiDim1+23)=5),MaiDim1+23,""))</f>
        <v>45797</v>
      </c>
      <c r="L20" s="5">
        <f>IF(DAY(MaiDim1)=1,IF(AND(YEAR(MaiDim1+17)=AnnéeCalendrier,MONTH(MaiDim1+17)=5),MaiDim1+17,""),IF(AND(YEAR(MaiDim1+24)=AnnéeCalendrier,MONTH(MaiDim1+24)=5),MaiDim1+24,""))</f>
        <v>45798</v>
      </c>
      <c r="M20" s="5">
        <f>IF(DAY(MaiDim1)=1,IF(AND(YEAR(MaiDim1+18)=AnnéeCalendrier,MONTH(MaiDim1+18)=5),MaiDim1+18,""),IF(AND(YEAR(MaiDim1+25)=AnnéeCalendrier,MONTH(MaiDim1+25)=5),MaiDim1+25,""))</f>
        <v>45799</v>
      </c>
      <c r="N20" s="5">
        <f>IF(DAY(MaiDim1)=1,IF(AND(YEAR(MaiDim1+19)=AnnéeCalendrier,MONTH(MaiDim1+19)=5),MaiDim1+19,""),IF(AND(YEAR(MaiDim1+26)=AnnéeCalendrier,MONTH(MaiDim1+26)=5),MaiDim1+26,""))</f>
        <v>45800</v>
      </c>
      <c r="O20" s="5">
        <f>IF(DAY(MaiDim1)=1,IF(AND(YEAR(MaiDim1+20)=AnnéeCalendrier,MONTH(MaiDim1+20)=5),MaiDim1+20,""),IF(AND(YEAR(MaiDim1+27)=AnnéeCalendrier,MONTH(MaiDim1+27)=5),MaiDim1+27,""))</f>
        <v>45801</v>
      </c>
      <c r="P20" s="7">
        <f>IF(DAY(MaiDim1)=1,IF(AND(YEAR(MaiDim1+21)=AnnéeCalendrier,MONTH(MaiDim1+21)=5),MaiDim1+21,""),IF(AND(YEAR(MaiDim1+28)=AnnéeCalendrier,MONTH(MaiDim1+28)=5),MaiDim1+28,""))</f>
        <v>45802</v>
      </c>
      <c r="Q20" s="4"/>
      <c r="R20" s="6">
        <f>IF(DAY(JunDim1)=1,IF(AND(YEAR(JunDim1+15)=AnnéeCalendrier,MONTH(JunDim1+15)=6),JunDim1+15,""),IF(AND(YEAR(JunDim1+22)=AnnéeCalendrier,MONTH(JunDim1+22)=6),JunDim1+22,""))</f>
        <v>45824</v>
      </c>
      <c r="S20" s="5">
        <f>IF(DAY(JunDim1)=1,IF(AND(YEAR(JunDim1+16)=AnnéeCalendrier,MONTH(JunDim1+16)=6),JunDim1+16,""),IF(AND(YEAR(JunDim1+23)=AnnéeCalendrier,MONTH(JunDim1+23)=6),JunDim1+23,""))</f>
        <v>45825</v>
      </c>
      <c r="T20" s="5">
        <f>IF(DAY(JunDim1)=1,IF(AND(YEAR(JunDim1+17)=AnnéeCalendrier,MONTH(JunDim1+17)=6),JunDim1+17,""),IF(AND(YEAR(JunDim1+24)=AnnéeCalendrier,MONTH(JunDim1+24)=6),JunDim1+24,""))</f>
        <v>45826</v>
      </c>
      <c r="U20" s="5">
        <f>IF(DAY(JunDim1)=1,IF(AND(YEAR(JunDim1+18)=AnnéeCalendrier,MONTH(JunDim1+18)=6),JunDim1+18,""),IF(AND(YEAR(JunDim1+25)=AnnéeCalendrier,MONTH(JunDim1+25)=6),JunDim1+25,""))</f>
        <v>45827</v>
      </c>
      <c r="V20" s="5">
        <f>IF(DAY(JunDim1)=1,IF(AND(YEAR(JunDim1+19)=AnnéeCalendrier,MONTH(JunDim1+19)=6),JunDim1+19,""),IF(AND(YEAR(JunDim1+26)=AnnéeCalendrier,MONTH(JunDim1+26)=6),JunDim1+26,""))</f>
        <v>45828</v>
      </c>
      <c r="W20" s="5">
        <f>IF(DAY(JunDim1)=1,IF(AND(YEAR(JunDim1+20)=AnnéeCalendrier,MONTH(JunDim1+20)=6),JunDim1+20,""),IF(AND(YEAR(JunDim1+27)=AnnéeCalendrier,MONTH(JunDim1+27)=6),JunDim1+27,""))</f>
        <v>45829</v>
      </c>
      <c r="X20" s="7">
        <f>IF(DAY(JunDim1)=1,IF(AND(YEAR(JunDim1+21)=AnnéeCalendrier,MONTH(JunDim1+21)=6),JunDim1+21,""),IF(AND(YEAR(JunDim1+28)=AnnéeCalendrier,MONTH(JunDim1+28)=6),JunDim1+28,""))</f>
        <v>45830</v>
      </c>
    </row>
    <row r="21" spans="1:24" ht="36" customHeight="1" x14ac:dyDescent="0.25">
      <c r="B21" s="6">
        <f>IF(DAY(AvrDim1)=1,IF(AND(YEAR(AvrDim1+22)=AnnéeCalendrier,MONTH(AvrDim1+22)=4),AvrDim1+22,""),IF(AND(YEAR(AvrDim1+29)=AnnéeCalendrier,MONTH(AvrDim1+29)=4),AvrDim1+29,""))</f>
        <v>45775</v>
      </c>
      <c r="C21" s="5">
        <f>IF(DAY(AvrDim1)=1,IF(AND(YEAR(AvrDim1+23)=AnnéeCalendrier,MONTH(AvrDim1+23)=4),AvrDim1+23,""),IF(AND(YEAR(AvrDim1+30)=AnnéeCalendrier,MONTH(AvrDim1+30)=4),AvrDim1+30,""))</f>
        <v>45776</v>
      </c>
      <c r="D21" s="5">
        <f>IF(DAY(AvrDim1)=1,IF(AND(YEAR(AvrDim1+24)=AnnéeCalendrier,MONTH(AvrDim1+24)=4),AvrDim1+24,""),IF(AND(YEAR(AvrDim1+31)=AnnéeCalendrier,MONTH(AvrDim1+31)=4),AvrDim1+31,""))</f>
        <v>45777</v>
      </c>
      <c r="E21" s="5" t="str">
        <f>IF(DAY(AvrDim1)=1,IF(AND(YEAR(AvrDim1+25)=AnnéeCalendrier,MONTH(AvrDim1+25)=4),AvrDim1+25,""),IF(AND(YEAR(AvrDim1+32)=AnnéeCalendrier,MONTH(AvrDim1+32)=4),AvrDim1+32,""))</f>
        <v/>
      </c>
      <c r="F21" s="5" t="str">
        <f>IF(DAY(AvrDim1)=1,IF(AND(YEAR(AvrDim1+26)=AnnéeCalendrier,MONTH(AvrDim1+26)=4),AvrDim1+26,""),IF(AND(YEAR(AvrDim1+33)=AnnéeCalendrier,MONTH(AvrDim1+33)=4),AvrDim1+33,""))</f>
        <v/>
      </c>
      <c r="G21" s="5" t="str">
        <f>IF(DAY(AvrDim1)=1,IF(AND(YEAR(AvrDim1+27)=AnnéeCalendrier,MONTH(AvrDim1+27)=4),AvrDim1+27,""),IF(AND(YEAR(AvrDim1+34)=AnnéeCalendrier,MONTH(AvrDim1+34)=4),AvrDim1+34,""))</f>
        <v/>
      </c>
      <c r="H21" s="7" t="str">
        <f>IF(DAY(AvrDim1)=1,IF(AND(YEAR(AvrDim1+28)=AnnéeCalendrier,MONTH(AvrDim1+28)=4),AvrDim1+28,""),IF(AND(YEAR(AvrDim1+35)=AnnéeCalendrier,MONTH(AvrDim1+35)=4),AvrDim1+35,""))</f>
        <v/>
      </c>
      <c r="I21" s="4"/>
      <c r="J21" s="6">
        <f>IF(DAY(MaiDim1)=1,IF(AND(YEAR(MaiDim1+22)=AnnéeCalendrier,MONTH(MaiDim1+22)=5),MaiDim1+22,""),IF(AND(YEAR(MaiDim1+29)=AnnéeCalendrier,MONTH(MaiDim1+29)=5),MaiDim1+29,""))</f>
        <v>45803</v>
      </c>
      <c r="K21" s="5">
        <f>IF(DAY(MaiDim1)=1,IF(AND(YEAR(MaiDim1+23)=AnnéeCalendrier,MONTH(MaiDim1+23)=5),MaiDim1+23,""),IF(AND(YEAR(MaiDim1+30)=AnnéeCalendrier,MONTH(MaiDim1+30)=5),MaiDim1+30,""))</f>
        <v>45804</v>
      </c>
      <c r="L21" s="5">
        <f>IF(DAY(MaiDim1)=1,IF(AND(YEAR(MaiDim1+24)=AnnéeCalendrier,MONTH(MaiDim1+24)=5),MaiDim1+24,""),IF(AND(YEAR(MaiDim1+31)=AnnéeCalendrier,MONTH(MaiDim1+31)=5),MaiDim1+31,""))</f>
        <v>45805</v>
      </c>
      <c r="M21" s="5">
        <f>IF(DAY(MaiDim1)=1,IF(AND(YEAR(MaiDim1+25)=AnnéeCalendrier,MONTH(MaiDim1+25)=5),MaiDim1+25,""),IF(AND(YEAR(MaiDim1+32)=AnnéeCalendrier,MONTH(MaiDim1+32)=5),MaiDim1+32,""))</f>
        <v>45806</v>
      </c>
      <c r="N21" s="5">
        <f>IF(DAY(MaiDim1)=1,IF(AND(YEAR(MaiDim1+26)=AnnéeCalendrier,MONTH(MaiDim1+26)=5),MaiDim1+26,""),IF(AND(YEAR(MaiDim1+33)=AnnéeCalendrier,MONTH(MaiDim1+33)=5),MaiDim1+33,""))</f>
        <v>45807</v>
      </c>
      <c r="O21" s="5">
        <f>IF(DAY(MaiDim1)=1,IF(AND(YEAR(MaiDim1+27)=AnnéeCalendrier,MONTH(MaiDim1+27)=5),MaiDim1+27,""),IF(AND(YEAR(MaiDim1+34)=AnnéeCalendrier,MONTH(MaiDim1+34)=5),MaiDim1+34,""))</f>
        <v>45808</v>
      </c>
      <c r="P21" s="7" t="str">
        <f>IF(DAY(MaiDim1)=1,IF(AND(YEAR(MaiDim1+28)=AnnéeCalendrier,MONTH(MaiDim1+28)=5),MaiDim1+28,""),IF(AND(YEAR(MaiDim1+35)=AnnéeCalendrier,MONTH(MaiDim1+35)=5),MaiDim1+35,""))</f>
        <v/>
      </c>
      <c r="Q21" s="4"/>
      <c r="R21" s="6">
        <f>IF(DAY(JunDim1)=1,IF(AND(YEAR(JunDim1+22)=AnnéeCalendrier,MONTH(JunDim1+22)=6),JunDim1+22,""),IF(AND(YEAR(JunDim1+29)=AnnéeCalendrier,MONTH(JunDim1+29)=6),JunDim1+29,""))</f>
        <v>45831</v>
      </c>
      <c r="S21" s="5">
        <f>IF(DAY(JunDim1)=1,IF(AND(YEAR(JunDim1+23)=AnnéeCalendrier,MONTH(JunDim1+23)=6),JunDim1+23,""),IF(AND(YEAR(JunDim1+30)=AnnéeCalendrier,MONTH(JunDim1+30)=6),JunDim1+30,""))</f>
        <v>45832</v>
      </c>
      <c r="T21" s="5">
        <f>IF(DAY(JunDim1)=1,IF(AND(YEAR(JunDim1+24)=AnnéeCalendrier,MONTH(JunDim1+24)=6),JunDim1+24,""),IF(AND(YEAR(JunDim1+31)=AnnéeCalendrier,MONTH(JunDim1+31)=6),JunDim1+31,""))</f>
        <v>45833</v>
      </c>
      <c r="U21" s="5">
        <f>IF(DAY(JunDim1)=1,IF(AND(YEAR(JunDim1+25)=AnnéeCalendrier,MONTH(JunDim1+25)=6),JunDim1+25,""),IF(AND(YEAR(JunDim1+32)=AnnéeCalendrier,MONTH(JunDim1+32)=6),JunDim1+32,""))</f>
        <v>45834</v>
      </c>
      <c r="V21" s="5">
        <f>IF(DAY(JunDim1)=1,IF(AND(YEAR(JunDim1+26)=AnnéeCalendrier,MONTH(JunDim1+26)=6),JunDim1+26,""),IF(AND(YEAR(JunDim1+33)=AnnéeCalendrier,MONTH(JunDim1+33)=6),JunDim1+33,""))</f>
        <v>45835</v>
      </c>
      <c r="W21" s="5">
        <f>IF(DAY(JunDim1)=1,IF(AND(YEAR(JunDim1+27)=AnnéeCalendrier,MONTH(JunDim1+27)=6),JunDim1+27,""),IF(AND(YEAR(JunDim1+34)=AnnéeCalendrier,MONTH(JunDim1+34)=6),JunDim1+34,""))</f>
        <v>45836</v>
      </c>
      <c r="X21" s="7">
        <f>IF(DAY(JunDim1)=1,IF(AND(YEAR(JunDim1+28)=AnnéeCalendrier,MONTH(JunDim1+28)=6),JunDim1+28,""),IF(AND(YEAR(JunDim1+35)=AnnéeCalendrier,MONTH(JunDim1+35)=6),JunDim1+35,""))</f>
        <v>45837</v>
      </c>
    </row>
    <row r="22" spans="1:24" ht="36" customHeight="1" x14ac:dyDescent="0.25">
      <c r="B22" s="8" t="str">
        <f>IF(DAY(AvrDim1)=1,IF(AND(YEAR(AvrDim1+29)=AnnéeCalendrier,MONTH(AvrDim1+29)=4),AvrDim1+29,""),IF(AND(YEAR(AvrDim1+36)=AnnéeCalendrier,MONTH(AvrDim1+36)=4),AvrDim1+36,""))</f>
        <v/>
      </c>
      <c r="C22" s="9" t="str">
        <f>IF(DAY(AvrDim1)=1,IF(AND(YEAR(AvrDim1+30)=AnnéeCalendrier,MONTH(AvrDim1+30)=4),AvrDim1+30,""),IF(AND(YEAR(AvrDim1+37)=AnnéeCalendrier,MONTH(AvrDim1+37)=4),AvrDim1+37,""))</f>
        <v/>
      </c>
      <c r="D22" s="9" t="str">
        <f>IF(DAY(AvrDim1)=1,IF(AND(YEAR(AvrDim1+31)=AnnéeCalendrier,MONTH(AvrDim1+31)=4),AvrDim1+31,""),IF(AND(YEAR(AvrDim1+38)=AnnéeCalendrier,MONTH(AvrDim1+38)=4),AvrDim1+38,""))</f>
        <v/>
      </c>
      <c r="E22" s="9" t="str">
        <f>IF(DAY(AvrDim1)=1,IF(AND(YEAR(AvrDim1+32)=AnnéeCalendrier,MONTH(AvrDim1+32)=4),AvrDim1+32,""),IF(AND(YEAR(AvrDim1+39)=AnnéeCalendrier,MONTH(AvrDim1+39)=4),AvrDim1+39,""))</f>
        <v/>
      </c>
      <c r="F22" s="9" t="str">
        <f>IF(DAY(AvrDim1)=1,IF(AND(YEAR(AvrDim1+33)=AnnéeCalendrier,MONTH(AvrDim1+33)=4),AvrDim1+33,""),IF(AND(YEAR(AvrDim1+40)=AnnéeCalendrier,MONTH(AvrDim1+40)=4),AvrDim1+40,""))</f>
        <v/>
      </c>
      <c r="G22" s="9" t="str">
        <f>IF(DAY(AvrDim1)=1,IF(AND(YEAR(AvrDim1+34)=AnnéeCalendrier,MONTH(AvrDim1+34)=4),AvrDim1+34,""),IF(AND(YEAR(AvrDim1+41)=AnnéeCalendrier,MONTH(AvrDim1+41)=4),AvrDim1+41,""))</f>
        <v/>
      </c>
      <c r="H22" s="10" t="str">
        <f>IF(DAY(AvrDim1)=1,IF(AND(YEAR(AvrDim1+35)=AnnéeCalendrier,MONTH(AvrDim1+35)=4),AvrDim1+35,""),IF(AND(YEAR(AvrDim1+42)=AnnéeCalendrier,MONTH(AvrDim1+42)=4),AvrDim1+42,""))</f>
        <v/>
      </c>
      <c r="I22" s="4"/>
      <c r="J22" s="8" t="str">
        <f>IF(DAY(MaiDim1)=1,IF(AND(YEAR(MaiDim1+29)=AnnéeCalendrier,MONTH(MaiDim1+29)=5),MaiDim1+29,""),IF(AND(YEAR(MaiDim1+36)=AnnéeCalendrier,MONTH(MaiDim1+36)=5),MaiDim1+36,""))</f>
        <v/>
      </c>
      <c r="K22" s="9" t="str">
        <f>IF(DAY(MaiDim1)=1,IF(AND(YEAR(MaiDim1+30)=AnnéeCalendrier,MONTH(MaiDim1+30)=5),MaiDim1+30,""),IF(AND(YEAR(MaiDim1+37)=AnnéeCalendrier,MONTH(MaiDim1+37)=5),MaiDim1+37,""))</f>
        <v/>
      </c>
      <c r="L22" s="9" t="str">
        <f>IF(DAY(MaiDim1)=1,IF(AND(YEAR(MaiDim1+31)=AnnéeCalendrier,MONTH(MaiDim1+31)=5),MaiDim1+31,""),IF(AND(YEAR(MaiDim1+38)=AnnéeCalendrier,MONTH(MaiDim1+38)=5),MaiDim1+38,""))</f>
        <v/>
      </c>
      <c r="M22" s="9" t="str">
        <f>IF(DAY(MaiDim1)=1,IF(AND(YEAR(MaiDim1+32)=AnnéeCalendrier,MONTH(MaiDim1+32)=5),MaiDim1+32,""),IF(AND(YEAR(MaiDim1+39)=AnnéeCalendrier,MONTH(MaiDim1+39)=5),MaiDim1+39,""))</f>
        <v/>
      </c>
      <c r="N22" s="9" t="str">
        <f>IF(DAY(MaiDim1)=1,IF(AND(YEAR(MaiDim1+33)=AnnéeCalendrier,MONTH(MaiDim1+33)=5),MaiDim1+33,""),IF(AND(YEAR(MaiDim1+40)=AnnéeCalendrier,MONTH(MaiDim1+40)=5),MaiDim1+40,""))</f>
        <v/>
      </c>
      <c r="O22" s="9" t="str">
        <f>IF(DAY(MaiDim1)=1,IF(AND(YEAR(MaiDim1+34)=AnnéeCalendrier,MONTH(MaiDim1+34)=5),MaiDim1+34,""),IF(AND(YEAR(MaiDim1+41)=AnnéeCalendrier,MONTH(MaiDim1+41)=5),MaiDim1+41,""))</f>
        <v/>
      </c>
      <c r="P22" s="10" t="str">
        <f>IF(DAY(MaiDim1)=1,IF(AND(YEAR(MaiDim1+35)=AnnéeCalendrier,MONTH(MaiDim1+35)=5),MaiDim1+35,""),IF(AND(YEAR(MaiDim1+42)=AnnéeCalendrier,MONTH(MaiDim1+42)=5),MaiDim1+42,""))</f>
        <v/>
      </c>
      <c r="Q22" s="4"/>
      <c r="R22" s="8">
        <f>IF(DAY(JunDim1)=1,IF(AND(YEAR(JunDim1+29)=AnnéeCalendrier,MONTH(JunDim1+29)=6),JunDim1+29,""),IF(AND(YEAR(JunDim1+36)=AnnéeCalendrier,MONTH(JunDim1+36)=6),JunDim1+36,""))</f>
        <v>45838</v>
      </c>
      <c r="S22" s="9" t="str">
        <f>IF(DAY(JunDim1)=1,IF(AND(YEAR(JunDim1+30)=AnnéeCalendrier,MONTH(JunDim1+30)=6),JunDim1+30,""),IF(AND(YEAR(JunDim1+37)=AnnéeCalendrier,MONTH(JunDim1+37)=6),JunDim1+37,""))</f>
        <v/>
      </c>
      <c r="T22" s="9" t="str">
        <f>IF(DAY(JunDim1)=1,IF(AND(YEAR(JunDim1+31)=AnnéeCalendrier,MONTH(JunDim1+31)=6),JunDim1+31,""),IF(AND(YEAR(JunDim1+38)=AnnéeCalendrier,MONTH(JunDim1+38)=6),JunDim1+38,""))</f>
        <v/>
      </c>
      <c r="U22" s="9" t="str">
        <f>IF(DAY(JunDim1)=1,IF(AND(YEAR(JunDim1+32)=AnnéeCalendrier,MONTH(JunDim1+32)=6),JunDim1+32,""),IF(AND(YEAR(JunDim1+39)=AnnéeCalendrier,MONTH(JunDim1+39)=6),JunDim1+39,""))</f>
        <v/>
      </c>
      <c r="V22" s="9" t="str">
        <f>IF(DAY(JunDim1)=1,IF(AND(YEAR(JunDim1+33)=AnnéeCalendrier,MONTH(JunDim1+33)=6),JunDim1+33,""),IF(AND(YEAR(JunDim1+40)=AnnéeCalendrier,MONTH(JunDim1+40)=6),JunDim1+40,""))</f>
        <v/>
      </c>
      <c r="W22" s="9" t="str">
        <f>IF(DAY(JunDim1)=1,IF(AND(YEAR(JunDim1+34)=AnnéeCalendrier,MONTH(JunDim1+34)=6),JunDim1+34,""),IF(AND(YEAR(JunDim1+41)=AnnéeCalendrier,MONTH(JunDim1+41)=6),JunDim1+41,""))</f>
        <v/>
      </c>
      <c r="X22" s="10" t="str">
        <f>IF(DAY(JunDim1)=1,IF(AND(YEAR(JunDim1+35)=AnnéeCalendrier,MONTH(JunDim1+35)=6),JunDim1+35,""),IF(AND(YEAR(JunDim1+42)=AnnéeCalendrier,MONTH(JunDim1+42)=6),JunDim1+42,""))</f>
        <v/>
      </c>
    </row>
    <row r="23" spans="1:24" ht="20.100000000000001" customHeight="1" x14ac:dyDescent="0.25">
      <c r="I23" s="4"/>
      <c r="R23" s="4"/>
      <c r="S23" s="4"/>
      <c r="T23" s="4"/>
      <c r="U23" s="4"/>
      <c r="V23" s="4"/>
      <c r="W23" s="4"/>
      <c r="X23" s="4"/>
    </row>
    <row r="24" spans="1:24" s="26" customFormat="1" ht="42" customHeight="1" x14ac:dyDescent="0.25">
      <c r="A24" s="25"/>
      <c r="B24" s="48" t="s">
        <v>4</v>
      </c>
      <c r="C24" s="48"/>
      <c r="D24" s="48"/>
      <c r="E24" s="48"/>
      <c r="F24" s="48"/>
      <c r="G24" s="48"/>
      <c r="H24" s="48"/>
      <c r="J24" s="48" t="s">
        <v>14</v>
      </c>
      <c r="K24" s="48"/>
      <c r="L24" s="48"/>
      <c r="M24" s="48"/>
      <c r="N24" s="48"/>
      <c r="O24" s="48"/>
      <c r="P24" s="48"/>
      <c r="R24" s="48" t="s">
        <v>18</v>
      </c>
      <c r="S24" s="48"/>
      <c r="T24" s="48"/>
      <c r="U24" s="48"/>
      <c r="V24" s="48"/>
      <c r="W24" s="48"/>
      <c r="X24" s="48"/>
    </row>
    <row r="25" spans="1:24" s="29" customFormat="1" ht="26.25" customHeight="1" x14ac:dyDescent="0.25">
      <c r="A25" s="28"/>
      <c r="B25" s="29" t="s">
        <v>2</v>
      </c>
      <c r="C25" s="29" t="s">
        <v>6</v>
      </c>
      <c r="D25" s="29" t="s">
        <v>7</v>
      </c>
      <c r="E25" s="29" t="s">
        <v>8</v>
      </c>
      <c r="F25" s="29" t="s">
        <v>9</v>
      </c>
      <c r="G25" s="29" t="s">
        <v>10</v>
      </c>
      <c r="H25" s="29" t="s">
        <v>11</v>
      </c>
      <c r="J25" s="29" t="s">
        <v>2</v>
      </c>
      <c r="K25" s="29" t="s">
        <v>6</v>
      </c>
      <c r="L25" s="29" t="s">
        <v>7</v>
      </c>
      <c r="M25" s="29" t="s">
        <v>8</v>
      </c>
      <c r="N25" s="29" t="s">
        <v>9</v>
      </c>
      <c r="O25" s="29" t="s">
        <v>10</v>
      </c>
      <c r="P25" s="29" t="s">
        <v>11</v>
      </c>
      <c r="R25" s="29" t="s">
        <v>2</v>
      </c>
      <c r="S25" s="29" t="s">
        <v>6</v>
      </c>
      <c r="T25" s="29" t="s">
        <v>7</v>
      </c>
      <c r="U25" s="29" t="s">
        <v>8</v>
      </c>
      <c r="V25" s="29" t="s">
        <v>9</v>
      </c>
      <c r="W25" s="29" t="s">
        <v>10</v>
      </c>
      <c r="X25" s="29" t="s">
        <v>11</v>
      </c>
    </row>
    <row r="26" spans="1:24" ht="36" customHeight="1" x14ac:dyDescent="0.25">
      <c r="B26" s="6" t="str">
        <f>IF(DAY(JulDim1)=1,"",IF(AND(YEAR(JulDim1+1)=AnnéeCalendrier,MONTH(JulDim1+1)=7),JulDim1+1,""))</f>
        <v/>
      </c>
      <c r="C26" s="5">
        <f>IF(DAY(JulDim1)=1,"",IF(AND(YEAR(JulDim1+2)=AnnéeCalendrier,MONTH(JulDim1+2)=7),JulDim1+2,""))</f>
        <v>45839</v>
      </c>
      <c r="D26" s="5">
        <f>IF(DAY(JulDim1)=1,"",IF(AND(YEAR(JulDim1+3)=AnnéeCalendrier,MONTH(JulDim1+3)=7),JulDim1+3,""))</f>
        <v>45840</v>
      </c>
      <c r="E26" s="5">
        <f>IF(DAY(JulDim1)=1,"",IF(AND(YEAR(JulDim1+4)=AnnéeCalendrier,MONTH(JulDim1+4)=7),JulDim1+4,""))</f>
        <v>45841</v>
      </c>
      <c r="F26" s="5">
        <f>IF(DAY(JulDim1)=1,"",IF(AND(YEAR(JulDim1+5)=AnnéeCalendrier,MONTH(JulDim1+5)=7),JulDim1+5,""))</f>
        <v>45842</v>
      </c>
      <c r="G26" s="5">
        <f>IF(DAY(JulDim1)=1,"",IF(AND(YEAR(JulDim1+6)=AnnéeCalendrier,MONTH(JulDim1+6)=7),JulDim1+6,""))</f>
        <v>45843</v>
      </c>
      <c r="H26" s="7">
        <f>IF(DAY(JulDim1)=1,IF(AND(YEAR(JulDim1)=AnnéeCalendrier,MONTH(JulDim1)=7),JulDim1,""),IF(AND(YEAR(JulDim1+7)=AnnéeCalendrier,MONTH(JulDim1+7)=7),JulDim1+7,""))</f>
        <v>45844</v>
      </c>
      <c r="J26" s="6" t="str">
        <f>IF(DAY(AouDim1)=1,"",IF(AND(YEAR(AouDim1+1)=AnnéeCalendrier,MONTH(AouDim1+1)=8),AouDim1+1,""))</f>
        <v/>
      </c>
      <c r="K26" s="5" t="str">
        <f>IF(DAY(AouDim1)=1,"",IF(AND(YEAR(AouDim1+2)=AnnéeCalendrier,MONTH(AouDim1+2)=8),AouDim1+2,""))</f>
        <v/>
      </c>
      <c r="L26" s="5" t="str">
        <f>IF(DAY(AouDim1)=1,"",IF(AND(YEAR(AouDim1+3)=AnnéeCalendrier,MONTH(AouDim1+3)=8),AouDim1+3,""))</f>
        <v/>
      </c>
      <c r="M26" s="5" t="str">
        <f>IF(DAY(AouDim1)=1,"",IF(AND(YEAR(AouDim1+4)=AnnéeCalendrier,MONTH(AouDim1+4)=8),AouDim1+4,""))</f>
        <v/>
      </c>
      <c r="N26" s="5">
        <f>IF(DAY(AouDim1)=1,"",IF(AND(YEAR(AouDim1+5)=AnnéeCalendrier,MONTH(AouDim1+5)=8),AouDim1+5,""))</f>
        <v>45870</v>
      </c>
      <c r="O26" s="5">
        <f>IF(DAY(AouDim1)=1,"",IF(AND(YEAR(AouDim1+6)=AnnéeCalendrier,MONTH(AouDim1+6)=8),AouDim1+6,""))</f>
        <v>45871</v>
      </c>
      <c r="P26" s="7">
        <f>IF(DAY(AouDim1)=1,IF(AND(YEAR(AouDim1)=AnnéeCalendrier,MONTH(AouDim1)=8),AouDim1,""),IF(AND(YEAR(AouDim1+7)=AnnéeCalendrier,MONTH(AouDim1+7)=8),AouDim1+7,""))</f>
        <v>45872</v>
      </c>
      <c r="Q26" s="1"/>
      <c r="R26" s="6">
        <f>IF(DAY(SepDim1)=1,"",IF(AND(YEAR(SepDim1+1)=AnnéeCalendrier,MONTH(SepDim1+1)=9),SepDim1+1,""))</f>
        <v>45901</v>
      </c>
      <c r="S26" s="5">
        <f>IF(DAY(SepDim1)=1,"",IF(AND(YEAR(SepDim1+2)=AnnéeCalendrier,MONTH(SepDim1+2)=9),SepDim1+2,""))</f>
        <v>45902</v>
      </c>
      <c r="T26" s="5">
        <f>IF(DAY(SepDim1)=1,"",IF(AND(YEAR(SepDim1+3)=AnnéeCalendrier,MONTH(SepDim1+3)=9),SepDim1+3,""))</f>
        <v>45903</v>
      </c>
      <c r="U26" s="5">
        <f>IF(DAY(SepDim1)=1,"",IF(AND(YEAR(SepDim1+4)=AnnéeCalendrier,MONTH(SepDim1+4)=9),SepDim1+4,""))</f>
        <v>45904</v>
      </c>
      <c r="V26" s="5">
        <f>IF(DAY(SepDim1)=1,"",IF(AND(YEAR(SepDim1+5)=AnnéeCalendrier,MONTH(SepDim1+5)=9),SepDim1+5,""))</f>
        <v>45905</v>
      </c>
      <c r="W26" s="5">
        <f>IF(DAY(SepDim1)=1,"",IF(AND(YEAR(SepDim1+6)=AnnéeCalendrier,MONTH(SepDim1+6)=9),SepDim1+6,""))</f>
        <v>45906</v>
      </c>
      <c r="X26" s="7">
        <f>IF(DAY(SepDim1)=1,IF(AND(YEAR(SepDim1)=AnnéeCalendrier,MONTH(SepDim1)=9),SepDim1,""),IF(AND(YEAR(SepDim1+7)=AnnéeCalendrier,MONTH(SepDim1+7)=9),SepDim1+7,""))</f>
        <v>45907</v>
      </c>
    </row>
    <row r="27" spans="1:24" ht="36" customHeight="1" x14ac:dyDescent="0.25">
      <c r="B27" s="6">
        <f>IF(DAY(JulDim1)=1,IF(AND(YEAR(JulDim1+1)=AnnéeCalendrier,MONTH(JulDim1+1)=7),JulDim1+1,""),IF(AND(YEAR(JulDim1+8)=AnnéeCalendrier,MONTH(JulDim1+8)=7),JulDim1+8,""))</f>
        <v>45845</v>
      </c>
      <c r="C27" s="5">
        <f>IF(DAY(JulDim1)=1,IF(AND(YEAR(JulDim1+2)=AnnéeCalendrier,MONTH(JulDim1+2)=7),JulDim1+2,""),IF(AND(YEAR(JulDim1+9)=AnnéeCalendrier,MONTH(JulDim1+9)=7),JulDim1+9,""))</f>
        <v>45846</v>
      </c>
      <c r="D27" s="5">
        <f>IF(DAY(JulDim1)=1,IF(AND(YEAR(JulDim1+3)=AnnéeCalendrier,MONTH(JulDim1+3)=7),JulDim1+3,""),IF(AND(YEAR(JulDim1+10)=AnnéeCalendrier,MONTH(JulDim1+10)=7),JulDim1+10,""))</f>
        <v>45847</v>
      </c>
      <c r="E27" s="5">
        <f>IF(DAY(JulDim1)=1,IF(AND(YEAR(JulDim1+4)=AnnéeCalendrier,MONTH(JulDim1+4)=7),JulDim1+4,""),IF(AND(YEAR(JulDim1+11)=AnnéeCalendrier,MONTH(JulDim1+11)=7),JulDim1+11,""))</f>
        <v>45848</v>
      </c>
      <c r="F27" s="5">
        <f>IF(DAY(JulDim1)=1,IF(AND(YEAR(JulDim1+5)=AnnéeCalendrier,MONTH(JulDim1+5)=7),JulDim1+5,""),IF(AND(YEAR(JulDim1+12)=AnnéeCalendrier,MONTH(JulDim1+12)=7),JulDim1+12,""))</f>
        <v>45849</v>
      </c>
      <c r="G27" s="5">
        <f>IF(DAY(JulDim1)=1,IF(AND(YEAR(JulDim1+6)=AnnéeCalendrier,MONTH(JulDim1+6)=7),JulDim1+6,""),IF(AND(YEAR(JulDim1+13)=AnnéeCalendrier,MONTH(JulDim1+13)=7),JulDim1+13,""))</f>
        <v>45850</v>
      </c>
      <c r="H27" s="7">
        <f>IF(DAY(JulDim1)=1,IF(AND(YEAR(JulDim1+7)=AnnéeCalendrier,MONTH(JulDim1+7)=7),JulDim1+7,""),IF(AND(YEAR(JulDim1+14)=AnnéeCalendrier,MONTH(JulDim1+14)=7),JulDim1+14,""))</f>
        <v>45851</v>
      </c>
      <c r="J27" s="6">
        <f>IF(DAY(AouDim1)=1,IF(AND(YEAR(AouDim1+1)=AnnéeCalendrier,MONTH(AouDim1+1)=8),AouDim1+1,""),IF(AND(YEAR(AouDim1+8)=AnnéeCalendrier,MONTH(AouDim1+8)=8),AouDim1+8,""))</f>
        <v>45873</v>
      </c>
      <c r="K27" s="5">
        <f>IF(DAY(AouDim1)=1,IF(AND(YEAR(AouDim1+2)=AnnéeCalendrier,MONTH(AouDim1+2)=8),AouDim1+2,""),IF(AND(YEAR(AouDim1+9)=AnnéeCalendrier,MONTH(AouDim1+9)=8),AouDim1+9,""))</f>
        <v>45874</v>
      </c>
      <c r="L27" s="5">
        <f>IF(DAY(AouDim1)=1,IF(AND(YEAR(AouDim1+3)=AnnéeCalendrier,MONTH(AouDim1+3)=8),AouDim1+3,""),IF(AND(YEAR(AouDim1+10)=AnnéeCalendrier,MONTH(AouDim1+10)=8),AouDim1+10,""))</f>
        <v>45875</v>
      </c>
      <c r="M27" s="5">
        <f>IF(DAY(AouDim1)=1,IF(AND(YEAR(AouDim1+4)=AnnéeCalendrier,MONTH(AouDim1+4)=8),AouDim1+4,""),IF(AND(YEAR(AouDim1+11)=AnnéeCalendrier,MONTH(AouDim1+11)=8),AouDim1+11,""))</f>
        <v>45876</v>
      </c>
      <c r="N27" s="5">
        <f>IF(DAY(AouDim1)=1,IF(AND(YEAR(AouDim1+5)=AnnéeCalendrier,MONTH(AouDim1+5)=8),AouDim1+5,""),IF(AND(YEAR(AouDim1+12)=AnnéeCalendrier,MONTH(AouDim1+12)=8),AouDim1+12,""))</f>
        <v>45877</v>
      </c>
      <c r="O27" s="5">
        <f>IF(DAY(AouDim1)=1,IF(AND(YEAR(AouDim1+6)=AnnéeCalendrier,MONTH(AouDim1+6)=8),AouDim1+6,""),IF(AND(YEAR(AouDim1+13)=AnnéeCalendrier,MONTH(AouDim1+13)=8),AouDim1+13,""))</f>
        <v>45878</v>
      </c>
      <c r="P27" s="7">
        <f>IF(DAY(AouDim1)=1,IF(AND(YEAR(AouDim1+7)=AnnéeCalendrier,MONTH(AouDim1+7)=8),AouDim1+7,""),IF(AND(YEAR(AouDim1+14)=AnnéeCalendrier,MONTH(AouDim1+14)=8),AouDim1+14,""))</f>
        <v>45879</v>
      </c>
      <c r="Q27" s="1"/>
      <c r="R27" s="6">
        <f>IF(DAY(SepDim1)=1,IF(AND(YEAR(SepDim1+1)=AnnéeCalendrier,MONTH(SepDim1+1)=9),SepDim1+1,""),IF(AND(YEAR(SepDim1+8)=AnnéeCalendrier,MONTH(SepDim1+8)=9),SepDim1+8,""))</f>
        <v>45908</v>
      </c>
      <c r="S27" s="5">
        <f>IF(DAY(SepDim1)=1,IF(AND(YEAR(SepDim1+2)=AnnéeCalendrier,MONTH(SepDim1+2)=9),SepDim1+2,""),IF(AND(YEAR(SepDim1+9)=AnnéeCalendrier,MONTH(SepDim1+9)=9),SepDim1+9,""))</f>
        <v>45909</v>
      </c>
      <c r="T27" s="5">
        <f>IF(DAY(SepDim1)=1,IF(AND(YEAR(SepDim1+3)=AnnéeCalendrier,MONTH(SepDim1+3)=9),SepDim1+3,""),IF(AND(YEAR(SepDim1+10)=AnnéeCalendrier,MONTH(SepDim1+10)=9),SepDim1+10,""))</f>
        <v>45910</v>
      </c>
      <c r="U27" s="5">
        <f>IF(DAY(SepDim1)=1,IF(AND(YEAR(SepDim1+4)=AnnéeCalendrier,MONTH(SepDim1+4)=9),SepDim1+4,""),IF(AND(YEAR(SepDim1+11)=AnnéeCalendrier,MONTH(SepDim1+11)=9),SepDim1+11,""))</f>
        <v>45911</v>
      </c>
      <c r="V27" s="5">
        <f>IF(DAY(SepDim1)=1,IF(AND(YEAR(SepDim1+5)=AnnéeCalendrier,MONTH(SepDim1+5)=9),SepDim1+5,""),IF(AND(YEAR(SepDim1+12)=AnnéeCalendrier,MONTH(SepDim1+12)=9),SepDim1+12,""))</f>
        <v>45912</v>
      </c>
      <c r="W27" s="5">
        <f>IF(DAY(SepDim1)=1,IF(AND(YEAR(SepDim1+6)=AnnéeCalendrier,MONTH(SepDim1+6)=9),SepDim1+6,""),IF(AND(YEAR(SepDim1+13)=AnnéeCalendrier,MONTH(SepDim1+13)=9),SepDim1+13,""))</f>
        <v>45913</v>
      </c>
      <c r="X27" s="7">
        <f>IF(DAY(SepDim1)=1,IF(AND(YEAR(SepDim1+7)=AnnéeCalendrier,MONTH(SepDim1+7)=9),SepDim1+7,""),IF(AND(YEAR(SepDim1+14)=AnnéeCalendrier,MONTH(SepDim1+14)=9),SepDim1+14,""))</f>
        <v>45914</v>
      </c>
    </row>
    <row r="28" spans="1:24" ht="36" customHeight="1" x14ac:dyDescent="0.25">
      <c r="B28" s="6">
        <f>IF(DAY(JulDim1)=1,IF(AND(YEAR(JulDim1+8)=AnnéeCalendrier,MONTH(JulDim1+8)=7),JulDim1+8,""),IF(AND(YEAR(JulDim1+15)=AnnéeCalendrier,MONTH(JulDim1+15)=7),JulDim1+15,""))</f>
        <v>45852</v>
      </c>
      <c r="C28" s="5">
        <f>IF(DAY(JulDim1)=1,IF(AND(YEAR(JulDim1+9)=AnnéeCalendrier,MONTH(JulDim1+9)=7),JulDim1+9,""),IF(AND(YEAR(JulDim1+16)=AnnéeCalendrier,MONTH(JulDim1+16)=7),JulDim1+16,""))</f>
        <v>45853</v>
      </c>
      <c r="D28" s="5">
        <f>IF(DAY(JulDim1)=1,IF(AND(YEAR(JulDim1+10)=AnnéeCalendrier,MONTH(JulDim1+10)=7),JulDim1+10,""),IF(AND(YEAR(JulDim1+17)=AnnéeCalendrier,MONTH(JulDim1+17)=7),JulDim1+17,""))</f>
        <v>45854</v>
      </c>
      <c r="E28" s="5">
        <f>IF(DAY(JulDim1)=1,IF(AND(YEAR(JulDim1+11)=AnnéeCalendrier,MONTH(JulDim1+11)=7),JulDim1+11,""),IF(AND(YEAR(JulDim1+18)=AnnéeCalendrier,MONTH(JulDim1+18)=7),JulDim1+18,""))</f>
        <v>45855</v>
      </c>
      <c r="F28" s="5">
        <f>IF(DAY(JulDim1)=1,IF(AND(YEAR(JulDim1+12)=AnnéeCalendrier,MONTH(JulDim1+12)=7),JulDim1+12,""),IF(AND(YEAR(JulDim1+19)=AnnéeCalendrier,MONTH(JulDim1+19)=7),JulDim1+19,""))</f>
        <v>45856</v>
      </c>
      <c r="G28" s="5">
        <f>IF(DAY(JulDim1)=1,IF(AND(YEAR(JulDim1+13)=AnnéeCalendrier,MONTH(JulDim1+13)=7),JulDim1+13,""),IF(AND(YEAR(JulDim1+20)=AnnéeCalendrier,MONTH(JulDim1+20)=7),JulDim1+20,""))</f>
        <v>45857</v>
      </c>
      <c r="H28" s="7">
        <f>IF(DAY(JulDim1)=1,IF(AND(YEAR(JulDim1+14)=AnnéeCalendrier,MONTH(JulDim1+14)=7),JulDim1+14,""),IF(AND(YEAR(JulDim1+21)=AnnéeCalendrier,MONTH(JulDim1+21)=7),JulDim1+21,""))</f>
        <v>45858</v>
      </c>
      <c r="J28" s="6">
        <f>IF(DAY(AouDim1)=1,IF(AND(YEAR(AouDim1+8)=AnnéeCalendrier,MONTH(AouDim1+8)=8),AouDim1+8,""),IF(AND(YEAR(AouDim1+15)=AnnéeCalendrier,MONTH(AouDim1+15)=8),AouDim1+15,""))</f>
        <v>45880</v>
      </c>
      <c r="K28" s="5">
        <f>IF(DAY(AouDim1)=1,IF(AND(YEAR(AouDim1+9)=AnnéeCalendrier,MONTH(AouDim1+9)=8),AouDim1+9,""),IF(AND(YEAR(AouDim1+16)=AnnéeCalendrier,MONTH(AouDim1+16)=8),AouDim1+16,""))</f>
        <v>45881</v>
      </c>
      <c r="L28" s="5">
        <f>IF(DAY(AouDim1)=1,IF(AND(YEAR(AouDim1+10)=AnnéeCalendrier,MONTH(AouDim1+10)=8),AouDim1+10,""),IF(AND(YEAR(AouDim1+17)=AnnéeCalendrier,MONTH(AouDim1+17)=8),AouDim1+17,""))</f>
        <v>45882</v>
      </c>
      <c r="M28" s="5">
        <f>IF(DAY(AouDim1)=1,IF(AND(YEAR(AouDim1+11)=AnnéeCalendrier,MONTH(AouDim1+11)=8),AouDim1+11,""),IF(AND(YEAR(AouDim1+18)=AnnéeCalendrier,MONTH(AouDim1+18)=8),AouDim1+18,""))</f>
        <v>45883</v>
      </c>
      <c r="N28" s="5">
        <f>IF(DAY(AouDim1)=1,IF(AND(YEAR(AouDim1+12)=AnnéeCalendrier,MONTH(AouDim1+12)=8),AouDim1+12,""),IF(AND(YEAR(AouDim1+19)=AnnéeCalendrier,MONTH(AouDim1+19)=8),AouDim1+19,""))</f>
        <v>45884</v>
      </c>
      <c r="O28" s="5">
        <f>IF(DAY(AouDim1)=1,IF(AND(YEAR(AouDim1+13)=AnnéeCalendrier,MONTH(AouDim1+13)=8),AouDim1+13,""),IF(AND(YEAR(AouDim1+20)=AnnéeCalendrier,MONTH(AouDim1+20)=8),AouDim1+20,""))</f>
        <v>45885</v>
      </c>
      <c r="P28" s="7">
        <f>IF(DAY(AouDim1)=1,IF(AND(YEAR(AouDim1+14)=AnnéeCalendrier,MONTH(AouDim1+14)=8),AouDim1+14,""),IF(AND(YEAR(AouDim1+21)=AnnéeCalendrier,MONTH(AouDim1+21)=8),AouDim1+21,""))</f>
        <v>45886</v>
      </c>
      <c r="Q28" s="1"/>
      <c r="R28" s="6">
        <f>IF(DAY(SepDim1)=1,IF(AND(YEAR(SepDim1+8)=AnnéeCalendrier,MONTH(SepDim1+8)=9),SepDim1+8,""),IF(AND(YEAR(SepDim1+15)=AnnéeCalendrier,MONTH(SepDim1+15)=9),SepDim1+15,""))</f>
        <v>45915</v>
      </c>
      <c r="S28" s="5">
        <f>IF(DAY(SepDim1)=1,IF(AND(YEAR(SepDim1+9)=AnnéeCalendrier,MONTH(SepDim1+9)=9),SepDim1+9,""),IF(AND(YEAR(SepDim1+16)=AnnéeCalendrier,MONTH(SepDim1+16)=9),SepDim1+16,""))</f>
        <v>45916</v>
      </c>
      <c r="T28" s="5">
        <f>IF(DAY(SepDim1)=1,IF(AND(YEAR(SepDim1+10)=AnnéeCalendrier,MONTH(SepDim1+10)=9),SepDim1+10,""),IF(AND(YEAR(SepDim1+17)=AnnéeCalendrier,MONTH(SepDim1+17)=9),SepDim1+17,""))</f>
        <v>45917</v>
      </c>
      <c r="U28" s="5">
        <f>IF(DAY(SepDim1)=1,IF(AND(YEAR(SepDim1+11)=AnnéeCalendrier,MONTH(SepDim1+11)=9),SepDim1+11,""),IF(AND(YEAR(SepDim1+18)=AnnéeCalendrier,MONTH(SepDim1+18)=9),SepDim1+18,""))</f>
        <v>45918</v>
      </c>
      <c r="V28" s="5">
        <f>IF(DAY(SepDim1)=1,IF(AND(YEAR(SepDim1+12)=AnnéeCalendrier,MONTH(SepDim1+12)=9),SepDim1+12,""),IF(AND(YEAR(SepDim1+19)=AnnéeCalendrier,MONTH(SepDim1+19)=9),SepDim1+19,""))</f>
        <v>45919</v>
      </c>
      <c r="W28" s="5">
        <f>IF(DAY(SepDim1)=1,IF(AND(YEAR(SepDim1+13)=AnnéeCalendrier,MONTH(SepDim1+13)=9),SepDim1+13,""),IF(AND(YEAR(SepDim1+20)=AnnéeCalendrier,MONTH(SepDim1+20)=9),SepDim1+20,""))</f>
        <v>45920</v>
      </c>
      <c r="X28" s="7">
        <f>IF(DAY(SepDim1)=1,IF(AND(YEAR(SepDim1+14)=AnnéeCalendrier,MONTH(SepDim1+14)=9),SepDim1+14,""),IF(AND(YEAR(SepDim1+21)=AnnéeCalendrier,MONTH(SepDim1+21)=9),SepDim1+21,""))</f>
        <v>45921</v>
      </c>
    </row>
    <row r="29" spans="1:24" ht="36" customHeight="1" x14ac:dyDescent="0.25">
      <c r="B29" s="6">
        <f>IF(DAY(JulDim1)=1,IF(AND(YEAR(JulDim1+15)=AnnéeCalendrier,MONTH(JulDim1+15)=7),JulDim1+15,""),IF(AND(YEAR(JulDim1+22)=AnnéeCalendrier,MONTH(JulDim1+22)=7),JulDim1+22,""))</f>
        <v>45859</v>
      </c>
      <c r="C29" s="5">
        <f>IF(DAY(JulDim1)=1,IF(AND(YEAR(JulDim1+16)=AnnéeCalendrier,MONTH(JulDim1+16)=7),JulDim1+16,""),IF(AND(YEAR(JulDim1+23)=AnnéeCalendrier,MONTH(JulDim1+23)=7),JulDim1+23,""))</f>
        <v>45860</v>
      </c>
      <c r="D29" s="5">
        <f>IF(DAY(JulDim1)=1,IF(AND(YEAR(JulDim1+17)=AnnéeCalendrier,MONTH(JulDim1+17)=7),JulDim1+17,""),IF(AND(YEAR(JulDim1+24)=AnnéeCalendrier,MONTH(JulDim1+24)=7),JulDim1+24,""))</f>
        <v>45861</v>
      </c>
      <c r="E29" s="5">
        <f>IF(DAY(JulDim1)=1,IF(AND(YEAR(JulDim1+18)=AnnéeCalendrier,MONTH(JulDim1+18)=7),JulDim1+18,""),IF(AND(YEAR(JulDim1+25)=AnnéeCalendrier,MONTH(JulDim1+25)=7),JulDim1+25,""))</f>
        <v>45862</v>
      </c>
      <c r="F29" s="5">
        <f>IF(DAY(JulDim1)=1,IF(AND(YEAR(JulDim1+19)=AnnéeCalendrier,MONTH(JulDim1+19)=7),JulDim1+19,""),IF(AND(YEAR(JulDim1+26)=AnnéeCalendrier,MONTH(JulDim1+26)=7),JulDim1+26,""))</f>
        <v>45863</v>
      </c>
      <c r="G29" s="5">
        <f>IF(DAY(JulDim1)=1,IF(AND(YEAR(JulDim1+20)=AnnéeCalendrier,MONTH(JulDim1+20)=7),JulDim1+20,""),IF(AND(YEAR(JulDim1+27)=AnnéeCalendrier,MONTH(JulDim1+27)=7),JulDim1+27,""))</f>
        <v>45864</v>
      </c>
      <c r="H29" s="7">
        <f>IF(DAY(JulDim1)=1,IF(AND(YEAR(JulDim1+21)=AnnéeCalendrier,MONTH(JulDim1+21)=7),JulDim1+21,""),IF(AND(YEAR(JulDim1+28)=AnnéeCalendrier,MONTH(JulDim1+28)=7),JulDim1+28,""))</f>
        <v>45865</v>
      </c>
      <c r="J29" s="6">
        <f>IF(DAY(AouDim1)=1,IF(AND(YEAR(AouDim1+15)=AnnéeCalendrier,MONTH(AouDim1+15)=8),AouDim1+15,""),IF(AND(YEAR(AouDim1+22)=AnnéeCalendrier,MONTH(AouDim1+22)=8),AouDim1+22,""))</f>
        <v>45887</v>
      </c>
      <c r="K29" s="5">
        <f>IF(DAY(AouDim1)=1,IF(AND(YEAR(AouDim1+16)=AnnéeCalendrier,MONTH(AouDim1+16)=8),AouDim1+16,""),IF(AND(YEAR(AouDim1+23)=AnnéeCalendrier,MONTH(AouDim1+23)=8),AouDim1+23,""))</f>
        <v>45888</v>
      </c>
      <c r="L29" s="5">
        <f>IF(DAY(AouDim1)=1,IF(AND(YEAR(AouDim1+17)=AnnéeCalendrier,MONTH(AouDim1+17)=8),AouDim1+17,""),IF(AND(YEAR(AouDim1+24)=AnnéeCalendrier,MONTH(AouDim1+24)=8),AouDim1+24,""))</f>
        <v>45889</v>
      </c>
      <c r="M29" s="5">
        <f>IF(DAY(AouDim1)=1,IF(AND(YEAR(AouDim1+18)=AnnéeCalendrier,MONTH(AouDim1+18)=8),AouDim1+18,""),IF(AND(YEAR(AouDim1+25)=AnnéeCalendrier,MONTH(AouDim1+25)=8),AouDim1+25,""))</f>
        <v>45890</v>
      </c>
      <c r="N29" s="5">
        <f>IF(DAY(AouDim1)=1,IF(AND(YEAR(AouDim1+19)=AnnéeCalendrier,MONTH(AouDim1+19)=8),AouDim1+19,""),IF(AND(YEAR(AouDim1+26)=AnnéeCalendrier,MONTH(AouDim1+26)=8),AouDim1+26,""))</f>
        <v>45891</v>
      </c>
      <c r="O29" s="5">
        <f>IF(DAY(AouDim1)=1,IF(AND(YEAR(AouDim1+20)=AnnéeCalendrier,MONTH(AouDim1+20)=8),AouDim1+20,""),IF(AND(YEAR(AouDim1+27)=AnnéeCalendrier,MONTH(AouDim1+27)=8),AouDim1+27,""))</f>
        <v>45892</v>
      </c>
      <c r="P29" s="7">
        <f>IF(DAY(AouDim1)=1,IF(AND(YEAR(AouDim1+21)=AnnéeCalendrier,MONTH(AouDim1+21)=8),AouDim1+21,""),IF(AND(YEAR(AouDim1+28)=AnnéeCalendrier,MONTH(AouDim1+28)=8),AouDim1+28,""))</f>
        <v>45893</v>
      </c>
      <c r="Q29" s="1"/>
      <c r="R29" s="6">
        <f>IF(DAY(SepDim1)=1,IF(AND(YEAR(SepDim1+15)=AnnéeCalendrier,MONTH(SepDim1+15)=9),SepDim1+15,""),IF(AND(YEAR(SepDim1+22)=AnnéeCalendrier,MONTH(SepDim1+22)=9),SepDim1+22,""))</f>
        <v>45922</v>
      </c>
      <c r="S29" s="5">
        <f>IF(DAY(SepDim1)=1,IF(AND(YEAR(SepDim1+16)=AnnéeCalendrier,MONTH(SepDim1+16)=9),SepDim1+16,""),IF(AND(YEAR(SepDim1+23)=AnnéeCalendrier,MONTH(SepDim1+23)=9),SepDim1+23,""))</f>
        <v>45923</v>
      </c>
      <c r="T29" s="5">
        <f>IF(DAY(SepDim1)=1,IF(AND(YEAR(SepDim1+17)=AnnéeCalendrier,MONTH(SepDim1+17)=9),SepDim1+17,""),IF(AND(YEAR(SepDim1+24)=AnnéeCalendrier,MONTH(SepDim1+24)=9),SepDim1+24,""))</f>
        <v>45924</v>
      </c>
      <c r="U29" s="5">
        <f>IF(DAY(SepDim1)=1,IF(AND(YEAR(SepDim1+18)=AnnéeCalendrier,MONTH(SepDim1+18)=9),SepDim1+18,""),IF(AND(YEAR(SepDim1+25)=AnnéeCalendrier,MONTH(SepDim1+25)=9),SepDim1+25,""))</f>
        <v>45925</v>
      </c>
      <c r="V29" s="5">
        <f>IF(DAY(SepDim1)=1,IF(AND(YEAR(SepDim1+19)=AnnéeCalendrier,MONTH(SepDim1+19)=9),SepDim1+19,""),IF(AND(YEAR(SepDim1+26)=AnnéeCalendrier,MONTH(SepDim1+26)=9),SepDim1+26,""))</f>
        <v>45926</v>
      </c>
      <c r="W29" s="5">
        <f>IF(DAY(SepDim1)=1,IF(AND(YEAR(SepDim1+20)=AnnéeCalendrier,MONTH(SepDim1+20)=9),SepDim1+20,""),IF(AND(YEAR(SepDim1+27)=AnnéeCalendrier,MONTH(SepDim1+27)=9),SepDim1+27,""))</f>
        <v>45927</v>
      </c>
      <c r="X29" s="7">
        <f>IF(DAY(SepDim1)=1,IF(AND(YEAR(SepDim1+21)=AnnéeCalendrier,MONTH(SepDim1+21)=9),SepDim1+21,""),IF(AND(YEAR(SepDim1+28)=AnnéeCalendrier,MONTH(SepDim1+28)=9),SepDim1+28,""))</f>
        <v>45928</v>
      </c>
    </row>
    <row r="30" spans="1:24" ht="36" customHeight="1" x14ac:dyDescent="0.25">
      <c r="B30" s="6">
        <f>IF(DAY(JulDim1)=1,IF(AND(YEAR(JulDim1+22)=AnnéeCalendrier,MONTH(JulDim1+22)=7),JulDim1+22,""),IF(AND(YEAR(JulDim1+29)=AnnéeCalendrier,MONTH(JulDim1+29)=7),JulDim1+29,""))</f>
        <v>45866</v>
      </c>
      <c r="C30" s="5">
        <f>IF(DAY(JulDim1)=1,IF(AND(YEAR(JulDim1+23)=AnnéeCalendrier,MONTH(JulDim1+23)=7),JulDim1+23,""),IF(AND(YEAR(JulDim1+30)=AnnéeCalendrier,MONTH(JulDim1+30)=7),JulDim1+30,""))</f>
        <v>45867</v>
      </c>
      <c r="D30" s="5">
        <f>IF(DAY(JulDim1)=1,IF(AND(YEAR(JulDim1+24)=AnnéeCalendrier,MONTH(JulDim1+24)=7),JulDim1+24,""),IF(AND(YEAR(JulDim1+31)=AnnéeCalendrier,MONTH(JulDim1+31)=7),JulDim1+31,""))</f>
        <v>45868</v>
      </c>
      <c r="E30" s="5">
        <f>IF(DAY(JulDim1)=1,IF(AND(YEAR(JulDim1+25)=AnnéeCalendrier,MONTH(JulDim1+25)=7),JulDim1+25,""),IF(AND(YEAR(JulDim1+32)=AnnéeCalendrier,MONTH(JulDim1+32)=7),JulDim1+32,""))</f>
        <v>45869</v>
      </c>
      <c r="F30" s="5" t="str">
        <f>IF(DAY(JulDim1)=1,IF(AND(YEAR(JulDim1+26)=AnnéeCalendrier,MONTH(JulDim1+26)=7),JulDim1+26,""),IF(AND(YEAR(JulDim1+33)=AnnéeCalendrier,MONTH(JulDim1+33)=7),JulDim1+33,""))</f>
        <v/>
      </c>
      <c r="G30" s="5" t="str">
        <f>IF(DAY(JulDim1)=1,IF(AND(YEAR(JulDim1+27)=AnnéeCalendrier,MONTH(JulDim1+27)=7),JulDim1+27,""),IF(AND(YEAR(JulDim1+34)=AnnéeCalendrier,MONTH(JulDim1+34)=7),JulDim1+34,""))</f>
        <v/>
      </c>
      <c r="H30" s="7" t="str">
        <f>IF(DAY(JulDim1)=1,IF(AND(YEAR(JulDim1+28)=AnnéeCalendrier,MONTH(JulDim1+28)=7),JulDim1+28,""),IF(AND(YEAR(JulDim1+35)=AnnéeCalendrier,MONTH(JulDim1+35)=7),JulDim1+35,""))</f>
        <v/>
      </c>
      <c r="J30" s="6">
        <f>IF(DAY(AouDim1)=1,IF(AND(YEAR(AouDim1+22)=AnnéeCalendrier,MONTH(AouDim1+22)=8),AouDim1+22,""),IF(AND(YEAR(AouDim1+29)=AnnéeCalendrier,MONTH(AouDim1+29)=8),AouDim1+29,""))</f>
        <v>45894</v>
      </c>
      <c r="K30" s="5">
        <f>IF(DAY(AouDim1)=1,IF(AND(YEAR(AouDim1+23)=AnnéeCalendrier,MONTH(AouDim1+23)=8),AouDim1+23,""),IF(AND(YEAR(AouDim1+30)=AnnéeCalendrier,MONTH(AouDim1+30)=8),AouDim1+30,""))</f>
        <v>45895</v>
      </c>
      <c r="L30" s="5">
        <f>IF(DAY(AouDim1)=1,IF(AND(YEAR(AouDim1+24)=AnnéeCalendrier,MONTH(AouDim1+24)=8),AouDim1+24,""),IF(AND(YEAR(AouDim1+31)=AnnéeCalendrier,MONTH(AouDim1+31)=8),AouDim1+31,""))</f>
        <v>45896</v>
      </c>
      <c r="M30" s="5">
        <f>IF(DAY(AouDim1)=1,IF(AND(YEAR(AouDim1+25)=AnnéeCalendrier,MONTH(AouDim1+25)=8),AouDim1+25,""),IF(AND(YEAR(AouDim1+32)=AnnéeCalendrier,MONTH(AouDim1+32)=8),AouDim1+32,""))</f>
        <v>45897</v>
      </c>
      <c r="N30" s="5">
        <f>IF(DAY(AouDim1)=1,IF(AND(YEAR(AouDim1+26)=AnnéeCalendrier,MONTH(AouDim1+26)=8),AouDim1+26,""),IF(AND(YEAR(AouDim1+33)=AnnéeCalendrier,MONTH(AouDim1+33)=8),AouDim1+33,""))</f>
        <v>45898</v>
      </c>
      <c r="O30" s="5">
        <f>IF(DAY(AouDim1)=1,IF(AND(YEAR(AouDim1+27)=AnnéeCalendrier,MONTH(AouDim1+27)=8),AouDim1+27,""),IF(AND(YEAR(AouDim1+34)=AnnéeCalendrier,MONTH(AouDim1+34)=8),AouDim1+34,""))</f>
        <v>45899</v>
      </c>
      <c r="P30" s="7">
        <f>IF(DAY(AouDim1)=1,IF(AND(YEAR(AouDim1+28)=AnnéeCalendrier,MONTH(AouDim1+28)=8),AouDim1+28,""),IF(AND(YEAR(AouDim1+35)=AnnéeCalendrier,MONTH(AouDim1+35)=8),AouDim1+35,""))</f>
        <v>45900</v>
      </c>
      <c r="Q30" s="1"/>
      <c r="R30" s="6">
        <f>IF(DAY(SepDim1)=1,IF(AND(YEAR(SepDim1+22)=AnnéeCalendrier,MONTH(SepDim1+22)=9),SepDim1+22,""),IF(AND(YEAR(SepDim1+29)=AnnéeCalendrier,MONTH(SepDim1+29)=9),SepDim1+29,""))</f>
        <v>45929</v>
      </c>
      <c r="S30" s="5">
        <f>IF(DAY(SepDim1)=1,IF(AND(YEAR(SepDim1+23)=AnnéeCalendrier,MONTH(SepDim1+23)=9),SepDim1+23,""),IF(AND(YEAR(SepDim1+30)=AnnéeCalendrier,MONTH(SepDim1+30)=9),SepDim1+30,""))</f>
        <v>45930</v>
      </c>
      <c r="T30" s="5" t="str">
        <f>IF(DAY(SepDim1)=1,IF(AND(YEAR(SepDim1+24)=AnnéeCalendrier,MONTH(SepDim1+24)=9),SepDim1+24,""),IF(AND(YEAR(SepDim1+31)=AnnéeCalendrier,MONTH(SepDim1+31)=9),SepDim1+31,""))</f>
        <v/>
      </c>
      <c r="U30" s="5" t="str">
        <f>IF(DAY(SepDim1)=1,IF(AND(YEAR(SepDim1+25)=AnnéeCalendrier,MONTH(SepDim1+25)=9),SepDim1+25,""),IF(AND(YEAR(SepDim1+32)=AnnéeCalendrier,MONTH(SepDim1+32)=9),SepDim1+32,""))</f>
        <v/>
      </c>
      <c r="V30" s="5" t="str">
        <f>IF(DAY(SepDim1)=1,IF(AND(YEAR(SepDim1+26)=AnnéeCalendrier,MONTH(SepDim1+26)=9),SepDim1+26,""),IF(AND(YEAR(SepDim1+33)=AnnéeCalendrier,MONTH(SepDim1+33)=9),SepDim1+33,""))</f>
        <v/>
      </c>
      <c r="W30" s="5" t="str">
        <f>IF(DAY(SepDim1)=1,IF(AND(YEAR(SepDim1+27)=AnnéeCalendrier,MONTH(SepDim1+27)=9),SepDim1+27,""),IF(AND(YEAR(SepDim1+34)=AnnéeCalendrier,MONTH(SepDim1+34)=9),SepDim1+34,""))</f>
        <v/>
      </c>
      <c r="X30" s="7" t="str">
        <f>IF(DAY(SepDim1)=1,IF(AND(YEAR(SepDim1+28)=AnnéeCalendrier,MONTH(SepDim1+28)=9),SepDim1+28,""),IF(AND(YEAR(SepDim1+35)=AnnéeCalendrier,MONTH(SepDim1+35)=9),SepDim1+35,""))</f>
        <v/>
      </c>
    </row>
    <row r="31" spans="1:24" ht="36" customHeight="1" x14ac:dyDescent="0.25">
      <c r="B31" s="8" t="str">
        <f>IF(DAY(JulDim1)=1,IF(AND(YEAR(JulDim1+29)=AnnéeCalendrier,MONTH(JulDim1+29)=7),JulDim1+29,""),IF(AND(YEAR(JulDim1+36)=AnnéeCalendrier,MONTH(JulDim1+36)=7),JulDim1+36,""))</f>
        <v/>
      </c>
      <c r="C31" s="9" t="str">
        <f>IF(DAY(JulDim1)=1,IF(AND(YEAR(JulDim1+30)=AnnéeCalendrier,MONTH(JulDim1+30)=7),JulDim1+30,""),IF(AND(YEAR(JulDim1+37)=AnnéeCalendrier,MONTH(JulDim1+37)=7),JulDim1+37,""))</f>
        <v/>
      </c>
      <c r="D31" s="9" t="str">
        <f>IF(DAY(JulDim1)=1,IF(AND(YEAR(JulDim1+31)=AnnéeCalendrier,MONTH(JulDim1+31)=7),JulDim1+31,""),IF(AND(YEAR(JulDim1+38)=AnnéeCalendrier,MONTH(JulDim1+38)=7),JulDim1+38,""))</f>
        <v/>
      </c>
      <c r="E31" s="9" t="str">
        <f>IF(DAY(JulDim1)=1,IF(AND(YEAR(JulDim1+32)=AnnéeCalendrier,MONTH(JulDim1+32)=7),JulDim1+32,""),IF(AND(YEAR(JulDim1+39)=AnnéeCalendrier,MONTH(JulDim1+39)=7),JulDim1+39,""))</f>
        <v/>
      </c>
      <c r="F31" s="9" t="str">
        <f>IF(DAY(JulDim1)=1,IF(AND(YEAR(JulDim1+33)=AnnéeCalendrier,MONTH(JulDim1+33)=7),JulDim1+33,""),IF(AND(YEAR(JulDim1+40)=AnnéeCalendrier,MONTH(JulDim1+40)=7),JulDim1+40,""))</f>
        <v/>
      </c>
      <c r="G31" s="9" t="str">
        <f>IF(DAY(JulDim1)=1,IF(AND(YEAR(JulDim1+34)=AnnéeCalendrier,MONTH(JulDim1+34)=7),JulDim1+34,""),IF(AND(YEAR(JulDim1+41)=AnnéeCalendrier,MONTH(JulDim1+41)=7),JulDim1+41,""))</f>
        <v/>
      </c>
      <c r="H31" s="10" t="str">
        <f>IF(DAY(JulDim1)=1,IF(AND(YEAR(JulDim1+35)=AnnéeCalendrier,MONTH(JulDim1+35)=7),JulDim1+35,""),IF(AND(YEAR(JulDim1+42)=AnnéeCalendrier,MONTH(JulDim1+42)=7),JulDim1+42,""))</f>
        <v/>
      </c>
      <c r="J31" s="8" t="str">
        <f>IF(DAY(AouDim1)=1,IF(AND(YEAR(AouDim1+29)=AnnéeCalendrier,MONTH(AouDim1+29)=8),AouDim1+29,""),IF(AND(YEAR(AouDim1+36)=AnnéeCalendrier,MONTH(AouDim1+36)=8),AouDim1+36,""))</f>
        <v/>
      </c>
      <c r="K31" s="9" t="str">
        <f>IF(DAY(AouDim1)=1,IF(AND(YEAR(AouDim1+30)=AnnéeCalendrier,MONTH(AouDim1+30)=8),AouDim1+30,""),IF(AND(YEAR(AouDim1+37)=AnnéeCalendrier,MONTH(AouDim1+37)=8),AouDim1+37,""))</f>
        <v/>
      </c>
      <c r="L31" s="9" t="str">
        <f>IF(DAY(AouDim1)=1,IF(AND(YEAR(AouDim1+31)=AnnéeCalendrier,MONTH(AouDim1+31)=8),AouDim1+31,""),IF(AND(YEAR(AouDim1+38)=AnnéeCalendrier,MONTH(AouDim1+38)=8),AouDim1+38,""))</f>
        <v/>
      </c>
      <c r="M31" s="9" t="str">
        <f>IF(DAY(AouDim1)=1,IF(AND(YEAR(AouDim1+32)=AnnéeCalendrier,MONTH(AouDim1+32)=8),AouDim1+32,""),IF(AND(YEAR(AouDim1+39)=AnnéeCalendrier,MONTH(AouDim1+39)=8),AouDim1+39,""))</f>
        <v/>
      </c>
      <c r="N31" s="9" t="str">
        <f>IF(DAY(AouDim1)=1,IF(AND(YEAR(AouDim1+33)=AnnéeCalendrier,MONTH(AouDim1+33)=8),AouDim1+33,""),IF(AND(YEAR(AouDim1+40)=AnnéeCalendrier,MONTH(AouDim1+40)=8),AouDim1+40,""))</f>
        <v/>
      </c>
      <c r="O31" s="9" t="str">
        <f>IF(DAY(AouDim1)=1,IF(AND(YEAR(AouDim1+34)=AnnéeCalendrier,MONTH(AouDim1+34)=8),AouDim1+34,""),IF(AND(YEAR(AouDim1+41)=AnnéeCalendrier,MONTH(AouDim1+41)=8),AouDim1+41,""))</f>
        <v/>
      </c>
      <c r="P31" s="10" t="str">
        <f>IF(DAY(AouDim1)=1,IF(AND(YEAR(AouDim1+35)=AnnéeCalendrier,MONTH(AouDim1+35)=8),AouDim1+35,""),IF(AND(YEAR(AouDim1+42)=AnnéeCalendrier,MONTH(AouDim1+42)=8),AouDim1+42,""))</f>
        <v/>
      </c>
      <c r="Q31" s="1"/>
      <c r="R31" s="8" t="str">
        <f>IF(DAY(SepDim1)=1,IF(AND(YEAR(SepDim1+29)=AnnéeCalendrier,MONTH(SepDim1+29)=9),SepDim1+29,""),IF(AND(YEAR(SepDim1+36)=AnnéeCalendrier,MONTH(SepDim1+36)=9),SepDim1+36,""))</f>
        <v/>
      </c>
      <c r="S31" s="9" t="str">
        <f>IF(DAY(SepDim1)=1,IF(AND(YEAR(SepDim1+30)=AnnéeCalendrier,MONTH(SepDim1+30)=9),SepDim1+30,""),IF(AND(YEAR(SepDim1+37)=AnnéeCalendrier,MONTH(SepDim1+37)=9),SepDim1+37,""))</f>
        <v/>
      </c>
      <c r="T31" s="9" t="str">
        <f>IF(DAY(SepDim1)=1,IF(AND(YEAR(SepDim1+31)=AnnéeCalendrier,MONTH(SepDim1+31)=9),SepDim1+31,""),IF(AND(YEAR(SepDim1+38)=AnnéeCalendrier,MONTH(SepDim1+38)=9),SepDim1+38,""))</f>
        <v/>
      </c>
      <c r="U31" s="9" t="str">
        <f>IF(DAY(SepDim1)=1,IF(AND(YEAR(SepDim1+32)=AnnéeCalendrier,MONTH(SepDim1+32)=9),SepDim1+32,""),IF(AND(YEAR(SepDim1+39)=AnnéeCalendrier,MONTH(SepDim1+39)=9),SepDim1+39,""))</f>
        <v/>
      </c>
      <c r="V31" s="9" t="str">
        <f>IF(DAY(SepDim1)=1,IF(AND(YEAR(SepDim1+33)=AnnéeCalendrier,MONTH(SepDim1+33)=9),SepDim1+33,""),IF(AND(YEAR(SepDim1+40)=AnnéeCalendrier,MONTH(SepDim1+40)=9),SepDim1+40,""))</f>
        <v/>
      </c>
      <c r="W31" s="9" t="str">
        <f>IF(DAY(SepDim1)=1,IF(AND(YEAR(SepDim1+34)=AnnéeCalendrier,MONTH(SepDim1+34)=9),SepDim1+34,""),IF(AND(YEAR(SepDim1+41)=AnnéeCalendrier,MONTH(SepDim1+41)=9),SepDim1+41,""))</f>
        <v/>
      </c>
      <c r="X31" s="10" t="str">
        <f>IF(DAY(SepDim1)=1,IF(AND(YEAR(SepDim1+35)=AnnéeCalendrier,MONTH(SepDim1+35)=9),SepDim1+35,""),IF(AND(YEAR(SepDim1+42)=AnnéeCalendrier,MONTH(SepDim1+42)=9),SepDim1+42,""))</f>
        <v/>
      </c>
    </row>
    <row r="32" spans="1:24" ht="20.100000000000001" customHeight="1" x14ac:dyDescent="0.25"/>
    <row r="33" spans="1:24" s="26" customFormat="1" ht="42" customHeight="1" x14ac:dyDescent="0.25">
      <c r="A33" s="25"/>
      <c r="B33" s="48" t="s">
        <v>5</v>
      </c>
      <c r="C33" s="48"/>
      <c r="D33" s="48"/>
      <c r="E33" s="48"/>
      <c r="F33" s="48"/>
      <c r="G33" s="48"/>
      <c r="H33" s="48"/>
      <c r="J33" s="48" t="s">
        <v>15</v>
      </c>
      <c r="K33" s="48"/>
      <c r="L33" s="48"/>
      <c r="M33" s="48"/>
      <c r="N33" s="48"/>
      <c r="O33" s="48"/>
      <c r="P33" s="48"/>
      <c r="R33" s="48" t="s">
        <v>19</v>
      </c>
      <c r="S33" s="48"/>
      <c r="T33" s="48"/>
      <c r="U33" s="48"/>
      <c r="V33" s="48"/>
      <c r="W33" s="48"/>
      <c r="X33" s="48"/>
    </row>
    <row r="34" spans="1:24" s="29" customFormat="1" ht="26.25" customHeight="1" x14ac:dyDescent="0.25">
      <c r="A34" s="28"/>
      <c r="B34" s="29" t="s">
        <v>2</v>
      </c>
      <c r="C34" s="29" t="s">
        <v>6</v>
      </c>
      <c r="D34" s="29" t="s">
        <v>7</v>
      </c>
      <c r="E34" s="29" t="s">
        <v>8</v>
      </c>
      <c r="F34" s="29" t="s">
        <v>9</v>
      </c>
      <c r="G34" s="29" t="s">
        <v>10</v>
      </c>
      <c r="H34" s="29" t="s">
        <v>11</v>
      </c>
      <c r="J34" s="29" t="s">
        <v>2</v>
      </c>
      <c r="K34" s="29" t="s">
        <v>6</v>
      </c>
      <c r="L34" s="29" t="s">
        <v>7</v>
      </c>
      <c r="M34" s="29" t="s">
        <v>8</v>
      </c>
      <c r="N34" s="29" t="s">
        <v>9</v>
      </c>
      <c r="O34" s="29" t="s">
        <v>10</v>
      </c>
      <c r="P34" s="29" t="s">
        <v>11</v>
      </c>
      <c r="R34" s="29" t="s">
        <v>2</v>
      </c>
      <c r="S34" s="29" t="s">
        <v>6</v>
      </c>
      <c r="T34" s="29" t="s">
        <v>7</v>
      </c>
      <c r="U34" s="29" t="s">
        <v>8</v>
      </c>
      <c r="V34" s="29" t="s">
        <v>9</v>
      </c>
      <c r="W34" s="29" t="s">
        <v>10</v>
      </c>
      <c r="X34" s="29" t="s">
        <v>11</v>
      </c>
    </row>
    <row r="35" spans="1:24" ht="36" customHeight="1" x14ac:dyDescent="0.25">
      <c r="B35" s="6" t="str">
        <f>IF(DAY(OctDim1)=1,"",IF(AND(YEAR(OctDim1+1)=AnnéeCalendrier,MONTH(OctDim1+1)=10),OctDim1+1,""))</f>
        <v/>
      </c>
      <c r="C35" s="5" t="str">
        <f>IF(DAY(OctDim1)=1,"",IF(AND(YEAR(OctDim1+2)=AnnéeCalendrier,MONTH(OctDim1+2)=10),OctDim1+2,""))</f>
        <v/>
      </c>
      <c r="D35" s="5">
        <f>IF(DAY(OctDim1)=1,"",IF(AND(YEAR(OctDim1+3)=AnnéeCalendrier,MONTH(OctDim1+3)=10),OctDim1+3,""))</f>
        <v>45931</v>
      </c>
      <c r="E35" s="5">
        <f>IF(DAY(OctDim1)=1,"",IF(AND(YEAR(OctDim1+4)=AnnéeCalendrier,MONTH(OctDim1+4)=10),OctDim1+4,""))</f>
        <v>45932</v>
      </c>
      <c r="F35" s="5">
        <f>IF(DAY(OctDim1)=1,"",IF(AND(YEAR(OctDim1+5)=AnnéeCalendrier,MONTH(OctDim1+5)=10),OctDim1+5,""))</f>
        <v>45933</v>
      </c>
      <c r="G35" s="5">
        <f>IF(DAY(OctDim1)=1,"",IF(AND(YEAR(OctDim1+6)=AnnéeCalendrier,MONTH(OctDim1+6)=10),OctDim1+6,""))</f>
        <v>45934</v>
      </c>
      <c r="H35" s="7">
        <f>IF(DAY(OctDim1)=1,IF(AND(YEAR(OctDim1)=AnnéeCalendrier,MONTH(OctDim1)=10),OctDim1,""),IF(AND(YEAR(OctDim1+7)=AnnéeCalendrier,MONTH(OctDim1+7)=10),OctDim1+7,""))</f>
        <v>45935</v>
      </c>
      <c r="I35" s="4"/>
      <c r="J35" s="6" t="str">
        <f>IF(DAY(NovDim1)=1,"",IF(AND(YEAR(NovDim1+1)=AnnéeCalendrier,MONTH(NovDim1+1)=11),NovDim1+1,""))</f>
        <v/>
      </c>
      <c r="K35" s="5" t="str">
        <f>IF(DAY(NovDim1)=1,"",IF(AND(YEAR(NovDim1+2)=AnnéeCalendrier,MONTH(NovDim1+2)=11),NovDim1+2,""))</f>
        <v/>
      </c>
      <c r="L35" s="5" t="str">
        <f>IF(DAY(NovDim1)=1,"",IF(AND(YEAR(NovDim1+3)=AnnéeCalendrier,MONTH(NovDim1+3)=11),NovDim1+3,""))</f>
        <v/>
      </c>
      <c r="M35" s="5" t="str">
        <f>IF(DAY(NovDim1)=1,"",IF(AND(YEAR(NovDim1+4)=AnnéeCalendrier,MONTH(NovDim1+4)=11),NovDim1+4,""))</f>
        <v/>
      </c>
      <c r="N35" s="5" t="str">
        <f>IF(DAY(NovDim1)=1,"",IF(AND(YEAR(NovDim1+5)=AnnéeCalendrier,MONTH(NovDim1+5)=11),NovDim1+5,""))</f>
        <v/>
      </c>
      <c r="O35" s="5">
        <f>IF(DAY(NovDim1)=1,"",IF(AND(YEAR(NovDim1+6)=AnnéeCalendrier,MONTH(NovDim1+6)=11),NovDim1+6,""))</f>
        <v>45962</v>
      </c>
      <c r="P35" s="7">
        <f>IF(DAY(NovDim1)=1,IF(AND(YEAR(NovDim1)=AnnéeCalendrier,MONTH(NovDim1)=11),NovDim1,""),IF(AND(YEAR(NovDim1+7)=AnnéeCalendrier,MONTH(NovDim1+7)=11),NovDim1+7,""))</f>
        <v>45963</v>
      </c>
      <c r="R35" s="6">
        <f>IF(DAY(DécDim1)=1,"",IF(AND(YEAR(DécDim1+1)=AnnéeCalendrier,MONTH(DécDim1+1)=12),DécDim1+1,""))</f>
        <v>45992</v>
      </c>
      <c r="S35" s="5">
        <f>IF(DAY(DécDim1)=1,"",IF(AND(YEAR(DécDim1+2)=AnnéeCalendrier,MONTH(DécDim1+2)=12),DécDim1+2,""))</f>
        <v>45993</v>
      </c>
      <c r="T35" s="5">
        <f>IF(DAY(DécDim1)=1,"",IF(AND(YEAR(DécDim1+3)=AnnéeCalendrier,MONTH(DécDim1+3)=12),DécDim1+3,""))</f>
        <v>45994</v>
      </c>
      <c r="U35" s="5">
        <f>IF(DAY(DécDim1)=1,"",IF(AND(YEAR(DécDim1+4)=AnnéeCalendrier,MONTH(DécDim1+4)=12),DécDim1+4,""))</f>
        <v>45995</v>
      </c>
      <c r="V35" s="5">
        <f>IF(DAY(DécDim1)=1,"",IF(AND(YEAR(DécDim1+5)=AnnéeCalendrier,MONTH(DécDim1+5)=12),DécDim1+5,""))</f>
        <v>45996</v>
      </c>
      <c r="W35" s="5">
        <f>IF(DAY(DécDim1)=1,"",IF(AND(YEAR(DécDim1+6)=AnnéeCalendrier,MONTH(DécDim1+6)=12),DécDim1+6,""))</f>
        <v>45997</v>
      </c>
      <c r="X35" s="7">
        <f>IF(DAY(DécDim1)=1,IF(AND(YEAR(DécDim1)=AnnéeCalendrier,MONTH(DécDim1)=12),DécDim1,""),IF(AND(YEAR(DécDim1+7)=AnnéeCalendrier,MONTH(DécDim1+7)=12),DécDim1+7,""))</f>
        <v>45998</v>
      </c>
    </row>
    <row r="36" spans="1:24" ht="36" customHeight="1" x14ac:dyDescent="0.25">
      <c r="B36" s="6">
        <f>IF(DAY(OctDim1)=1,IF(AND(YEAR(OctDim1+1)=AnnéeCalendrier,MONTH(OctDim1+1)=10),OctDim1+1,""),IF(AND(YEAR(OctDim1+8)=AnnéeCalendrier,MONTH(OctDim1+8)=10),OctDim1+8,""))</f>
        <v>45936</v>
      </c>
      <c r="C36" s="5">
        <f>IF(DAY(OctDim1)=1,IF(AND(YEAR(OctDim1+2)=AnnéeCalendrier,MONTH(OctDim1+2)=10),OctDim1+2,""),IF(AND(YEAR(OctDim1+9)=AnnéeCalendrier,MONTH(OctDim1+9)=10),OctDim1+9,""))</f>
        <v>45937</v>
      </c>
      <c r="D36" s="5">
        <f>IF(DAY(OctDim1)=1,IF(AND(YEAR(OctDim1+3)=AnnéeCalendrier,MONTH(OctDim1+3)=10),OctDim1+3,""),IF(AND(YEAR(OctDim1+10)=AnnéeCalendrier,MONTH(OctDim1+10)=10),OctDim1+10,""))</f>
        <v>45938</v>
      </c>
      <c r="E36" s="5">
        <f>IF(DAY(OctDim1)=1,IF(AND(YEAR(OctDim1+4)=AnnéeCalendrier,MONTH(OctDim1+4)=10),OctDim1+4,""),IF(AND(YEAR(OctDim1+11)=AnnéeCalendrier,MONTH(OctDim1+11)=10),OctDim1+11,""))</f>
        <v>45939</v>
      </c>
      <c r="F36" s="5">
        <f>IF(DAY(OctDim1)=1,IF(AND(YEAR(OctDim1+5)=AnnéeCalendrier,MONTH(OctDim1+5)=10),OctDim1+5,""),IF(AND(YEAR(OctDim1+12)=AnnéeCalendrier,MONTH(OctDim1+12)=10),OctDim1+12,""))</f>
        <v>45940</v>
      </c>
      <c r="G36" s="5">
        <f>IF(DAY(OctDim1)=1,IF(AND(YEAR(OctDim1+6)=AnnéeCalendrier,MONTH(OctDim1+6)=10),OctDim1+6,""),IF(AND(YEAR(OctDim1+13)=AnnéeCalendrier,MONTH(OctDim1+13)=10),OctDim1+13,""))</f>
        <v>45941</v>
      </c>
      <c r="H36" s="7">
        <f>IF(DAY(OctDim1)=1,IF(AND(YEAR(OctDim1+7)=AnnéeCalendrier,MONTH(OctDim1+7)=10),OctDim1+7,""),IF(AND(YEAR(OctDim1+14)=AnnéeCalendrier,MONTH(OctDim1+14)=10),OctDim1+14,""))</f>
        <v>45942</v>
      </c>
      <c r="I36" s="4"/>
      <c r="J36" s="6">
        <f>IF(DAY(NovDim1)=1,IF(AND(YEAR(NovDim1+1)=AnnéeCalendrier,MONTH(NovDim1+1)=11),NovDim1+1,""),IF(AND(YEAR(NovDim1+8)=AnnéeCalendrier,MONTH(NovDim1+8)=11),NovDim1+8,""))</f>
        <v>45964</v>
      </c>
      <c r="K36" s="5">
        <f>IF(DAY(NovDim1)=1,IF(AND(YEAR(NovDim1+2)=AnnéeCalendrier,MONTH(NovDim1+2)=11),NovDim1+2,""),IF(AND(YEAR(NovDim1+9)=AnnéeCalendrier,MONTH(NovDim1+9)=11),NovDim1+9,""))</f>
        <v>45965</v>
      </c>
      <c r="L36" s="5">
        <f>IF(DAY(NovDim1)=1,IF(AND(YEAR(NovDim1+3)=AnnéeCalendrier,MONTH(NovDim1+3)=11),NovDim1+3,""),IF(AND(YEAR(NovDim1+10)=AnnéeCalendrier,MONTH(NovDim1+10)=11),NovDim1+10,""))</f>
        <v>45966</v>
      </c>
      <c r="M36" s="5">
        <f>IF(DAY(NovDim1)=1,IF(AND(YEAR(NovDim1+4)=AnnéeCalendrier,MONTH(NovDim1+4)=11),NovDim1+4,""),IF(AND(YEAR(NovDim1+11)=AnnéeCalendrier,MONTH(NovDim1+11)=11),NovDim1+11,""))</f>
        <v>45967</v>
      </c>
      <c r="N36" s="5">
        <f>IF(DAY(NovDim1)=1,IF(AND(YEAR(NovDim1+5)=AnnéeCalendrier,MONTH(NovDim1+5)=11),NovDim1+5,""),IF(AND(YEAR(NovDim1+12)=AnnéeCalendrier,MONTH(NovDim1+12)=11),NovDim1+12,""))</f>
        <v>45968</v>
      </c>
      <c r="O36" s="5">
        <f>IF(DAY(NovDim1)=1,IF(AND(YEAR(NovDim1+6)=AnnéeCalendrier,MONTH(NovDim1+6)=11),NovDim1+6,""),IF(AND(YEAR(NovDim1+13)=AnnéeCalendrier,MONTH(NovDim1+13)=11),NovDim1+13,""))</f>
        <v>45969</v>
      </c>
      <c r="P36" s="7">
        <f>IF(DAY(NovDim1)=1,IF(AND(YEAR(NovDim1+7)=AnnéeCalendrier,MONTH(NovDim1+7)=11),NovDim1+7,""),IF(AND(YEAR(NovDim1+14)=AnnéeCalendrier,MONTH(NovDim1+14)=11),NovDim1+14,""))</f>
        <v>45970</v>
      </c>
      <c r="R36" s="6">
        <f>IF(DAY(DécDim1)=1,IF(AND(YEAR(DécDim1+1)=AnnéeCalendrier,MONTH(DécDim1+1)=12),DécDim1+1,""),IF(AND(YEAR(DécDim1+8)=AnnéeCalendrier,MONTH(DécDim1+8)=12),DécDim1+8,""))</f>
        <v>45999</v>
      </c>
      <c r="S36" s="5">
        <f>IF(DAY(DécDim1)=1,IF(AND(YEAR(DécDim1+2)=AnnéeCalendrier,MONTH(DécDim1+2)=12),DécDim1+2,""),IF(AND(YEAR(DécDim1+9)=AnnéeCalendrier,MONTH(DécDim1+9)=12),DécDim1+9,""))</f>
        <v>46000</v>
      </c>
      <c r="T36" s="5">
        <f>IF(DAY(DécDim1)=1,IF(AND(YEAR(DécDim1+3)=AnnéeCalendrier,MONTH(DécDim1+3)=12),DécDim1+3,""),IF(AND(YEAR(DécDim1+10)=AnnéeCalendrier,MONTH(DécDim1+10)=12),DécDim1+10,""))</f>
        <v>46001</v>
      </c>
      <c r="U36" s="5">
        <f>IF(DAY(DécDim1)=1,IF(AND(YEAR(DécDim1+4)=AnnéeCalendrier,MONTH(DécDim1+4)=12),DécDim1+4,""),IF(AND(YEAR(DécDim1+11)=AnnéeCalendrier,MONTH(DécDim1+11)=12),DécDim1+11,""))</f>
        <v>46002</v>
      </c>
      <c r="V36" s="5">
        <f>IF(DAY(DécDim1)=1,IF(AND(YEAR(DécDim1+5)=AnnéeCalendrier,MONTH(DécDim1+5)=12),DécDim1+5,""),IF(AND(YEAR(DécDim1+12)=AnnéeCalendrier,MONTH(DécDim1+12)=12),DécDim1+12,""))</f>
        <v>46003</v>
      </c>
      <c r="W36" s="5">
        <f>IF(DAY(DécDim1)=1,IF(AND(YEAR(DécDim1+6)=AnnéeCalendrier,MONTH(DécDim1+6)=12),DécDim1+6,""),IF(AND(YEAR(DécDim1+13)=AnnéeCalendrier,MONTH(DécDim1+13)=12),DécDim1+13,""))</f>
        <v>46004</v>
      </c>
      <c r="X36" s="7">
        <f>IF(DAY(DécDim1)=1,IF(AND(YEAR(DécDim1+7)=AnnéeCalendrier,MONTH(DécDim1+7)=12),DécDim1+7,""),IF(AND(YEAR(DécDim1+14)=AnnéeCalendrier,MONTH(DécDim1+14)=12),DécDim1+14,""))</f>
        <v>46005</v>
      </c>
    </row>
    <row r="37" spans="1:24" ht="36" customHeight="1" x14ac:dyDescent="0.25">
      <c r="B37" s="6">
        <f>IF(DAY(OctDim1)=1,IF(AND(YEAR(OctDim1+8)=AnnéeCalendrier,MONTH(OctDim1+8)=10),OctDim1+8,""),IF(AND(YEAR(OctDim1+15)=AnnéeCalendrier,MONTH(OctDim1+15)=10),OctDim1+15,""))</f>
        <v>45943</v>
      </c>
      <c r="C37" s="5">
        <f>IF(DAY(OctDim1)=1,IF(AND(YEAR(OctDim1+9)=AnnéeCalendrier,MONTH(OctDim1+9)=10),OctDim1+9,""),IF(AND(YEAR(OctDim1+16)=AnnéeCalendrier,MONTH(OctDim1+16)=10),OctDim1+16,""))</f>
        <v>45944</v>
      </c>
      <c r="D37" s="5">
        <f>IF(DAY(OctDim1)=1,IF(AND(YEAR(OctDim1+10)=AnnéeCalendrier,MONTH(OctDim1+10)=10),OctDim1+10,""),IF(AND(YEAR(OctDim1+17)=AnnéeCalendrier,MONTH(OctDim1+17)=10),OctDim1+17,""))</f>
        <v>45945</v>
      </c>
      <c r="E37" s="5">
        <f>IF(DAY(OctDim1)=1,IF(AND(YEAR(OctDim1+11)=AnnéeCalendrier,MONTH(OctDim1+11)=10),OctDim1+11,""),IF(AND(YEAR(OctDim1+18)=AnnéeCalendrier,MONTH(OctDim1+18)=10),OctDim1+18,""))</f>
        <v>45946</v>
      </c>
      <c r="F37" s="5">
        <f>IF(DAY(OctDim1)=1,IF(AND(YEAR(OctDim1+12)=AnnéeCalendrier,MONTH(OctDim1+12)=10),OctDim1+12,""),IF(AND(YEAR(OctDim1+19)=AnnéeCalendrier,MONTH(OctDim1+19)=10),OctDim1+19,""))</f>
        <v>45947</v>
      </c>
      <c r="G37" s="5">
        <f>IF(DAY(OctDim1)=1,IF(AND(YEAR(OctDim1+13)=AnnéeCalendrier,MONTH(OctDim1+13)=10),OctDim1+13,""),IF(AND(YEAR(OctDim1+20)=AnnéeCalendrier,MONTH(OctDim1+20)=10),OctDim1+20,""))</f>
        <v>45948</v>
      </c>
      <c r="H37" s="7">
        <f>IF(DAY(OctDim1)=1,IF(AND(YEAR(OctDim1+14)=AnnéeCalendrier,MONTH(OctDim1+14)=10),OctDim1+14,""),IF(AND(YEAR(OctDim1+21)=AnnéeCalendrier,MONTH(OctDim1+21)=10),OctDim1+21,""))</f>
        <v>45949</v>
      </c>
      <c r="I37" s="4"/>
      <c r="J37" s="6">
        <f>IF(DAY(NovDim1)=1,IF(AND(YEAR(NovDim1+8)=AnnéeCalendrier,MONTH(NovDim1+8)=11),NovDim1+8,""),IF(AND(YEAR(NovDim1+15)=AnnéeCalendrier,MONTH(NovDim1+15)=11),NovDim1+15,""))</f>
        <v>45971</v>
      </c>
      <c r="K37" s="5">
        <f>IF(DAY(NovDim1)=1,IF(AND(YEAR(NovDim1+9)=AnnéeCalendrier,MONTH(NovDim1+9)=11),NovDim1+9,""),IF(AND(YEAR(NovDim1+16)=AnnéeCalendrier,MONTH(NovDim1+16)=11),NovDim1+16,""))</f>
        <v>45972</v>
      </c>
      <c r="L37" s="5">
        <f>IF(DAY(NovDim1)=1,IF(AND(YEAR(NovDim1+10)=AnnéeCalendrier,MONTH(NovDim1+10)=11),NovDim1+10,""),IF(AND(YEAR(NovDim1+17)=AnnéeCalendrier,MONTH(NovDim1+17)=11),NovDim1+17,""))</f>
        <v>45973</v>
      </c>
      <c r="M37" s="5">
        <f>IF(DAY(NovDim1)=1,IF(AND(YEAR(NovDim1+11)=AnnéeCalendrier,MONTH(NovDim1+11)=11),NovDim1+11,""),IF(AND(YEAR(NovDim1+18)=AnnéeCalendrier,MONTH(NovDim1+18)=11),NovDim1+18,""))</f>
        <v>45974</v>
      </c>
      <c r="N37" s="5">
        <f>IF(DAY(NovDim1)=1,IF(AND(YEAR(NovDim1+12)=AnnéeCalendrier,MONTH(NovDim1+12)=11),NovDim1+12,""),IF(AND(YEAR(NovDim1+19)=AnnéeCalendrier,MONTH(NovDim1+19)=11),NovDim1+19,""))</f>
        <v>45975</v>
      </c>
      <c r="O37" s="5">
        <f>IF(DAY(NovDim1)=1,IF(AND(YEAR(NovDim1+13)=AnnéeCalendrier,MONTH(NovDim1+13)=11),NovDim1+13,""),IF(AND(YEAR(NovDim1+20)=AnnéeCalendrier,MONTH(NovDim1+20)=11),NovDim1+20,""))</f>
        <v>45976</v>
      </c>
      <c r="P37" s="7">
        <f>IF(DAY(NovDim1)=1,IF(AND(YEAR(NovDim1+14)=AnnéeCalendrier,MONTH(NovDim1+14)=11),NovDim1+14,""),IF(AND(YEAR(NovDim1+21)=AnnéeCalendrier,MONTH(NovDim1+21)=11),NovDim1+21,""))</f>
        <v>45977</v>
      </c>
      <c r="R37" s="6">
        <f>IF(DAY(DécDim1)=1,IF(AND(YEAR(DécDim1+8)=AnnéeCalendrier,MONTH(DécDim1+8)=12),DécDim1+8,""),IF(AND(YEAR(DécDim1+15)=AnnéeCalendrier,MONTH(DécDim1+15)=12),DécDim1+15,""))</f>
        <v>46006</v>
      </c>
      <c r="S37" s="5">
        <f>IF(DAY(DécDim1)=1,IF(AND(YEAR(DécDim1+9)=AnnéeCalendrier,MONTH(DécDim1+9)=12),DécDim1+9,""),IF(AND(YEAR(DécDim1+16)=AnnéeCalendrier,MONTH(DécDim1+16)=12),DécDim1+16,""))</f>
        <v>46007</v>
      </c>
      <c r="T37" s="5">
        <f>IF(DAY(DécDim1)=1,IF(AND(YEAR(DécDim1+10)=AnnéeCalendrier,MONTH(DécDim1+10)=12),DécDim1+10,""),IF(AND(YEAR(DécDim1+17)=AnnéeCalendrier,MONTH(DécDim1+17)=12),DécDim1+17,""))</f>
        <v>46008</v>
      </c>
      <c r="U37" s="5">
        <f>IF(DAY(DécDim1)=1,IF(AND(YEAR(DécDim1+11)=AnnéeCalendrier,MONTH(DécDim1+11)=12),DécDim1+11,""),IF(AND(YEAR(DécDim1+18)=AnnéeCalendrier,MONTH(DécDim1+18)=12),DécDim1+18,""))</f>
        <v>46009</v>
      </c>
      <c r="V37" s="5">
        <f>IF(DAY(DécDim1)=1,IF(AND(YEAR(DécDim1+12)=AnnéeCalendrier,MONTH(DécDim1+12)=12),DécDim1+12,""),IF(AND(YEAR(DécDim1+19)=AnnéeCalendrier,MONTH(DécDim1+19)=12),DécDim1+19,""))</f>
        <v>46010</v>
      </c>
      <c r="W37" s="5">
        <f>IF(DAY(DécDim1)=1,IF(AND(YEAR(DécDim1+13)=AnnéeCalendrier,MONTH(DécDim1+13)=12),DécDim1+13,""),IF(AND(YEAR(DécDim1+20)=AnnéeCalendrier,MONTH(DécDim1+20)=12),DécDim1+20,""))</f>
        <v>46011</v>
      </c>
      <c r="X37" s="7">
        <f>IF(DAY(DécDim1)=1,IF(AND(YEAR(DécDim1+14)=AnnéeCalendrier,MONTH(DécDim1+14)=12),DécDim1+14,""),IF(AND(YEAR(DécDim1+21)=AnnéeCalendrier,MONTH(DécDim1+21)=12),DécDim1+21,""))</f>
        <v>46012</v>
      </c>
    </row>
    <row r="38" spans="1:24" ht="36" customHeight="1" x14ac:dyDescent="0.25">
      <c r="B38" s="6">
        <f>IF(DAY(OctDim1)=1,IF(AND(YEAR(OctDim1+15)=AnnéeCalendrier,MONTH(OctDim1+15)=10),OctDim1+15,""),IF(AND(YEAR(OctDim1+22)=AnnéeCalendrier,MONTH(OctDim1+22)=10),OctDim1+22,""))</f>
        <v>45950</v>
      </c>
      <c r="C38" s="5">
        <f>IF(DAY(OctDim1)=1,IF(AND(YEAR(OctDim1+16)=AnnéeCalendrier,MONTH(OctDim1+16)=10),OctDim1+16,""),IF(AND(YEAR(OctDim1+23)=AnnéeCalendrier,MONTH(OctDim1+23)=10),OctDim1+23,""))</f>
        <v>45951</v>
      </c>
      <c r="D38" s="5">
        <f>IF(DAY(OctDim1)=1,IF(AND(YEAR(OctDim1+17)=AnnéeCalendrier,MONTH(OctDim1+17)=10),OctDim1+17,""),IF(AND(YEAR(OctDim1+24)=AnnéeCalendrier,MONTH(OctDim1+24)=10),OctDim1+24,""))</f>
        <v>45952</v>
      </c>
      <c r="E38" s="5">
        <f>IF(DAY(OctDim1)=1,IF(AND(YEAR(OctDim1+18)=AnnéeCalendrier,MONTH(OctDim1+18)=10),OctDim1+18,""),IF(AND(YEAR(OctDim1+25)=AnnéeCalendrier,MONTH(OctDim1+25)=10),OctDim1+25,""))</f>
        <v>45953</v>
      </c>
      <c r="F38" s="5">
        <f>IF(DAY(OctDim1)=1,IF(AND(YEAR(OctDim1+19)=AnnéeCalendrier,MONTH(OctDim1+19)=10),OctDim1+19,""),IF(AND(YEAR(OctDim1+26)=AnnéeCalendrier,MONTH(OctDim1+26)=10),OctDim1+26,""))</f>
        <v>45954</v>
      </c>
      <c r="G38" s="5">
        <f>IF(DAY(OctDim1)=1,IF(AND(YEAR(OctDim1+20)=AnnéeCalendrier,MONTH(OctDim1+20)=10),OctDim1+20,""),IF(AND(YEAR(OctDim1+27)=AnnéeCalendrier,MONTH(OctDim1+27)=10),OctDim1+27,""))</f>
        <v>45955</v>
      </c>
      <c r="H38" s="7">
        <f>IF(DAY(OctDim1)=1,IF(AND(YEAR(OctDim1+21)=AnnéeCalendrier,MONTH(OctDim1+21)=10),OctDim1+21,""),IF(AND(YEAR(OctDim1+28)=AnnéeCalendrier,MONTH(OctDim1+28)=10),OctDim1+28,""))</f>
        <v>45956</v>
      </c>
      <c r="I38" s="4"/>
      <c r="J38" s="6">
        <f>IF(DAY(NovDim1)=1,IF(AND(YEAR(NovDim1+15)=AnnéeCalendrier,MONTH(NovDim1+15)=11),NovDim1+15,""),IF(AND(YEAR(NovDim1+22)=AnnéeCalendrier,MONTH(NovDim1+22)=11),NovDim1+22,""))</f>
        <v>45978</v>
      </c>
      <c r="K38" s="5">
        <f>IF(DAY(NovDim1)=1,IF(AND(YEAR(NovDim1+16)=AnnéeCalendrier,MONTH(NovDim1+16)=11),NovDim1+16,""),IF(AND(YEAR(NovDim1+23)=AnnéeCalendrier,MONTH(NovDim1+23)=11),NovDim1+23,""))</f>
        <v>45979</v>
      </c>
      <c r="L38" s="5">
        <f>IF(DAY(NovDim1)=1,IF(AND(YEAR(NovDim1+17)=AnnéeCalendrier,MONTH(NovDim1+17)=11),NovDim1+17,""),IF(AND(YEAR(NovDim1+24)=AnnéeCalendrier,MONTH(NovDim1+24)=11),NovDim1+24,""))</f>
        <v>45980</v>
      </c>
      <c r="M38" s="5">
        <f>IF(DAY(NovDim1)=1,IF(AND(YEAR(NovDim1+18)=AnnéeCalendrier,MONTH(NovDim1+18)=11),NovDim1+18,""),IF(AND(YEAR(NovDim1+25)=AnnéeCalendrier,MONTH(NovDim1+25)=11),NovDim1+25,""))</f>
        <v>45981</v>
      </c>
      <c r="N38" s="5">
        <f>IF(DAY(NovDim1)=1,IF(AND(YEAR(NovDim1+19)=AnnéeCalendrier,MONTH(NovDim1+19)=11),NovDim1+19,""),IF(AND(YEAR(NovDim1+26)=AnnéeCalendrier,MONTH(NovDim1+26)=11),NovDim1+26,""))</f>
        <v>45982</v>
      </c>
      <c r="O38" s="5">
        <f>IF(DAY(NovDim1)=1,IF(AND(YEAR(NovDim1+20)=AnnéeCalendrier,MONTH(NovDim1+20)=11),NovDim1+20,""),IF(AND(YEAR(NovDim1+27)=AnnéeCalendrier,MONTH(NovDim1+27)=11),NovDim1+27,""))</f>
        <v>45983</v>
      </c>
      <c r="P38" s="7">
        <f>IF(DAY(NovDim1)=1,IF(AND(YEAR(NovDim1+21)=AnnéeCalendrier,MONTH(NovDim1+21)=11),NovDim1+21,""),IF(AND(YEAR(NovDim1+28)=AnnéeCalendrier,MONTH(NovDim1+28)=11),NovDim1+28,""))</f>
        <v>45984</v>
      </c>
      <c r="R38" s="6">
        <f>IF(DAY(DécDim1)=1,IF(AND(YEAR(DécDim1+15)=AnnéeCalendrier,MONTH(DécDim1+15)=12),DécDim1+15,""),IF(AND(YEAR(DécDim1+22)=AnnéeCalendrier,MONTH(DécDim1+22)=12),DécDim1+22,""))</f>
        <v>46013</v>
      </c>
      <c r="S38" s="5">
        <f>IF(DAY(DécDim1)=1,IF(AND(YEAR(DécDim1+16)=AnnéeCalendrier,MONTH(DécDim1+16)=12),DécDim1+16,""),IF(AND(YEAR(DécDim1+23)=AnnéeCalendrier,MONTH(DécDim1+23)=12),DécDim1+23,""))</f>
        <v>46014</v>
      </c>
      <c r="T38" s="5">
        <f>IF(DAY(DécDim1)=1,IF(AND(YEAR(DécDim1+17)=AnnéeCalendrier,MONTH(DécDim1+17)=12),DécDim1+17,""),IF(AND(YEAR(DécDim1+24)=AnnéeCalendrier,MONTH(DécDim1+24)=12),DécDim1+24,""))</f>
        <v>46015</v>
      </c>
      <c r="U38" s="5">
        <f>IF(DAY(DécDim1)=1,IF(AND(YEAR(DécDim1+18)=AnnéeCalendrier,MONTH(DécDim1+18)=12),DécDim1+18,""),IF(AND(YEAR(DécDim1+25)=AnnéeCalendrier,MONTH(DécDim1+25)=12),DécDim1+25,""))</f>
        <v>46016</v>
      </c>
      <c r="V38" s="5">
        <f>IF(DAY(DécDim1)=1,IF(AND(YEAR(DécDim1+19)=AnnéeCalendrier,MONTH(DécDim1+19)=12),DécDim1+19,""),IF(AND(YEAR(DécDim1+26)=AnnéeCalendrier,MONTH(DécDim1+26)=12),DécDim1+26,""))</f>
        <v>46017</v>
      </c>
      <c r="W38" s="5">
        <f>IF(DAY(DécDim1)=1,IF(AND(YEAR(DécDim1+20)=AnnéeCalendrier,MONTH(DécDim1+20)=12),DécDim1+20,""),IF(AND(YEAR(DécDim1+27)=AnnéeCalendrier,MONTH(DécDim1+27)=12),DécDim1+27,""))</f>
        <v>46018</v>
      </c>
      <c r="X38" s="7">
        <f>IF(DAY(DécDim1)=1,IF(AND(YEAR(DécDim1+21)=AnnéeCalendrier,MONTH(DécDim1+21)=12),DécDim1+21,""),IF(AND(YEAR(DécDim1+28)=AnnéeCalendrier,MONTH(DécDim1+28)=12),DécDim1+28,""))</f>
        <v>46019</v>
      </c>
    </row>
    <row r="39" spans="1:24" ht="36" customHeight="1" x14ac:dyDescent="0.25">
      <c r="B39" s="6">
        <f>IF(DAY(OctDim1)=1,IF(AND(YEAR(OctDim1+22)=AnnéeCalendrier,MONTH(OctDim1+22)=10),OctDim1+22,""),IF(AND(YEAR(OctDim1+29)=AnnéeCalendrier,MONTH(OctDim1+29)=10),OctDim1+29,""))</f>
        <v>45957</v>
      </c>
      <c r="C39" s="5">
        <f>IF(DAY(OctDim1)=1,IF(AND(YEAR(OctDim1+23)=AnnéeCalendrier,MONTH(OctDim1+23)=10),OctDim1+23,""),IF(AND(YEAR(OctDim1+30)=AnnéeCalendrier,MONTH(OctDim1+30)=10),OctDim1+30,""))</f>
        <v>45958</v>
      </c>
      <c r="D39" s="5">
        <f>IF(DAY(OctDim1)=1,IF(AND(YEAR(OctDim1+24)=AnnéeCalendrier,MONTH(OctDim1+24)=10),OctDim1+24,""),IF(AND(YEAR(OctDim1+31)=AnnéeCalendrier,MONTH(OctDim1+31)=10),OctDim1+31,""))</f>
        <v>45959</v>
      </c>
      <c r="E39" s="5">
        <f>IF(DAY(OctDim1)=1,IF(AND(YEAR(OctDim1+25)=AnnéeCalendrier,MONTH(OctDim1+25)=10),OctDim1+25,""),IF(AND(YEAR(OctDim1+32)=AnnéeCalendrier,MONTH(OctDim1+32)=10),OctDim1+32,""))</f>
        <v>45960</v>
      </c>
      <c r="F39" s="5">
        <f>IF(DAY(OctDim1)=1,IF(AND(YEAR(OctDim1+26)=AnnéeCalendrier,MONTH(OctDim1+26)=10),OctDim1+26,""),IF(AND(YEAR(OctDim1+33)=AnnéeCalendrier,MONTH(OctDim1+33)=10),OctDim1+33,""))</f>
        <v>45961</v>
      </c>
      <c r="G39" s="5" t="str">
        <f>IF(DAY(OctDim1)=1,IF(AND(YEAR(OctDim1+27)=AnnéeCalendrier,MONTH(OctDim1+27)=10),OctDim1+27,""),IF(AND(YEAR(OctDim1+34)=AnnéeCalendrier,MONTH(OctDim1+34)=10),OctDim1+34,""))</f>
        <v/>
      </c>
      <c r="H39" s="7" t="str">
        <f>IF(DAY(OctDim1)=1,IF(AND(YEAR(OctDim1+28)=AnnéeCalendrier,MONTH(OctDim1+28)=10),OctDim1+28,""),IF(AND(YEAR(OctDim1+35)=AnnéeCalendrier,MONTH(OctDim1+35)=10),OctDim1+35,""))</f>
        <v/>
      </c>
      <c r="I39" s="4"/>
      <c r="J39" s="6">
        <f>IF(DAY(NovDim1)=1,IF(AND(YEAR(NovDim1+22)=AnnéeCalendrier,MONTH(NovDim1+22)=11),NovDim1+22,""),IF(AND(YEAR(NovDim1+29)=AnnéeCalendrier,MONTH(NovDim1+29)=11),NovDim1+29,""))</f>
        <v>45985</v>
      </c>
      <c r="K39" s="5">
        <f>IF(DAY(NovDim1)=1,IF(AND(YEAR(NovDim1+23)=AnnéeCalendrier,MONTH(NovDim1+23)=11),NovDim1+23,""),IF(AND(YEAR(NovDim1+30)=AnnéeCalendrier,MONTH(NovDim1+30)=11),NovDim1+30,""))</f>
        <v>45986</v>
      </c>
      <c r="L39" s="5">
        <f>IF(DAY(NovDim1)=1,IF(AND(YEAR(NovDim1+24)=AnnéeCalendrier,MONTH(NovDim1+24)=11),NovDim1+24,""),IF(AND(YEAR(NovDim1+31)=AnnéeCalendrier,MONTH(NovDim1+31)=11),NovDim1+31,""))</f>
        <v>45987</v>
      </c>
      <c r="M39" s="5">
        <f>IF(DAY(NovDim1)=1,IF(AND(YEAR(NovDim1+25)=AnnéeCalendrier,MONTH(NovDim1+25)=11),NovDim1+25,""),IF(AND(YEAR(NovDim1+32)=AnnéeCalendrier,MONTH(NovDim1+32)=11),NovDim1+32,""))</f>
        <v>45988</v>
      </c>
      <c r="N39" s="5">
        <f>IF(DAY(NovDim1)=1,IF(AND(YEAR(NovDim1+26)=AnnéeCalendrier,MONTH(NovDim1+26)=11),NovDim1+26,""),IF(AND(YEAR(NovDim1+33)=AnnéeCalendrier,MONTH(NovDim1+33)=11),NovDim1+33,""))</f>
        <v>45989</v>
      </c>
      <c r="O39" s="5">
        <f>IF(DAY(NovDim1)=1,IF(AND(YEAR(NovDim1+27)=AnnéeCalendrier,MONTH(NovDim1+27)=11),NovDim1+27,""),IF(AND(YEAR(NovDim1+34)=AnnéeCalendrier,MONTH(NovDim1+34)=11),NovDim1+34,""))</f>
        <v>45990</v>
      </c>
      <c r="P39" s="7">
        <f>IF(DAY(NovDim1)=1,IF(AND(YEAR(NovDim1+28)=AnnéeCalendrier,MONTH(NovDim1+28)=11),NovDim1+28,""),IF(AND(YEAR(NovDim1+35)=AnnéeCalendrier,MONTH(NovDim1+35)=11),NovDim1+35,""))</f>
        <v>45991</v>
      </c>
      <c r="R39" s="6">
        <f>IF(DAY(DécDim1)=1,IF(AND(YEAR(DécDim1+22)=AnnéeCalendrier,MONTH(DécDim1+22)=12),DécDim1+22,""),IF(AND(YEAR(DécDim1+29)=AnnéeCalendrier,MONTH(DécDim1+29)=12),DécDim1+29,""))</f>
        <v>46020</v>
      </c>
      <c r="S39" s="5">
        <f>IF(DAY(DécDim1)=1,IF(AND(YEAR(DécDim1+23)=AnnéeCalendrier,MONTH(DécDim1+23)=12),DécDim1+23,""),IF(AND(YEAR(DécDim1+30)=AnnéeCalendrier,MONTH(DécDim1+30)=12),DécDim1+30,""))</f>
        <v>46021</v>
      </c>
      <c r="T39" s="5">
        <f>IF(DAY(DécDim1)=1,IF(AND(YEAR(DécDim1+24)=AnnéeCalendrier,MONTH(DécDim1+24)=12),DécDim1+24,""),IF(AND(YEAR(DécDim1+31)=AnnéeCalendrier,MONTH(DécDim1+31)=12),DécDim1+31,""))</f>
        <v>46022</v>
      </c>
      <c r="U39" s="5" t="str">
        <f>IF(DAY(DécDim1)=1,IF(AND(YEAR(DécDim1+25)=AnnéeCalendrier,MONTH(DécDim1+25)=12),DécDim1+25,""),IF(AND(YEAR(DécDim1+32)=AnnéeCalendrier,MONTH(DécDim1+32)=12),DécDim1+32,""))</f>
        <v/>
      </c>
      <c r="V39" s="5" t="str">
        <f>IF(DAY(DécDim1)=1,IF(AND(YEAR(DécDim1+26)=AnnéeCalendrier,MONTH(DécDim1+26)=12),DécDim1+26,""),IF(AND(YEAR(DécDim1+33)=AnnéeCalendrier,MONTH(DécDim1+33)=12),DécDim1+33,""))</f>
        <v/>
      </c>
      <c r="W39" s="5" t="str">
        <f>IF(DAY(DécDim1)=1,IF(AND(YEAR(DécDim1+27)=AnnéeCalendrier,MONTH(DécDim1+27)=12),DécDim1+27,""),IF(AND(YEAR(DécDim1+34)=AnnéeCalendrier,MONTH(DécDim1+34)=12),DécDim1+34,""))</f>
        <v/>
      </c>
      <c r="X39" s="7" t="str">
        <f>IF(DAY(DécDim1)=1,IF(AND(YEAR(DécDim1+28)=AnnéeCalendrier,MONTH(DécDim1+28)=12),DécDim1+28,""),IF(AND(YEAR(DécDim1+35)=AnnéeCalendrier,MONTH(DécDim1+35)=12),DécDim1+35,""))</f>
        <v/>
      </c>
    </row>
    <row r="40" spans="1:24" ht="36" customHeight="1" x14ac:dyDescent="0.25">
      <c r="B40" s="8" t="str">
        <f>IF(DAY(OctDim1)=1,IF(AND(YEAR(OctDim1+29)=AnnéeCalendrier,MONTH(OctDim1+29)=10),OctDim1+29,""),IF(AND(YEAR(OctDim1+36)=AnnéeCalendrier,MONTH(OctDim1+36)=10),OctDim1+36,""))</f>
        <v/>
      </c>
      <c r="C40" s="9" t="str">
        <f>IF(DAY(OctDim1)=1,IF(AND(YEAR(OctDim1+30)=AnnéeCalendrier,MONTH(OctDim1+30)=10),OctDim1+30,""),IF(AND(YEAR(OctDim1+37)=AnnéeCalendrier,MONTH(OctDim1+37)=10),OctDim1+37,""))</f>
        <v/>
      </c>
      <c r="D40" s="9" t="str">
        <f>IF(DAY(OctDim1)=1,IF(AND(YEAR(OctDim1+31)=AnnéeCalendrier,MONTH(OctDim1+31)=10),OctDim1+31,""),IF(AND(YEAR(OctDim1+38)=AnnéeCalendrier,MONTH(OctDim1+38)=10),OctDim1+38,""))</f>
        <v/>
      </c>
      <c r="E40" s="9" t="str">
        <f>IF(DAY(OctDim1)=1,IF(AND(YEAR(OctDim1+32)=AnnéeCalendrier,MONTH(OctDim1+32)=10),OctDim1+32,""),IF(AND(YEAR(OctDim1+39)=AnnéeCalendrier,MONTH(OctDim1+39)=10),OctDim1+39,""))</f>
        <v/>
      </c>
      <c r="F40" s="9" t="str">
        <f>IF(DAY(OctDim1)=1,IF(AND(YEAR(OctDim1+33)=AnnéeCalendrier,MONTH(OctDim1+33)=10),OctDim1+33,""),IF(AND(YEAR(OctDim1+40)=AnnéeCalendrier,MONTH(OctDim1+40)=10),OctDim1+40,""))</f>
        <v/>
      </c>
      <c r="G40" s="9" t="str">
        <f>IF(DAY(OctDim1)=1,IF(AND(YEAR(OctDim1+34)=AnnéeCalendrier,MONTH(OctDim1+34)=10),OctDim1+34,""),IF(AND(YEAR(OctDim1+41)=AnnéeCalendrier,MONTH(OctDim1+41)=10),OctDim1+41,""))</f>
        <v/>
      </c>
      <c r="H40" s="10" t="str">
        <f>IF(DAY(OctDim1)=1,IF(AND(YEAR(OctDim1+35)=AnnéeCalendrier,MONTH(OctDim1+35)=10),OctDim1+35,""),IF(AND(YEAR(OctDim1+42)=AnnéeCalendrier,MONTH(OctDim1+42)=10),OctDim1+42,""))</f>
        <v/>
      </c>
      <c r="I40" s="4"/>
      <c r="J40" s="8" t="str">
        <f>IF(DAY(NovDim1)=1,IF(AND(YEAR(NovDim1+29)=AnnéeCalendrier,MONTH(NovDim1+29)=11),NovDim1+29,""),IF(AND(YEAR(NovDim1+36)=AnnéeCalendrier,MONTH(NovDim1+36)=11),NovDim1+36,""))</f>
        <v/>
      </c>
      <c r="K40" s="9" t="str">
        <f>IF(DAY(NovDim1)=1,IF(AND(YEAR(NovDim1+30)=AnnéeCalendrier,MONTH(NovDim1+30)=11),NovDim1+30,""),IF(AND(YEAR(NovDim1+37)=AnnéeCalendrier,MONTH(NovDim1+37)=11),NovDim1+37,""))</f>
        <v/>
      </c>
      <c r="L40" s="9" t="str">
        <f>IF(DAY(NovDim1)=1,IF(AND(YEAR(NovDim1+31)=AnnéeCalendrier,MONTH(NovDim1+31)=11),NovDim1+31,""),IF(AND(YEAR(NovDim1+38)=AnnéeCalendrier,MONTH(NovDim1+38)=11),NovDim1+38,""))</f>
        <v/>
      </c>
      <c r="M40" s="9" t="str">
        <f>IF(DAY(NovDim1)=1,IF(AND(YEAR(NovDim1+32)=AnnéeCalendrier,MONTH(NovDim1+32)=11),NovDim1+32,""),IF(AND(YEAR(NovDim1+39)=AnnéeCalendrier,MONTH(NovDim1+39)=11),NovDim1+39,""))</f>
        <v/>
      </c>
      <c r="N40" s="9" t="str">
        <f>IF(DAY(NovDim1)=1,IF(AND(YEAR(NovDim1+33)=AnnéeCalendrier,MONTH(NovDim1+33)=11),NovDim1+33,""),IF(AND(YEAR(NovDim1+40)=AnnéeCalendrier,MONTH(NovDim1+40)=11),NovDim1+40,""))</f>
        <v/>
      </c>
      <c r="O40" s="9" t="str">
        <f>IF(DAY(NovDim1)=1,IF(AND(YEAR(NovDim1+34)=AnnéeCalendrier,MONTH(NovDim1+34)=11),NovDim1+34,""),IF(AND(YEAR(NovDim1+41)=AnnéeCalendrier,MONTH(NovDim1+41)=11),NovDim1+41,""))</f>
        <v/>
      </c>
      <c r="P40" s="10" t="str">
        <f>IF(DAY(NovDim1)=1,IF(AND(YEAR(NovDim1+35)=AnnéeCalendrier,MONTH(NovDim1+35)=11),NovDim1+35,""),IF(AND(YEAR(NovDim1+42)=AnnéeCalendrier,MONTH(NovDim1+42)=11),NovDim1+42,""))</f>
        <v/>
      </c>
      <c r="R40" s="8" t="str">
        <f>IF(DAY(DécDim1)=1,IF(AND(YEAR(DécDim1+29)=AnnéeCalendrier,MONTH(DécDim1+29)=12),DécDim1+29,""),IF(AND(YEAR(DécDim1+36)=AnnéeCalendrier,MONTH(DécDim1+36)=12),DécDim1+36,""))</f>
        <v/>
      </c>
      <c r="S40" s="9" t="str">
        <f>IF(DAY(DécDim1)=1,IF(AND(YEAR(DécDim1+30)=AnnéeCalendrier,MONTH(DécDim1+30)=12),DécDim1+30,""),IF(AND(YEAR(DécDim1+37)=AnnéeCalendrier,MONTH(DécDim1+37)=12),DécDim1+37,""))</f>
        <v/>
      </c>
      <c r="T40" s="9" t="str">
        <f>IF(DAY(DécDim1)=1,IF(AND(YEAR(DécDim1+31)=AnnéeCalendrier,MONTH(DécDim1+31)=12),DécDim1+31,""),IF(AND(YEAR(DécDim1+38)=AnnéeCalendrier,MONTH(DécDim1+38)=12),DécDim1+38,""))</f>
        <v/>
      </c>
      <c r="U40" s="9" t="str">
        <f>IF(DAY(DécDim1)=1,IF(AND(YEAR(DécDim1+32)=AnnéeCalendrier,MONTH(DécDim1+32)=12),DécDim1+32,""),IF(AND(YEAR(DécDim1+39)=AnnéeCalendrier,MONTH(DécDim1+39)=12),DécDim1+39,""))</f>
        <v/>
      </c>
      <c r="V40" s="9" t="str">
        <f>IF(DAY(DécDim1)=1,IF(AND(YEAR(DécDim1+33)=AnnéeCalendrier,MONTH(DécDim1+33)=12),DécDim1+33,""),IF(AND(YEAR(DécDim1+40)=AnnéeCalendrier,MONTH(DécDim1+40)=12),DécDim1+40,""))</f>
        <v/>
      </c>
      <c r="W40" s="9" t="str">
        <f>IF(DAY(DécDim1)=1,IF(AND(YEAR(DécDim1+34)=AnnéeCalendrier,MONTH(DécDim1+34)=12),DécDim1+34,""),IF(AND(YEAR(DécDim1+41)=AnnéeCalendrier,MONTH(DécDim1+41)=12),DécDim1+41,""))</f>
        <v/>
      </c>
      <c r="X40" s="10" t="str">
        <f>IF(DAY(DécDim1)=1,IF(AND(YEAR(DécDim1+35)=AnnéeCalendrier,MONTH(DécDim1+35)=12),DécDim1+35,""),IF(AND(YEAR(DécDim1+42)=AnnéeCalendrier,MONTH(DécDim1+42)=12),DécDim1+42,""))</f>
        <v/>
      </c>
    </row>
  </sheetData>
  <mergeCells count="13">
    <mergeCell ref="B24:H24"/>
    <mergeCell ref="J24:P24"/>
    <mergeCell ref="R24:X24"/>
    <mergeCell ref="B33:H33"/>
    <mergeCell ref="J33:P33"/>
    <mergeCell ref="R33:X33"/>
    <mergeCell ref="B3:F3"/>
    <mergeCell ref="B6:H6"/>
    <mergeCell ref="J6:P6"/>
    <mergeCell ref="R6:X6"/>
    <mergeCell ref="B15:H15"/>
    <mergeCell ref="J15:P15"/>
    <mergeCell ref="R15:X15"/>
  </mergeCells>
  <conditionalFormatting sqref="B8:H13">
    <cfRule type="notContainsBlanks" dxfId="748" priority="1">
      <formula>LEN(TRIM(B8))&gt;0</formula>
    </cfRule>
  </conditionalFormatting>
  <conditionalFormatting sqref="J8:P13">
    <cfRule type="notContainsBlanks" dxfId="747" priority="2">
      <formula>LEN(TRIM(J8))&gt;0</formula>
    </cfRule>
  </conditionalFormatting>
  <conditionalFormatting sqref="R8:X13">
    <cfRule type="notContainsBlanks" dxfId="746" priority="3">
      <formula>LEN(TRIM(R8))&gt;0</formula>
    </cfRule>
  </conditionalFormatting>
  <conditionalFormatting sqref="B17:H22">
    <cfRule type="notContainsBlanks" dxfId="745" priority="4">
      <formula>LEN(TRIM(B17))&gt;0</formula>
    </cfRule>
  </conditionalFormatting>
  <conditionalFormatting sqref="J17:P22">
    <cfRule type="notContainsBlanks" dxfId="744" priority="5">
      <formula>LEN(TRIM(J17))&gt;0</formula>
    </cfRule>
  </conditionalFormatting>
  <conditionalFormatting sqref="R17:X22">
    <cfRule type="notContainsBlanks" dxfId="743" priority="6">
      <formula>LEN(TRIM(R17))&gt;0</formula>
    </cfRule>
  </conditionalFormatting>
  <conditionalFormatting sqref="R35:X40">
    <cfRule type="notContainsBlanks" dxfId="742" priority="12">
      <formula>LEN(TRIM(R35))&gt;0</formula>
    </cfRule>
  </conditionalFormatting>
  <conditionalFormatting sqref="B26:H31">
    <cfRule type="notContainsBlanks" dxfId="741" priority="7">
      <formula>LEN(TRIM(B26))&gt;0</formula>
    </cfRule>
  </conditionalFormatting>
  <conditionalFormatting sqref="J26:P31">
    <cfRule type="notContainsBlanks" dxfId="740" priority="8">
      <formula>LEN(TRIM(J26))&gt;0</formula>
    </cfRule>
  </conditionalFormatting>
  <conditionalFormatting sqref="R26:X31">
    <cfRule type="notContainsBlanks" dxfId="739" priority="9">
      <formula>LEN(TRIM(R26))&gt;0</formula>
    </cfRule>
  </conditionalFormatting>
  <conditionalFormatting sqref="B35:H40">
    <cfRule type="notContainsBlanks" dxfId="738" priority="10">
      <formula>LEN(TRIM(B35))&gt;0</formula>
    </cfRule>
  </conditionalFormatting>
  <conditionalFormatting sqref="J35:P40">
    <cfRule type="notContainsBlanks" dxfId="737" priority="11">
      <formula>LEN(TRIM(J35))&gt;0</formula>
    </cfRule>
  </conditionalFormatting>
  <dataValidations count="2">
    <dataValidation type="list" allowBlank="1" showInputMessage="1" showErrorMessage="1" prompt="Sélectionnez une année" sqref="B3:F3" xr:uid="{00000000-0002-0000-0800-000000000000}">
      <formula1>Années_disponibles</formula1>
    </dataValidation>
    <dataValidation allowBlank="1" showInputMessage="1" showErrorMessage="1" promptTitle="Phases du calendrier lunaire" prompt="_x000a_Sélectionner une année dans la cellule B3. Le modèle sera automatiquement mis à jour avec les phases quotidiennes de la lune._x000a_" sqref="A1" xr:uid="{00000000-0002-0000-0800-000001000000}"/>
  </dataValidations>
  <printOptions horizontalCentered="1" verticalCentered="1"/>
  <pageMargins left="0.25" right="0.25" top="0.5" bottom="0.5" header="0.3" footer="0.3"/>
  <pageSetup scale="51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3.xml><?xml version="1.0" encoding="utf-8"?>
<ds:datastoreItem xmlns:ds="http://schemas.openxmlformats.org/officeDocument/2006/customXml" ds:itemID="{954977A6-DE9A-4E13-B120-434436F2CA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0100D511-037F-4C39-8D85-8563C9351614}">
  <ds:schemaRefs>
    <ds:schemaRef ds:uri="http://schemas.microsoft.com/sharepoint/v3/contenttype/forms"/>
  </ds:schemaRefs>
</ds:datastoreItem>
</file>

<file path=customXml/itemProps31.xml><?xml version="1.0" encoding="utf-8"?>
<ds:datastoreItem xmlns:ds="http://schemas.openxmlformats.org/officeDocument/2006/customXml" ds:itemID="{65B47F77-8B44-41C7-BB14-44354E501C92}">
  <ds:schemaRefs>
    <ds:schemaRef ds:uri="http://purl.org/dc/terms/"/>
    <ds:schemaRef ds:uri="http://schemas.openxmlformats.org/package/2006/metadata/core-properties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af3243-3dd4-4a8d-8c0d-dd76da1f02a5"/>
    <ds:schemaRef ds:uri="http://www.w3.org/XML/1998/namespace"/>
    <ds:schemaRef ds:uri="http://purl.org/dc/dcmitype/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DocSecurity>0</ap:DocSecurity>
  <ap:Template>TM67316038</ap:Template>
  <ap:ScaleCrop>false</ap:ScaleCrop>
  <ap:HeadingPairs>
    <vt:vector baseType="variant" size="4">
      <vt:variant>
        <vt:lpstr>Feuilles de calcul</vt:lpstr>
      </vt:variant>
      <vt:variant>
        <vt:i4>2</vt:i4>
      </vt:variant>
      <vt:variant>
        <vt:lpstr>Plages nommées</vt:lpstr>
      </vt:variant>
      <vt:variant>
        <vt:i4>15</vt:i4>
      </vt:variant>
    </vt:vector>
  </ap:HeadingPairs>
  <ap:TitlesOfParts>
    <vt:vector baseType="lpstr" size="17">
      <vt:lpstr>2021</vt:lpstr>
      <vt:lpstr>Données de phases de la lune</vt:lpstr>
      <vt:lpstr>'2017'!AnnéeCalendrier</vt:lpstr>
      <vt:lpstr>'2018'!AnnéeCalendrier</vt:lpstr>
      <vt:lpstr>'2019'!AnnéeCalendrier</vt:lpstr>
      <vt:lpstr>'2020'!AnnéeCalendrier</vt:lpstr>
      <vt:lpstr>'2021'!AnnéeCalendrier</vt:lpstr>
      <vt:lpstr>'2022'!AnnéeCalendrier</vt:lpstr>
      <vt:lpstr>'2023'!AnnéeCalendrier</vt:lpstr>
      <vt:lpstr>'2024'!AnnéeCalendrier</vt:lpstr>
      <vt:lpstr>'2025'!AnnéeCalendrier</vt:lpstr>
      <vt:lpstr>'2026'!AnnéeCalendrier</vt:lpstr>
      <vt:lpstr>'2027'!AnnéeCalendrier</vt:lpstr>
      <vt:lpstr>'2028'!AnnéeCalendrier</vt:lpstr>
      <vt:lpstr>'2029'!AnnéeCalendrier</vt:lpstr>
      <vt:lpstr>'2030'!AnnéeCalendrier</vt:lpstr>
      <vt:lpstr>Années_disponibles</vt:lpstr>
    </vt:vector>
  </ap:TitlesOfParts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2019-04-12T04:18:05Z</dcterms:created>
  <dcterms:modified xsi:type="dcterms:W3CDTF">2020-11-20T03:07:52Z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