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theme/theme11.xml" ContentType="application/vnd.openxmlformats-officedocument.theme+xml"/>
  <Override PartName="/xl/worksheets/sheet21.xml" ContentType="application/vnd.openxmlformats-officedocument.spreadsheetml.worksheet+xml"/>
  <Override PartName="/xl/tables/table61.xml" ContentType="application/vnd.openxmlformats-officedocument.spreadsheetml.table+xml"/>
  <Override PartName="/xl/tables/table112.xml" ContentType="application/vnd.openxmlformats-officedocument.spreadsheetml.table+xml"/>
  <Override PartName="/xl/tables/table13.xml" ContentType="application/vnd.openxmlformats-officedocument.spreadsheetml.table+xml"/>
  <Override PartName="/xl/tables/table54.xml" ContentType="application/vnd.openxmlformats-officedocument.spreadsheetml.table+xml"/>
  <Override PartName="/xl/tables/table105.xml" ContentType="application/vnd.openxmlformats-officedocument.spreadsheetml.table+xml"/>
  <Override PartName="/xl/drawings/drawing11.xml" ContentType="application/vnd.openxmlformats-officedocument.drawing+xml"/>
  <Override PartName="/xl/tables/table46.xml" ContentType="application/vnd.openxmlformats-officedocument.spreadsheetml.table+xml"/>
  <Override PartName="/xl/tables/table97.xml" ContentType="application/vnd.openxmlformats-officedocument.spreadsheetml.table+xml"/>
  <Override PartName="/xl/tables/table38.xml" ContentType="application/vnd.openxmlformats-officedocument.spreadsheetml.table+xml"/>
  <Override PartName="/xl/tables/table139.xml" ContentType="application/vnd.openxmlformats-officedocument.spreadsheetml.table+xml"/>
  <Override PartName="/xl/tables/table810.xml" ContentType="application/vnd.openxmlformats-officedocument.spreadsheetml.table+xml"/>
  <Override PartName="/xl/tables/table211.xml" ContentType="application/vnd.openxmlformats-officedocument.spreadsheetml.table+xml"/>
  <Override PartName="/xl/tables/table712.xml" ContentType="application/vnd.openxmlformats-officedocument.spreadsheetml.table+xml"/>
  <Override PartName="/xl/tables/table1213.xml" ContentType="application/vnd.openxmlformats-officedocument.spreadsheetml.table+xml"/>
  <Override PartName="/xl/worksheets/sheet12.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 Type="http://schemas.openxmlformats.org/officeDocument/2006/relationships/custom-properties" Target="/docProps/custom.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02"/>
  <workbookPr codeName="ThisWorkbook"/>
  <mc:AlternateContent xmlns:mc="http://schemas.openxmlformats.org/markup-compatibility/2006">
    <mc:Choice Requires="x15">
      <x15ac:absPath xmlns:x15ac="http://schemas.microsoft.com/office/spreadsheetml/2010/11/ac" url="\\deli\phases2\MS-IW-OFFICE-UA\OOMultimedia\work\MVecera\Templates\FRA\target\"/>
    </mc:Choice>
  </mc:AlternateContent>
  <bookViews>
    <workbookView xWindow="-120" yWindow="-120" windowWidth="29040" windowHeight="15840" xr2:uid="{00000000-000D-0000-FFFF-FFFF00000000}"/>
  </bookViews>
  <sheets>
    <sheet name="DÉBUT" sheetId="2" r:id="rId1"/>
    <sheet name="BUDGET PERSONNEL" sheetId="1" r:id="rId2"/>
  </sheets>
  <definedNames>
    <definedName name="DernièreColonne">COUNTA('BUDGET PERSONNEL'!$4:$4)+1</definedName>
    <definedName name="ZoneImpression_DÉFINIR">OFFSET('BUDGET PERSONNEL'!$C$2,,,MATCH(REPT("z",255),'BUDGET PERSONNEL'!$C:$C),DernièreColonne)</definedName>
  </definedNames>
  <calcPr calcId="191029" concurrentCalc="0"/>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2" i="1" l="1"/>
  <c r="P17" i="1"/>
  <c r="P16" i="1"/>
  <c r="P13" i="1"/>
  <c r="P15" i="1"/>
  <c r="P14" i="1"/>
  <c r="E103" i="1"/>
  <c r="F103" i="1"/>
  <c r="G103" i="1"/>
  <c r="H103" i="1"/>
  <c r="I103" i="1"/>
  <c r="J103" i="1"/>
  <c r="K103" i="1"/>
  <c r="L103" i="1"/>
  <c r="M103" i="1"/>
  <c r="N103" i="1"/>
  <c r="O103" i="1"/>
  <c r="D103" i="1"/>
  <c r="E95" i="1"/>
  <c r="F95" i="1"/>
  <c r="G95" i="1"/>
  <c r="H95" i="1"/>
  <c r="I95" i="1"/>
  <c r="J95" i="1"/>
  <c r="K95" i="1"/>
  <c r="L95" i="1"/>
  <c r="M95" i="1"/>
  <c r="N95" i="1"/>
  <c r="O95" i="1"/>
  <c r="D95" i="1"/>
  <c r="E87" i="1"/>
  <c r="F87" i="1"/>
  <c r="G87" i="1"/>
  <c r="H87" i="1"/>
  <c r="I87" i="1"/>
  <c r="J87" i="1"/>
  <c r="K87" i="1"/>
  <c r="L87" i="1"/>
  <c r="M87" i="1"/>
  <c r="N87" i="1"/>
  <c r="O87" i="1"/>
  <c r="D87" i="1"/>
  <c r="E79" i="1"/>
  <c r="F79" i="1"/>
  <c r="G79" i="1"/>
  <c r="H79" i="1"/>
  <c r="I79" i="1"/>
  <c r="J79" i="1"/>
  <c r="K79" i="1"/>
  <c r="L79" i="1"/>
  <c r="M79" i="1"/>
  <c r="N79" i="1"/>
  <c r="O79" i="1"/>
  <c r="D79" i="1"/>
  <c r="E69" i="1"/>
  <c r="F69" i="1"/>
  <c r="G69" i="1"/>
  <c r="H69" i="1"/>
  <c r="I69" i="1"/>
  <c r="J69" i="1"/>
  <c r="K69" i="1"/>
  <c r="L69" i="1"/>
  <c r="M69" i="1"/>
  <c r="N69" i="1"/>
  <c r="O69" i="1"/>
  <c r="D69" i="1"/>
  <c r="E62" i="1"/>
  <c r="F62" i="1"/>
  <c r="G62" i="1"/>
  <c r="H62" i="1"/>
  <c r="I62" i="1"/>
  <c r="J62" i="1"/>
  <c r="K62" i="1"/>
  <c r="L62" i="1"/>
  <c r="M62" i="1"/>
  <c r="N62" i="1"/>
  <c r="O62" i="1"/>
  <c r="D62" i="1"/>
  <c r="E53" i="1"/>
  <c r="F53" i="1"/>
  <c r="G53" i="1"/>
  <c r="H53" i="1"/>
  <c r="I53" i="1"/>
  <c r="J53" i="1"/>
  <c r="K53" i="1"/>
  <c r="L53" i="1"/>
  <c r="M53" i="1"/>
  <c r="N53" i="1"/>
  <c r="O53" i="1"/>
  <c r="D53" i="1"/>
  <c r="P99" i="1"/>
  <c r="P100" i="1"/>
  <c r="P101" i="1"/>
  <c r="P102" i="1"/>
  <c r="P98" i="1"/>
  <c r="P91" i="1"/>
  <c r="P92" i="1"/>
  <c r="P93" i="1"/>
  <c r="P94" i="1"/>
  <c r="P90" i="1"/>
  <c r="P83" i="1"/>
  <c r="P84" i="1"/>
  <c r="P85" i="1"/>
  <c r="P86" i="1"/>
  <c r="P82" i="1"/>
  <c r="P73" i="1"/>
  <c r="P74" i="1"/>
  <c r="P75" i="1"/>
  <c r="P76" i="1"/>
  <c r="P77" i="1"/>
  <c r="P78" i="1"/>
  <c r="P72" i="1"/>
  <c r="P66" i="1"/>
  <c r="P67" i="1"/>
  <c r="P68" i="1"/>
  <c r="P65" i="1"/>
  <c r="P57" i="1"/>
  <c r="P58" i="1"/>
  <c r="P59" i="1"/>
  <c r="P60" i="1"/>
  <c r="P61" i="1"/>
  <c r="P56" i="1"/>
  <c r="P47" i="1"/>
  <c r="P48" i="1"/>
  <c r="P49" i="1"/>
  <c r="P50" i="1"/>
  <c r="P51" i="1"/>
  <c r="P52" i="1"/>
  <c r="P46" i="1"/>
  <c r="E43" i="1"/>
  <c r="F43" i="1"/>
  <c r="G43" i="1"/>
  <c r="H43" i="1"/>
  <c r="I43" i="1"/>
  <c r="J43" i="1"/>
  <c r="K43" i="1"/>
  <c r="L43" i="1"/>
  <c r="M43" i="1"/>
  <c r="N43" i="1"/>
  <c r="O43" i="1"/>
  <c r="D43" i="1"/>
  <c r="P40" i="1"/>
  <c r="P41" i="1"/>
  <c r="P42" i="1"/>
  <c r="P39" i="1"/>
  <c r="E36" i="1"/>
  <c r="F36" i="1"/>
  <c r="G36" i="1"/>
  <c r="H36" i="1"/>
  <c r="I36" i="1"/>
  <c r="J36" i="1"/>
  <c r="K36" i="1"/>
  <c r="L36" i="1"/>
  <c r="M36" i="1"/>
  <c r="N36" i="1"/>
  <c r="O36" i="1"/>
  <c r="D36" i="1"/>
  <c r="P31" i="1"/>
  <c r="P32" i="1"/>
  <c r="P33" i="1"/>
  <c r="P34" i="1"/>
  <c r="P35" i="1"/>
  <c r="P30" i="1"/>
  <c r="E27" i="1"/>
  <c r="F27" i="1"/>
  <c r="G27" i="1"/>
  <c r="H27" i="1"/>
  <c r="I27" i="1"/>
  <c r="J27" i="1"/>
  <c r="K27" i="1"/>
  <c r="L27" i="1"/>
  <c r="M27" i="1"/>
  <c r="N27" i="1"/>
  <c r="O27" i="1"/>
  <c r="D27" i="1"/>
  <c r="P22" i="1"/>
  <c r="P23" i="1"/>
  <c r="P24" i="1"/>
  <c r="P25" i="1"/>
  <c r="P26" i="1"/>
  <c r="P21" i="1"/>
  <c r="E18" i="1"/>
  <c r="F18" i="1"/>
  <c r="G18" i="1"/>
  <c r="H18" i="1"/>
  <c r="I18" i="1"/>
  <c r="J18" i="1"/>
  <c r="K18" i="1"/>
  <c r="L18" i="1"/>
  <c r="M18" i="1"/>
  <c r="N18" i="1"/>
  <c r="O18" i="1"/>
  <c r="D18" i="1"/>
  <c r="P43" i="1"/>
  <c r="P95" i="1"/>
  <c r="P87" i="1"/>
  <c r="P79" i="1"/>
  <c r="P69" i="1"/>
  <c r="P62" i="1"/>
  <c r="P53" i="1"/>
  <c r="L106" i="1"/>
  <c r="P36" i="1"/>
  <c r="P27" i="1"/>
  <c r="P18" i="1"/>
  <c r="K106" i="1"/>
  <c r="J106" i="1"/>
  <c r="I106" i="1"/>
  <c r="D106" i="1"/>
  <c r="H106" i="1"/>
  <c r="O106" i="1"/>
  <c r="N106" i="1"/>
  <c r="M106" i="1"/>
  <c r="E106" i="1"/>
  <c r="G106" i="1"/>
  <c r="F106" i="1"/>
  <c r="P103" i="1"/>
  <c r="O9" i="1"/>
  <c r="G9" i="1"/>
  <c r="L9" i="1"/>
  <c r="N9" i="1"/>
  <c r="F9" i="1"/>
  <c r="E9" i="1"/>
  <c r="I9" i="1"/>
  <c r="H9" i="1"/>
  <c r="D9" i="1"/>
  <c r="M9" i="1"/>
  <c r="K9" i="1"/>
  <c r="P8" i="1"/>
  <c r="P7" i="1"/>
  <c r="J9" i="1"/>
  <c r="P6" i="1"/>
  <c r="D107" i="1"/>
  <c r="L107" i="1"/>
  <c r="J107" i="1"/>
  <c r="I107" i="1"/>
  <c r="F107" i="1"/>
  <c r="N107" i="1"/>
  <c r="H107" i="1"/>
  <c r="P106" i="1"/>
  <c r="K107" i="1"/>
  <c r="M107" i="1"/>
  <c r="G107" i="1"/>
  <c r="O107" i="1"/>
  <c r="E107" i="1"/>
  <c r="P9" i="1"/>
  <c r="P107" i="1"/>
</calcChain>
</file>

<file path=xl/sharedStrings.xml><?xml version="1.0" encoding="utf-8"?>
<sst xmlns="http://schemas.openxmlformats.org/spreadsheetml/2006/main" count="325" uniqueCount="127">
  <si>
    <t>À propos du modèle</t>
  </si>
  <si>
    <t>Utilisez ce modèle pour gérer votre budget mensuel et annuel.</t>
  </si>
  <si>
    <t>Entrez les recettes et les dépenses dans les tableaux correspondants afin de calculer le déficit ou l’excédent de trésorerie pour chaque mois et chaque année.</t>
  </si>
  <si>
    <t>Les graphiques sparkline sont automatiquement mis à jour dans chaque tableau.</t>
  </si>
  <si>
    <t>Remarque : </t>
  </si>
  <si>
    <t>Des instructions supplémentaires sont disponibles dans la colonne A de la feuille de calcul BUDGET PERSONNEL. Ce texte a été intentionnellement masqué. Pour supprimer le texte, sélectionnez la colonne A et choisissez SUPPRIMER. Pour afficher le texte, sélectionnez la colonne A et changez la couleur de la police.</t>
  </si>
  <si>
    <t>Créez un budget personnel simple dans cette feuille de calcul. Des instructions utiles sur l’utilisation de cette feuille de calcul sont disponibles dans les cellules de cette colonne. Appuyez sur la flèche Bas pour commencer.</t>
  </si>
  <si>
    <t>Le titre de cette feuille de calcul se trouve dans la cellule de droite. Entrez l’année dans la cellule Q2. L’instruction suivante figure dans la cellule A4.</t>
  </si>
  <si>
    <t>Les cellules C4 à P4 contiennent des étiquettes.</t>
  </si>
  <si>
    <t>Les cellules C11 à P11 contiennent des étiquettes.</t>
  </si>
  <si>
    <t>Entrez les dépenses du foyer dans le tableau qui commence à la cellule C12. L’instruction suivante figure dans la cellule A20.</t>
  </si>
  <si>
    <t>Entrez les dépenses quotidiennes dans le tableau qui commence à la cellule C20. L’instruction suivante figure dans la cellule A29.</t>
  </si>
  <si>
    <t>Entrez les dépenses relatives aux loisirs dans le tableau qui commence à la cellule C38. L’instruction suivante figure dans la cellule A45.</t>
  </si>
  <si>
    <t>Entrez les dépenses relatives à la santé dans le tableau qui commence à la cellule C45. L’instruction suivante figure dans la cellule A55.</t>
  </si>
  <si>
    <t>Entrez les dépenses relatives aux vacances dans le tableau qui commence à la cellule C55. L’instruction suivante figure dans la cellule A64.</t>
  </si>
  <si>
    <t>Entrez les dépenses relatives à la détente dans le tableau qui commence à la cellule C64. L’instruction suivante figure dans la cellule A71.</t>
  </si>
  <si>
    <t>Entrez les dépenses relatives aux cotisations et abonnements dans le tableau qui commence à la cellule C71. L’instruction suivante figure dans la cellule A81.</t>
  </si>
  <si>
    <t>Entrez les obligations financières dans le tableau qui commence à la cellule C89. L’instruction suivante figure dans la cellule A97.</t>
  </si>
  <si>
    <t>Entrez les dépenses diverses dans le tableau qui commence à la cellule C97. L’instruction suivante figure dans la cellule A105.</t>
  </si>
  <si>
    <t>BUDGET PERSONNEL</t>
  </si>
  <si>
    <t>RECETTES</t>
  </si>
  <si>
    <t>REVENUS</t>
  </si>
  <si>
    <t>Salaires</t>
  </si>
  <si>
    <t>Intérêts/Dividendes</t>
  </si>
  <si>
    <t>Divers</t>
  </si>
  <si>
    <t>Total</t>
  </si>
  <si>
    <t>DÉPENSES</t>
  </si>
  <si>
    <t>FOYER</t>
  </si>
  <si>
    <t>Prêt immobilier</t>
  </si>
  <si>
    <t>Assurance</t>
  </si>
  <si>
    <t>Réparations</t>
  </si>
  <si>
    <t>Services</t>
  </si>
  <si>
    <t>Eau, électricité et gaz</t>
  </si>
  <si>
    <t>VIE QUOTIDIENNE</t>
  </si>
  <si>
    <t xml:space="preserve">Courses </t>
  </si>
  <si>
    <t>Garderie</t>
  </si>
  <si>
    <t>Pressing</t>
  </si>
  <si>
    <t>Restaurant</t>
  </si>
  <si>
    <t>Ménage</t>
  </si>
  <si>
    <t>Promeneur de chien</t>
  </si>
  <si>
    <t>TRANSPORTS</t>
  </si>
  <si>
    <t>Carburant</t>
  </si>
  <si>
    <t>Lavage de voiture</t>
  </si>
  <si>
    <t>Parking</t>
  </si>
  <si>
    <t>Transports en commun</t>
  </si>
  <si>
    <t>LOISIRS</t>
  </si>
  <si>
    <t>Télévision par câble</t>
  </si>
  <si>
    <t>Location de vidéo/DVD</t>
  </si>
  <si>
    <t>Cinéma/Théâtre</t>
  </si>
  <si>
    <t>Concerts/Discothèque</t>
  </si>
  <si>
    <t>SANTÉ</t>
  </si>
  <si>
    <t>Cotisation club de sport</t>
  </si>
  <si>
    <t>Ordonnances</t>
  </si>
  <si>
    <t>Médicaments en vente libre</t>
  </si>
  <si>
    <t>Dépenses partiellement ou non prises en charges</t>
  </si>
  <si>
    <t>Vétérinaire/soins pour animaux</t>
  </si>
  <si>
    <t>Assurance vie</t>
  </si>
  <si>
    <t>VACANCES</t>
  </si>
  <si>
    <t>Avion</t>
  </si>
  <si>
    <t>Hébergement</t>
  </si>
  <si>
    <t>Nourriture</t>
  </si>
  <si>
    <t>Souvenirs</t>
  </si>
  <si>
    <t>Chenil</t>
  </si>
  <si>
    <t>Voiture de location</t>
  </si>
  <si>
    <t>DÉTENTE</t>
  </si>
  <si>
    <t>Salle de sport</t>
  </si>
  <si>
    <t>Équipements de sport</t>
  </si>
  <si>
    <t>Cotisations de club de sport</t>
  </si>
  <si>
    <t>Jouets/équipements enfants</t>
  </si>
  <si>
    <t>COTISATIONS/ABONNEMENTS</t>
  </si>
  <si>
    <t>Magazines</t>
  </si>
  <si>
    <t>Journaux</t>
  </si>
  <si>
    <t>Connexion Internet</t>
  </si>
  <si>
    <t>Radio</t>
  </si>
  <si>
    <t>Télévision</t>
  </si>
  <si>
    <t>Organisations religieuses</t>
  </si>
  <si>
    <t>Dons</t>
  </si>
  <si>
    <t>PERSONNEL</t>
  </si>
  <si>
    <t>Habillement</t>
  </si>
  <si>
    <t>Cadeaux</t>
  </si>
  <si>
    <t>Coiffeur/barbier</t>
  </si>
  <si>
    <t>Livres</t>
  </si>
  <si>
    <t>Musique (CD, etc.)</t>
  </si>
  <si>
    <t>OBLIGATIONS FINANCIÈRES</t>
  </si>
  <si>
    <t>Épargne à long terme</t>
  </si>
  <si>
    <t>Retraite</t>
  </si>
  <si>
    <t>Paiements par carte de crédit</t>
  </si>
  <si>
    <t>Impôt sur le revenu</t>
  </si>
  <si>
    <t>Autres obligations</t>
  </si>
  <si>
    <t>DÉPENSES DIVERSES</t>
  </si>
  <si>
    <t>Autres</t>
  </si>
  <si>
    <t>TOTAUX</t>
  </si>
  <si>
    <t>Total des dépenses</t>
  </si>
  <si>
    <t>Déficit/excédent de trésorerie</t>
  </si>
  <si>
    <t>JAN</t>
  </si>
  <si>
    <t>Janvier</t>
  </si>
  <si>
    <t>FÉV</t>
  </si>
  <si>
    <t>Février</t>
  </si>
  <si>
    <t>MAR</t>
  </si>
  <si>
    <t>Mars</t>
  </si>
  <si>
    <t>AVR</t>
  </si>
  <si>
    <t>Avril</t>
  </si>
  <si>
    <t>MAI</t>
  </si>
  <si>
    <t>Mai</t>
  </si>
  <si>
    <t>JUIN</t>
  </si>
  <si>
    <t>Juin</t>
  </si>
  <si>
    <t>JUIL</t>
  </si>
  <si>
    <t>Juillet</t>
  </si>
  <si>
    <t>AOÛ</t>
  </si>
  <si>
    <t>Août</t>
  </si>
  <si>
    <t>SEPT</t>
  </si>
  <si>
    <t>Septembre</t>
  </si>
  <si>
    <t>OCT</t>
  </si>
  <si>
    <t>Octobre</t>
  </si>
  <si>
    <t>NOV</t>
  </si>
  <si>
    <t>Novembre</t>
  </si>
  <si>
    <t>DÉC</t>
  </si>
  <si>
    <t>Décembre</t>
  </si>
  <si>
    <t>ANNÉE</t>
  </si>
  <si>
    <t>Année</t>
  </si>
  <si>
    <t>Graphique sparkline</t>
  </si>
  <si>
    <t>GRAPHIQUE SPARKLINE</t>
  </si>
  <si>
    <t>Pour en savoir plus sur les tableaux, appuyez sur MAJ, puis sur F10 au sein d’un tableau, et sélectionnez les options TABLE et TEXTE DE REMPLACEMENT.</t>
  </si>
  <si>
    <t>Entrez les détails dans le tableau Revenus, qui commence à la cellule C5. L’instruction suivante figure dans la cellule A11.</t>
  </si>
  <si>
    <t>Entrez les dépenses de transports dans le tableau qui commence à la cellule C29. L’instruction suivante figure dans la cellule A38.</t>
  </si>
  <si>
    <t>Entrez les dépenses personnel dans le tableau qui commence à la cellule C81. L’instruction suivante figure dans la cellule A89.</t>
  </si>
  <si>
    <t>Les totaux sont automatiquement calculés dans le tableau qui commence à la cellule C105. Les total des dépenses ainsi que le déficit ou l’excédent de trésorerie sont automatiquement calculés pour chaque mois et pour l’année entière, et les graphiques sparkline sont mis à jour.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</si>
</sst>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2" formatCode="_-* #,##0\ &quot;€&quot;_-;\-* #,##0\ &quot;€&quot;_-;_-* &quot;-&quot;\ &quot;€&quot;_-;_-@_-"/>
    <numFmt numFmtId="44" formatCode="_-* #,##0.00\ &quot;€&quot;_-;\-* #,##0.00\ &quot;€&quot;_-;_-* &quot;-&quot;??\ &quot;€&quot;_-;_-@_-"/>
    <numFmt numFmtId="164" formatCode="_(* #,##0_);_(* \(#,##0\);_(* &quot;-&quot;_);_(@_)"/>
    <numFmt numFmtId="165" formatCode="_(* #,##0.00_);_(* \(#,##0.00\);_(* &quot;-&quot;??_);_(@_)"/>
    <numFmt numFmtId="166" formatCode="#,##0.00\ &quot;€&quot;"/>
  </numFmts>
  <fonts count="37" x14ac:knownFonts="1">
    <font>
      <sz val="10"/>
      <color theme="1" tint="0.14993743705557422"/>
      <name val="verdana"/>
      <family val="2"/>
      <scheme val="minor"/>
    </font>
    <font>
      <sz val="11"/>
      <color theme="1"/>
      <name val="verdana"/>
      <family val="2"/>
      <scheme val="minor"/>
    </font>
    <font>
      <b/>
      <sz val="10"/>
      <color theme="1" tint="0.14990691854609822"/>
      <name val="Gill Sans MT"/>
      <family val="2"/>
      <scheme val="major"/>
    </font>
    <font>
      <sz val="11"/>
      <color theme="1" tint="0.14993743705557422"/>
      <name val="Gill Sans MT"/>
      <family val="2"/>
      <scheme val="major"/>
    </font>
    <font>
      <sz val="22"/>
      <color theme="1" tint="0.14993743705557422"/>
      <name val="Gill Sans MT"/>
      <family val="2"/>
      <scheme val="major"/>
    </font>
    <font>
      <sz val="10"/>
      <color theme="4" tint="-0.499984740745262"/>
      <name val="verdana"/>
      <family val="2"/>
      <scheme val="minor"/>
    </font>
    <font>
      <sz val="10"/>
      <color theme="5" tint="-0.499984740745262"/>
      <name val="verdana"/>
      <family val="2"/>
      <scheme val="minor"/>
    </font>
    <font>
      <sz val="11"/>
      <color theme="1" tint="0.34998626667073579"/>
      <name val="Gill Sans MT"/>
      <family val="2"/>
      <scheme val="major"/>
    </font>
    <font>
      <b/>
      <sz val="10"/>
      <color theme="4"/>
      <name val="Gill Sans MT"/>
      <family val="2"/>
      <scheme val="major"/>
    </font>
    <font>
      <sz val="10"/>
      <color theme="0"/>
      <name val="verdana"/>
      <family val="2"/>
      <scheme val="minor"/>
    </font>
    <font>
      <b/>
      <sz val="10"/>
      <color theme="5"/>
      <name val="Gill Sans MT"/>
      <family val="2"/>
      <scheme val="major"/>
    </font>
    <font>
      <b/>
      <sz val="10"/>
      <color theme="0"/>
      <name val="Gill Sans MT"/>
      <family val="2"/>
      <scheme val="major"/>
    </font>
    <font>
      <b/>
      <sz val="10"/>
      <color theme="4"/>
      <name val="verdana"/>
      <family val="2"/>
      <scheme val="minor"/>
    </font>
    <font>
      <b/>
      <sz val="10"/>
      <color theme="5"/>
      <name val="verdana"/>
      <family val="2"/>
      <scheme val="minor"/>
    </font>
    <font>
      <b/>
      <sz val="25"/>
      <color rgb="FF000000"/>
      <name val="Gill Sans MT"/>
      <family val="2"/>
    </font>
    <font>
      <sz val="10"/>
      <color theme="5" tint="0.79998168889431442"/>
      <name val="verdana"/>
      <family val="2"/>
      <scheme val="minor"/>
    </font>
    <font>
      <sz val="10"/>
      <color theme="4" tint="0.79998168889431442"/>
      <name val="verdana"/>
      <family val="2"/>
      <scheme val="minor"/>
    </font>
    <font>
      <sz val="16"/>
      <color theme="0"/>
      <name val="Arial"/>
      <family val="2"/>
    </font>
    <font>
      <sz val="11"/>
      <color theme="1" tint="0.14993743705557422"/>
      <name val="Calibri"/>
      <family val="2"/>
    </font>
    <font>
      <b/>
      <sz val="11"/>
      <color theme="1" tint="0.14993743705557422"/>
      <name val="Calibri"/>
      <family val="2"/>
    </font>
    <font>
      <sz val="10"/>
      <color rgb="FFF7F7F7"/>
      <name val="verdana"/>
      <family val="2"/>
      <scheme val="minor"/>
    </font>
    <font>
      <sz val="11"/>
      <color rgb="FFF7F7F7"/>
      <name val="Calibri"/>
      <family val="2"/>
    </font>
    <font>
      <b/>
      <sz val="10"/>
      <color theme="1"/>
      <name val="Gill Sans MT"/>
      <family val="2"/>
      <scheme val="major"/>
    </font>
    <font>
      <sz val="10"/>
      <color theme="1" tint="0.14993743705557422"/>
      <name val="verdana"/>
      <family val="2"/>
      <scheme val="minor"/>
    </font>
    <font>
      <sz val="18"/>
      <color theme="3"/>
      <name val="Gill Sans MT"/>
      <family val="2"/>
      <scheme val="major"/>
    </font>
    <font>
      <sz val="11"/>
      <color rgb="FF006100"/>
      <name val="verdana"/>
      <family val="2"/>
      <scheme val="minor"/>
    </font>
    <font>
      <sz val="11"/>
      <color rgb="FF9C0006"/>
      <name val="verdana"/>
      <family val="2"/>
      <scheme val="minor"/>
    </font>
    <font>
      <sz val="11"/>
      <color rgb="FF9C5700"/>
      <name val="verdana"/>
      <family val="2"/>
      <scheme val="minor"/>
    </font>
    <font>
      <sz val="11"/>
      <color rgb="FF3F3F76"/>
      <name val="verdana"/>
      <family val="2"/>
      <scheme val="minor"/>
    </font>
    <font>
      <b/>
      <sz val="11"/>
      <color rgb="FF3F3F3F"/>
      <name val="verdana"/>
      <family val="2"/>
      <scheme val="minor"/>
    </font>
    <font>
      <b/>
      <sz val="11"/>
      <color rgb="FFFA7D00"/>
      <name val="verdana"/>
      <family val="2"/>
      <scheme val="minor"/>
    </font>
    <font>
      <sz val="11"/>
      <color rgb="FFFA7D00"/>
      <name val="verdana"/>
      <family val="2"/>
      <scheme val="minor"/>
    </font>
    <font>
      <b/>
      <sz val="11"/>
      <color theme="0"/>
      <name val="verdana"/>
      <family val="2"/>
      <scheme val="minor"/>
    </font>
    <font>
      <sz val="11"/>
      <color rgb="FFFF0000"/>
      <name val="verdana"/>
      <family val="2"/>
      <scheme val="minor"/>
    </font>
    <font>
      <i/>
      <sz val="11"/>
      <color rgb="FF7F7F7F"/>
      <name val="verdana"/>
      <family val="2"/>
      <scheme val="minor"/>
    </font>
    <font>
      <b/>
      <sz val="11"/>
      <color theme="1"/>
      <name val="verdana"/>
      <family val="2"/>
      <scheme val="minor"/>
    </font>
    <font>
      <sz val="11"/>
      <color theme="0"/>
      <name val="verdana"/>
      <family val="2"/>
      <scheme val="minor"/>
    </font>
  </fonts>
  <fills count="47">
    <fill>
      <patternFill patternType="none"/>
    </fill>
    <fill>
      <patternFill patternType="gray125"/>
    </fill>
    <fill>
      <gradientFill degree="90">
        <stop position="0">
          <color theme="0"/>
        </stop>
        <stop position="1">
          <color theme="5" tint="0.80001220740379042"/>
        </stop>
      </gradientFill>
    </fill>
    <fill>
      <patternFill patternType="solid">
        <fgColor theme="4" tint="0.79998168889431442"/>
        <bgColor indexed="64"/>
      </patternFill>
    </fill>
    <fill>
      <patternFill patternType="solid">
        <fgColor theme="5"/>
        <bgColor indexed="64"/>
      </patternFill>
    </fill>
    <fill>
      <patternFill patternType="solid">
        <fgColor theme="4"/>
        <bgColor indexed="64"/>
      </patternFill>
    </fill>
    <fill>
      <patternFill patternType="solid">
        <fgColor theme="0"/>
        <bgColor auto="1"/>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1"/>
        <bgColor indexed="64"/>
      </patternFill>
    </fill>
    <fill>
      <patternFill patternType="solid">
        <fgColor theme="1" tint="0.34998626667073579"/>
        <bgColor indexed="64"/>
      </patternFill>
    </fill>
    <fill>
      <patternFill patternType="solid">
        <fgColor theme="0"/>
        <bgColor indexed="64"/>
      </patternFill>
    </fill>
    <fill>
      <patternFill patternType="solid">
        <fgColor theme="5" tint="0.59999389629810485"/>
        <bgColor indexed="64"/>
      </patternFill>
    </fill>
    <fill>
      <patternFill patternType="solid">
        <fgColor rgb="FFF7F7F7"/>
        <bgColor indexed="64"/>
      </patternFill>
    </fill>
    <fill>
      <patternFill patternType="solid">
        <fgColor theme="5"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1">
    <border>
      <left/>
      <right/>
      <top/>
      <bottom/>
      <diagonal/>
    </border>
    <border>
      <left/>
      <right/>
      <top/>
      <bottom style="medium">
        <color theme="4" tint="-0.24994659260841701"/>
      </bottom>
      <diagonal/>
    </border>
    <border>
      <left/>
      <right/>
      <top style="medium">
        <color theme="1"/>
      </top>
      <bottom/>
      <diagonal/>
    </border>
    <border>
      <left/>
      <right/>
      <top/>
      <bottom style="medium">
        <color theme="1"/>
      </bottom>
      <diagonal/>
    </border>
    <border>
      <left/>
      <right style="thick">
        <color theme="4"/>
      </right>
      <top/>
      <bottom/>
      <diagonal/>
    </border>
    <border>
      <left/>
      <right style="thick">
        <color theme="5"/>
      </right>
      <top/>
      <bottom/>
      <diagonal/>
    </border>
    <border>
      <left style="thick">
        <color theme="5"/>
      </left>
      <right/>
      <top/>
      <bottom/>
      <diagonal/>
    </border>
    <border>
      <left style="thick">
        <color theme="4"/>
      </left>
      <right/>
      <top/>
      <bottom/>
      <diagonal/>
    </border>
    <border>
      <left style="medium">
        <color theme="4"/>
      </left>
      <right/>
      <top/>
      <bottom style="thick">
        <color theme="0"/>
      </bottom>
      <diagonal/>
    </border>
    <border>
      <left/>
      <right/>
      <top/>
      <bottom style="thick">
        <color theme="0"/>
      </bottom>
      <diagonal/>
    </border>
    <border>
      <left/>
      <right style="medium">
        <color theme="4" tint="0.79998168889431442"/>
      </right>
      <top/>
      <bottom/>
      <diagonal/>
    </border>
    <border>
      <left/>
      <right style="medium">
        <color theme="5" tint="0.79998168889431442"/>
      </right>
      <top/>
      <bottom/>
      <diagonal/>
    </border>
    <border>
      <left style="thin">
        <color theme="5"/>
      </left>
      <right/>
      <top/>
      <bottom style="thick">
        <color theme="0"/>
      </bottom>
      <diagonal/>
    </border>
    <border>
      <left style="thick">
        <color theme="4"/>
      </left>
      <right/>
      <top/>
      <bottom style="thick">
        <color theme="0"/>
      </bottom>
      <diagonal/>
    </border>
    <border>
      <left style="thick">
        <color theme="5"/>
      </left>
      <right/>
      <top/>
      <bottom style="thick">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4" borderId="0">
      <alignment vertical="center"/>
    </xf>
    <xf numFmtId="0" fontId="4" fillId="0" borderId="0" applyNumberFormat="0" applyFill="0" applyProtection="0">
      <alignment vertical="center"/>
    </xf>
    <xf numFmtId="0" fontId="3" fillId="0" borderId="1" applyNumberFormat="0" applyFill="0" applyProtection="0">
      <alignment vertical="center"/>
    </xf>
    <xf numFmtId="0" fontId="2" fillId="6" borderId="0" applyNumberFormat="0" applyProtection="0">
      <alignment horizontal="left" vertical="center" indent="1"/>
    </xf>
    <xf numFmtId="0" fontId="2" fillId="2" borderId="0" applyNumberFormat="0" applyProtection="0">
      <alignment vertical="center"/>
    </xf>
    <xf numFmtId="165" fontId="23" fillId="0" borderId="0" applyFont="0" applyFill="0" applyBorder="0" applyAlignment="0" applyProtection="0"/>
    <xf numFmtId="164"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8" fillId="19" borderId="15" applyNumberFormat="0" applyAlignment="0" applyProtection="0"/>
    <xf numFmtId="0" fontId="29" fillId="20" borderId="16" applyNumberFormat="0" applyAlignment="0" applyProtection="0"/>
    <xf numFmtId="0" fontId="30" fillId="20" borderId="15" applyNumberFormat="0" applyAlignment="0" applyProtection="0"/>
    <xf numFmtId="0" fontId="31" fillId="0" borderId="17" applyNumberFormat="0" applyFill="0" applyAlignment="0" applyProtection="0"/>
    <xf numFmtId="0" fontId="32" fillId="21" borderId="18" applyNumberFormat="0" applyAlignment="0" applyProtection="0"/>
    <xf numFmtId="0" fontId="33" fillId="0" borderId="0" applyNumberFormat="0" applyFill="0" applyBorder="0" applyAlignment="0" applyProtection="0"/>
    <xf numFmtId="0" fontId="23" fillId="22" borderId="19" applyNumberFormat="0" applyFont="0" applyAlignment="0" applyProtection="0"/>
    <xf numFmtId="0" fontId="34" fillId="0" borderId="0" applyNumberFormat="0" applyFill="0" applyBorder="0" applyAlignment="0" applyProtection="0"/>
    <xf numFmtId="0" fontId="35" fillId="0" borderId="20" applyNumberFormat="0" applyFill="0" applyAlignment="0" applyProtection="0"/>
    <xf numFmtId="0" fontId="3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6"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6"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36"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36" fillId="39"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36" fillId="43"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6" borderId="0" applyNumberFormat="0" applyBorder="0" applyAlignment="0" applyProtection="0"/>
  </cellStyleXfs>
  <cellXfs count="70">
    <xf numFmtId="0" fontId="0" fillId="14" borderId="0" xfId="0">
      <alignment vertical="center"/>
    </xf>
    <xf numFmtId="0" fontId="0" fillId="14" borderId="0" xfId="0" applyAlignment="1">
      <alignment horizontal="right" vertical="center"/>
    </xf>
    <xf numFmtId="0" fontId="0" fillId="0" borderId="0" xfId="0" applyFill="1" applyAlignment="1">
      <alignment horizontal="left" vertical="center" indent="1"/>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7" fillId="0" borderId="0" xfId="2" applyFont="1" applyBorder="1" applyAlignment="1">
      <alignment horizontal="left" vertical="center" indent="1"/>
    </xf>
    <xf numFmtId="0" fontId="7" fillId="0" borderId="0" xfId="2" applyFont="1" applyBorder="1" applyAlignment="1">
      <alignment horizontal="right" vertical="center"/>
    </xf>
    <xf numFmtId="0" fontId="8" fillId="0" borderId="0" xfId="3" applyFont="1" applyFill="1">
      <alignment horizontal="left" vertical="center" indent="1"/>
    </xf>
    <xf numFmtId="0" fontId="10" fillId="0" borderId="0" xfId="3" applyFont="1" applyFill="1">
      <alignment horizontal="left" vertical="center" indent="1"/>
    </xf>
    <xf numFmtId="0" fontId="8" fillId="0" borderId="0" xfId="0" applyFont="1" applyFill="1" applyAlignment="1">
      <alignment horizontal="left" vertical="center" indent="1"/>
    </xf>
    <xf numFmtId="0" fontId="0" fillId="12" borderId="0" xfId="0" applyFill="1" applyAlignment="1">
      <alignment horizontal="left" vertical="center" indent="1"/>
    </xf>
    <xf numFmtId="0" fontId="12" fillId="0" borderId="0" xfId="0" applyFont="1" applyFill="1" applyAlignment="1">
      <alignment horizontal="left" vertical="center" indent="1"/>
    </xf>
    <xf numFmtId="0" fontId="10" fillId="0" borderId="0" xfId="0" applyFont="1" applyFill="1" applyAlignment="1">
      <alignment horizontal="left" vertical="center" indent="1"/>
    </xf>
    <xf numFmtId="0" fontId="13" fillId="0" borderId="0" xfId="0" applyFont="1" applyFill="1" applyAlignment="1">
      <alignment horizontal="left" vertical="center" indent="1"/>
    </xf>
    <xf numFmtId="0" fontId="0" fillId="5" borderId="0" xfId="0" applyFill="1">
      <alignment vertical="center"/>
    </xf>
    <xf numFmtId="0" fontId="0" fillId="4" borderId="0" xfId="0" applyFill="1">
      <alignment vertical="center"/>
    </xf>
    <xf numFmtId="0" fontId="11" fillId="10" borderId="0" xfId="3" applyFont="1" applyFill="1">
      <alignment horizontal="left" vertical="center" indent="1"/>
    </xf>
    <xf numFmtId="0" fontId="11" fillId="10" borderId="0" xfId="3" applyFont="1" applyFill="1" applyAlignment="1">
      <alignment horizontal="right" vertical="center"/>
    </xf>
    <xf numFmtId="0" fontId="9" fillId="10" borderId="0" xfId="0" applyFont="1" applyFill="1" applyAlignment="1">
      <alignment horizontal="left" vertical="center" indent="1"/>
    </xf>
    <xf numFmtId="0" fontId="9" fillId="10" borderId="0" xfId="0" applyFont="1" applyFill="1">
      <alignment vertical="center"/>
    </xf>
    <xf numFmtId="0" fontId="11" fillId="11" borderId="0" xfId="3" applyFont="1" applyFill="1" applyAlignment="1">
      <alignment horizontal="right" vertical="center"/>
    </xf>
    <xf numFmtId="0" fontId="9" fillId="11" borderId="0" xfId="0" applyFont="1" applyFill="1">
      <alignment vertical="center"/>
    </xf>
    <xf numFmtId="0" fontId="0" fillId="14" borderId="4" xfId="0" applyBorder="1">
      <alignment vertical="center"/>
    </xf>
    <xf numFmtId="0" fontId="0" fillId="14" borderId="5" xfId="0" applyBorder="1">
      <alignment vertical="center"/>
    </xf>
    <xf numFmtId="0" fontId="8" fillId="12" borderId="0" xfId="0" applyFont="1" applyFill="1" applyAlignment="1">
      <alignment horizontal="left" vertical="center" indent="1"/>
    </xf>
    <xf numFmtId="0" fontId="0" fillId="0" borderId="6" xfId="0" applyFill="1" applyBorder="1" applyAlignment="1">
      <alignment horizontal="left" vertical="center" indent="1"/>
    </xf>
    <xf numFmtId="0" fontId="0" fillId="0" borderId="7" xfId="0" applyFill="1" applyBorder="1" applyAlignment="1">
      <alignment horizontal="left" vertical="center" indent="1"/>
    </xf>
    <xf numFmtId="0" fontId="0" fillId="14" borderId="2" xfId="0" applyBorder="1" applyAlignment="1">
      <alignment horizontal="right" vertical="center"/>
    </xf>
    <xf numFmtId="0" fontId="5" fillId="7" borderId="8" xfId="0" applyFont="1" applyFill="1" applyBorder="1" applyAlignment="1">
      <alignment horizontal="left" vertical="center" indent="1"/>
    </xf>
    <xf numFmtId="0" fontId="5" fillId="7" borderId="9" xfId="0" applyFont="1" applyFill="1" applyBorder="1" applyAlignment="1">
      <alignment horizontal="right" vertical="center"/>
    </xf>
    <xf numFmtId="0" fontId="9" fillId="12" borderId="0" xfId="0" applyFont="1" applyFill="1">
      <alignment vertical="center"/>
    </xf>
    <xf numFmtId="0" fontId="9" fillId="0" borderId="0" xfId="0" applyFont="1" applyFill="1" applyAlignment="1">
      <alignment horizontal="right" vertical="center"/>
    </xf>
    <xf numFmtId="0" fontId="15" fillId="9" borderId="0" xfId="0" applyFont="1" applyFill="1" applyAlignment="1">
      <alignment horizontal="right" vertical="center"/>
    </xf>
    <xf numFmtId="0" fontId="16" fillId="3" borderId="0" xfId="0" applyFont="1" applyFill="1">
      <alignment vertical="center"/>
    </xf>
    <xf numFmtId="0" fontId="16" fillId="3" borderId="10" xfId="0" applyFont="1" applyFill="1" applyBorder="1">
      <alignment vertical="center"/>
    </xf>
    <xf numFmtId="0" fontId="15" fillId="9" borderId="11" xfId="0" applyFont="1" applyFill="1" applyBorder="1" applyAlignment="1">
      <alignment horizontal="right" vertical="center"/>
    </xf>
    <xf numFmtId="0" fontId="16" fillId="3" borderId="10" xfId="0" applyFont="1" applyFill="1" applyBorder="1" applyAlignment="1">
      <alignment horizontal="right" vertical="center"/>
    </xf>
    <xf numFmtId="0" fontId="6" fillId="7" borderId="12" xfId="0" applyFont="1" applyFill="1" applyBorder="1" applyAlignment="1">
      <alignment horizontal="left" vertical="center" indent="1"/>
    </xf>
    <xf numFmtId="0" fontId="6" fillId="7" borderId="9" xfId="0" applyFont="1" applyFill="1" applyBorder="1" applyAlignment="1">
      <alignment horizontal="right" vertical="center"/>
    </xf>
    <xf numFmtId="0" fontId="0" fillId="7" borderId="13" xfId="0" applyFill="1" applyBorder="1" applyAlignment="1">
      <alignment horizontal="left" vertical="center" indent="1"/>
    </xf>
    <xf numFmtId="0" fontId="0" fillId="7" borderId="9" xfId="0" applyFill="1" applyBorder="1" applyAlignment="1">
      <alignment horizontal="right" vertical="center"/>
    </xf>
    <xf numFmtId="0" fontId="0" fillId="7" borderId="14" xfId="0" applyFill="1" applyBorder="1" applyAlignment="1">
      <alignment horizontal="left" vertical="center" indent="1"/>
    </xf>
    <xf numFmtId="0" fontId="17" fillId="15" borderId="0" xfId="0" applyFont="1" applyFill="1" applyAlignment="1">
      <alignment horizontal="center" vertical="center"/>
    </xf>
    <xf numFmtId="0" fontId="18" fillId="14" borderId="0" xfId="0" applyFont="1" applyAlignment="1">
      <alignment vertical="center" wrapText="1"/>
    </xf>
    <xf numFmtId="0" fontId="19" fillId="14" borderId="0" xfId="0" applyFont="1" applyAlignment="1">
      <alignment vertical="center" wrapText="1"/>
    </xf>
    <xf numFmtId="0" fontId="9" fillId="14" borderId="3" xfId="0" applyFont="1" applyBorder="1">
      <alignment vertical="center"/>
    </xf>
    <xf numFmtId="0" fontId="20" fillId="14" borderId="0" xfId="0" applyFont="1" applyAlignment="1">
      <alignment wrapText="1"/>
    </xf>
    <xf numFmtId="0" fontId="21" fillId="14" borderId="0" xfId="0" applyFont="1" applyAlignment="1">
      <alignment vertical="center" wrapText="1"/>
    </xf>
    <xf numFmtId="0" fontId="20" fillId="14" borderId="0" xfId="0" applyFont="1" applyAlignment="1">
      <alignment vertical="center" wrapText="1"/>
    </xf>
    <xf numFmtId="0" fontId="22" fillId="10" borderId="0" xfId="3" applyFont="1" applyFill="1">
      <alignment horizontal="left" vertical="center" indent="1"/>
    </xf>
    <xf numFmtId="0" fontId="16" fillId="3" borderId="0" xfId="0" applyFont="1" applyFill="1" applyAlignment="1">
      <alignment horizontal="right" vertical="center"/>
    </xf>
    <xf numFmtId="166" fontId="5" fillId="0" borderId="0" xfId="0" applyNumberFormat="1" applyFont="1" applyFill="1" applyAlignment="1">
      <alignment horizontal="right" vertical="center"/>
    </xf>
    <xf numFmtId="166" fontId="5" fillId="7" borderId="0" xfId="0" applyNumberFormat="1" applyFont="1" applyFill="1" applyAlignment="1">
      <alignment horizontal="right" vertical="center"/>
    </xf>
    <xf numFmtId="166" fontId="5" fillId="7" borderId="9" xfId="0" applyNumberFormat="1" applyFont="1" applyFill="1" applyBorder="1" applyAlignment="1">
      <alignment horizontal="right" vertical="center"/>
    </xf>
    <xf numFmtId="166" fontId="6" fillId="0" borderId="0" xfId="0" applyNumberFormat="1" applyFont="1" applyFill="1" applyAlignment="1">
      <alignment horizontal="right" vertical="center"/>
    </xf>
    <xf numFmtId="166" fontId="6" fillId="7" borderId="0" xfId="0" applyNumberFormat="1" applyFont="1" applyFill="1" applyAlignment="1">
      <alignment horizontal="right" vertical="center"/>
    </xf>
    <xf numFmtId="166" fontId="6" fillId="7" borderId="9" xfId="0" applyNumberFormat="1" applyFont="1" applyFill="1" applyBorder="1" applyAlignment="1">
      <alignment horizontal="right" vertical="center"/>
    </xf>
    <xf numFmtId="166" fontId="0" fillId="3" borderId="0" xfId="0" applyNumberFormat="1" applyFill="1" applyAlignment="1">
      <alignment horizontal="right" vertical="center"/>
    </xf>
    <xf numFmtId="166" fontId="0" fillId="12" borderId="0" xfId="0" applyNumberFormat="1" applyFill="1" applyAlignment="1">
      <alignment horizontal="right" vertical="center"/>
    </xf>
    <xf numFmtId="166" fontId="0" fillId="7" borderId="0" xfId="0" applyNumberFormat="1" applyFill="1" applyAlignment="1">
      <alignment horizontal="right" vertical="center"/>
    </xf>
    <xf numFmtId="166" fontId="0" fillId="8" borderId="9" xfId="0" applyNumberFormat="1" applyFill="1" applyBorder="1" applyAlignment="1">
      <alignment horizontal="right" vertical="center"/>
    </xf>
    <xf numFmtId="166" fontId="0" fillId="7" borderId="9" xfId="0" applyNumberFormat="1" applyFill="1" applyBorder="1" applyAlignment="1">
      <alignment horizontal="right" vertical="center"/>
    </xf>
    <xf numFmtId="166" fontId="0" fillId="0" borderId="0" xfId="0" applyNumberFormat="1" applyFill="1" applyAlignment="1">
      <alignment horizontal="right" vertical="center"/>
    </xf>
    <xf numFmtId="166" fontId="0" fillId="9" borderId="0" xfId="0" applyNumberFormat="1" applyFill="1" applyAlignment="1">
      <alignment horizontal="right" vertical="center"/>
    </xf>
    <xf numFmtId="166" fontId="0" fillId="13" borderId="9" xfId="0" applyNumberFormat="1" applyFill="1" applyBorder="1" applyAlignment="1">
      <alignment horizontal="right" vertical="center"/>
    </xf>
    <xf numFmtId="166" fontId="9" fillId="11" borderId="0" xfId="0" applyNumberFormat="1" applyFont="1" applyFill="1" applyAlignment="1">
      <alignment horizontal="right" vertical="center"/>
    </xf>
    <xf numFmtId="166" fontId="9" fillId="10" borderId="0" xfId="0" applyNumberFormat="1" applyFont="1" applyFill="1" applyAlignment="1">
      <alignment horizontal="right" vertical="center"/>
    </xf>
    <xf numFmtId="0" fontId="14" fillId="14" borderId="0" xfId="0" applyFont="1" applyAlignment="1"/>
    <xf numFmtId="0" fontId="0" fillId="14" borderId="3" xfId="0" applyBorder="1" applyAlignment="1">
      <alignment horizontal="center" vertical="center"/>
    </xf>
    <xf numFmtId="0" fontId="0" fillId="14" borderId="0" xfId="0">
      <alignment vertical="center"/>
    </xf>
  </cellXfs>
  <cellStyles count="47">
    <cellStyle name="20 % - Accent1" xfId="24" builtinId="30" customBuiltin="1"/>
    <cellStyle name="20 % - Accent2" xfId="28" builtinId="34" customBuiltin="1"/>
    <cellStyle name="20 % - Accent3" xfId="32" builtinId="38" customBuiltin="1"/>
    <cellStyle name="20 % - Accent4" xfId="36" builtinId="42" customBuiltin="1"/>
    <cellStyle name="20 % - Accent5" xfId="40" builtinId="46" customBuiltin="1"/>
    <cellStyle name="20 % - Accent6" xfId="44" builtinId="50" customBuiltin="1"/>
    <cellStyle name="40 % - Accent1" xfId="25" builtinId="31" customBuiltin="1"/>
    <cellStyle name="40 % - Accent2" xfId="29" builtinId="35" customBuiltin="1"/>
    <cellStyle name="40 % - Accent3" xfId="33" builtinId="39" customBuiltin="1"/>
    <cellStyle name="40 % - Accent4" xfId="37" builtinId="43" customBuiltin="1"/>
    <cellStyle name="40 % - Accent5" xfId="41" builtinId="47" customBuiltin="1"/>
    <cellStyle name="40 % - Accent6" xfId="45" builtinId="51" customBuiltin="1"/>
    <cellStyle name="60 % - Accent1" xfId="26" builtinId="32" customBuiltin="1"/>
    <cellStyle name="60 % - Accent2" xfId="30" builtinId="36" customBuiltin="1"/>
    <cellStyle name="60 % - Accent3" xfId="34" builtinId="40" customBuiltin="1"/>
    <cellStyle name="60 % - Accent4" xfId="38" builtinId="44" customBuiltin="1"/>
    <cellStyle name="60 % - Accent5" xfId="42" builtinId="48" customBuiltin="1"/>
    <cellStyle name="60 %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Avertissement" xfId="19" builtinId="11" customBuiltin="1"/>
    <cellStyle name="Calcul" xfId="16" builtinId="22" customBuiltin="1"/>
    <cellStyle name="Cellule liée" xfId="17" builtinId="24" customBuiltin="1"/>
    <cellStyle name="Entrée" xfId="14" builtinId="20" customBuiltin="1"/>
    <cellStyle name="Insatisfaisant" xfId="12" builtinId="27" customBuiltin="1"/>
    <cellStyle name="Milliers" xfId="5" builtinId="3" customBuiltin="1"/>
    <cellStyle name="Milliers [0]" xfId="6" builtinId="6" customBuiltin="1"/>
    <cellStyle name="Monétaire" xfId="7" builtinId="4" customBuiltin="1"/>
    <cellStyle name="Monétaire [0]" xfId="8" builtinId="7" customBuiltin="1"/>
    <cellStyle name="Neutre" xfId="13" builtinId="28" customBuiltin="1"/>
    <cellStyle name="Normal" xfId="0" builtinId="0" customBuiltin="1"/>
    <cellStyle name="Note" xfId="20" builtinId="10" customBuiltin="1"/>
    <cellStyle name="Pourcentage" xfId="9" builtinId="5" customBuiltin="1"/>
    <cellStyle name="Satisfaisant" xfId="11" builtinId="26" customBuiltin="1"/>
    <cellStyle name="Sortie" xfId="15" builtinId="21" customBuiltin="1"/>
    <cellStyle name="Texte explicatif" xfId="21" builtinId="53" customBuiltin="1"/>
    <cellStyle name="Titre" xfId="10" builtinId="15" customBuiltin="1"/>
    <cellStyle name="Titre 1" xfId="1" builtinId="16" customBuiltin="1"/>
    <cellStyle name="Titre 2" xfId="2" builtinId="17" customBuiltin="1"/>
    <cellStyle name="Titre 3" xfId="3" builtinId="18" customBuiltin="1"/>
    <cellStyle name="Titre 4" xfId="4" builtinId="19" hidden="1" customBuiltin="1"/>
    <cellStyle name="Total" xfId="22" builtinId="25" customBuiltin="1"/>
    <cellStyle name="Vérification" xfId="18" builtinId="23" customBuiltin="1"/>
  </cellStyles>
  <dxfs count="434">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patternFill>
      </fill>
      <alignment horizontal="right" textRotation="0" wrapText="0" indent="0" justifyLastLine="0" shrinkToFit="0" readingOrder="0"/>
    </dxf>
    <dxf>
      <font>
        <strike val="0"/>
        <outline val="0"/>
        <shadow val="0"/>
        <u val="none"/>
        <vertAlign val="baseline"/>
        <sz val="10"/>
        <color theme="0"/>
      </font>
      <numFmt numFmtId="166" formatCode="#,##0.00\ &quot;€&quot;"/>
      <fill>
        <patternFill patternType="solid">
          <fgColor indexed="64"/>
          <bgColor theme="1" tint="0.34998626667073579"/>
        </patternFill>
      </fill>
      <alignment horizontal="right" textRotation="0" wrapText="0" indent="0" justifyLastLine="0" shrinkToFit="0" readingOrder="0"/>
    </dxf>
    <dxf>
      <font>
        <strike val="0"/>
        <outline val="0"/>
        <shadow val="0"/>
        <u val="none"/>
        <vertAlign val="baseline"/>
        <sz val="10"/>
        <color theme="0"/>
      </font>
      <fill>
        <patternFill patternType="solid">
          <fgColor indexed="64"/>
          <bgColor theme="1"/>
        </patternFill>
      </fill>
      <alignment horizontal="left" vertical="center" textRotation="0" wrapText="0" relativeIndent="1" justifyLastLine="0" shrinkToFit="0" readingOrder="0"/>
    </dxf>
    <dxf>
      <font>
        <strike val="0"/>
        <outline val="0"/>
        <shadow val="0"/>
        <u val="none"/>
        <vertAlign val="baseline"/>
        <sz val="10"/>
        <color theme="0"/>
      </font>
      <fill>
        <patternFill patternType="solid">
          <fgColor indexed="64"/>
          <bgColor theme="1"/>
        </patternFill>
      </fill>
    </dxf>
    <dxf>
      <font>
        <strike val="0"/>
        <outline val="0"/>
        <shadow val="0"/>
        <u val="none"/>
        <vertAlign val="baseline"/>
        <sz val="10"/>
        <color theme="0"/>
        <name val="Gill Sans MT"/>
        <scheme val="major"/>
      </font>
      <fill>
        <patternFill patternType="solid">
          <fgColor indexed="64"/>
          <bgColor theme="1"/>
        </patternFill>
      </fill>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alignment horizontal="left" vertical="center" textRotation="0" wrapText="0" 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alignment horizontal="left" vertical="center" textRotation="0" wrapText="0" relative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5"/>
        </left>
        <right/>
        <top/>
        <bottom style="thick">
          <color theme="0"/>
        </bottom>
      </border>
    </dxf>
    <dxf>
      <fill>
        <patternFill patternType="none">
          <bgColor auto="1"/>
        </patternFill>
      </fill>
      <alignment horizontal="left" vertical="center" textRotation="0" wrapText="0" relative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fill>
        <patternFill patternType="solid">
          <fgColor indexed="64"/>
          <bgColor theme="5"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fill>
        <patternFill patternType="solid">
          <fgColor indexed="64"/>
          <bgColor theme="5"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fill>
        <patternFill patternType="solid">
          <fgColor indexed="64"/>
          <bgColor theme="5"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fill>
        <patternFill patternType="solid">
          <fgColor indexed="64"/>
          <bgColor theme="5"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fill>
        <patternFill patternType="solid">
          <fgColor indexed="64"/>
          <bgColor theme="5"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fill>
        <patternFill patternType="solid">
          <fgColor indexed="64"/>
          <bgColor theme="5" tint="0.79998168889431442"/>
        </patternFill>
      </fill>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alignment horizontal="left" vertical="center" textRotation="0" wrapText="0" relative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none">
          <bgColor auto="1"/>
        </patternFill>
      </fill>
      <alignment horizontal="right" vertical="center" textRotation="0" wrapText="0" indent="0" justifyLastLine="0" shrinkToFit="0" readingOrder="0"/>
    </dxf>
    <dxf>
      <numFmt numFmtId="166" formatCode="#,##0.00\ &quot;€&quot;"/>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style="thick">
          <color theme="0"/>
        </bottom>
      </border>
    </dxf>
    <dxf>
      <numFmt numFmtId="166" formatCode="#,##0.00\ &quot;€&quot;"/>
      <fill>
        <patternFill patternType="solid">
          <fgColor indexed="64"/>
          <bgColor theme="4" tint="0.79998168889431442"/>
        </patternFill>
      </fill>
    </dxf>
    <dxf>
      <fill>
        <patternFill patternType="solid">
          <fgColor indexed="64"/>
          <bgColor theme="0" tint="-4.9989318521683403E-2"/>
        </patternFill>
      </fill>
      <alignment horizontal="left" vertical="center" textRotation="0" wrapText="0" indent="1" justifyLastLine="0" shrinkToFit="0" readingOrder="0"/>
      <border diagonalUp="0" diagonalDown="0" outline="0">
        <left style="thick">
          <color theme="4"/>
        </left>
        <right/>
        <top/>
        <bottom style="thick">
          <color theme="0"/>
        </bottom>
      </border>
    </dxf>
    <dxf>
      <fill>
        <patternFill patternType="none">
          <bgColor auto="1"/>
        </patternFill>
      </fill>
      <alignment horizontal="left" vertical="center" textRotation="0" wrapText="0" relative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5" tint="0.59999389629810485"/>
        </patternFill>
      </fill>
      <alignment horizontal="right" vertical="center" textRotation="0" wrapText="0" indent="0" justifyLastLine="0" shrinkToFit="0" readingOrder="0"/>
    </dxf>
    <dxf>
      <numFmt numFmtId="166" formatCode="#,##0.00\ &quot;€&quot;"/>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dxf>
    <dxf>
      <fill>
        <patternFill patternType="none">
          <bgColor auto="1"/>
        </patternFill>
      </fill>
    </dxf>
    <dxf>
      <fill>
        <patternFill patternType="none">
          <bgColor auto="1"/>
        </patternFill>
      </fill>
    </dxf>
    <dxf>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numFmt numFmtId="166" formatCode="#,##0.00\ &quot;€&quot;"/>
      <fill>
        <patternFill patternType="solid">
          <fgColor indexed="64"/>
          <bgColor theme="4" tint="0.59999389629810485"/>
        </patternFill>
      </fill>
      <alignment horizontal="right" vertical="center" textRotation="0" wrapText="0" indent="0" justifyLastLine="0" shrinkToFit="0" readingOrder="0"/>
    </dxf>
    <dxf>
      <numFmt numFmtId="166" formatCode="#,##0.00\ &quot;€&quot;"/>
      <fill>
        <patternFill patternType="solid">
          <fgColor indexed="64"/>
          <bgColor theme="4" tint="0.79998168889431442"/>
        </patternFill>
      </fill>
    </dxf>
    <dxf>
      <fill>
        <patternFill patternType="solid">
          <fgColor indexed="64"/>
          <bgColor theme="0" tint="-4.9989318521683403E-2"/>
        </patternFill>
      </fill>
      <alignment horizontal="left" vertical="center" textRotation="0" wrapText="0" indent="1" justifyLastLine="0" shrinkToFit="0" readingOrder="0"/>
    </dxf>
    <dxf>
      <fill>
        <patternFill patternType="none">
          <bgColor auto="1"/>
        </patternFill>
      </fill>
    </dxf>
    <dxf>
      <fill>
        <patternFill patternType="none">
          <fgColor indexed="64"/>
          <bgColor theme="0"/>
        </patternFill>
      </fill>
    </dxf>
    <dxf>
      <fill>
        <patternFill patternType="none">
          <bgColor auto="1"/>
        </patternFill>
      </fill>
    </dxf>
    <dxf>
      <font>
        <b val="0"/>
        <i val="0"/>
        <strike val="0"/>
        <condense val="0"/>
        <extend val="0"/>
        <outline val="0"/>
        <shadow val="0"/>
        <u val="none"/>
        <vertAlign val="baseline"/>
        <sz val="10"/>
        <color theme="5" tint="-0.499984740745262"/>
        <name val="verdana"/>
        <scheme val="minor"/>
      </fon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font>
        <strike val="0"/>
        <outline val="0"/>
        <shadow val="0"/>
        <u val="none"/>
        <vertAlign val="baseline"/>
        <sz val="10"/>
        <color theme="5" tint="-0.499984740745262"/>
        <name val="verdana"/>
        <scheme val="minor"/>
      </font>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5"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5" tint="-0.499984740745262"/>
        <name val="verdana"/>
        <scheme val="minor"/>
      </font>
      <fill>
        <patternFill patternType="solid">
          <fgColor indexed="64"/>
          <bgColor theme="0" tint="-4.9989318521683403E-2"/>
        </patternFill>
      </fill>
      <alignment horizontal="left" vertical="center" textRotation="0" wrapText="0" indent="1" justifyLastLine="0" shrinkToFit="0" readingOrder="0"/>
    </dxf>
    <dxf>
      <font>
        <strike val="0"/>
        <outline val="0"/>
        <shadow val="0"/>
        <u val="none"/>
        <vertAlign val="baseline"/>
        <sz val="10"/>
        <color theme="5" tint="-0.499984740745262"/>
        <name val="verdana"/>
        <scheme val="minor"/>
      </font>
      <fill>
        <patternFill patternType="none">
          <bgColor auto="1"/>
        </patternFill>
      </fill>
    </dxf>
    <dxf>
      <font>
        <strike val="0"/>
        <outline val="0"/>
        <shadow val="0"/>
        <u val="none"/>
        <vertAlign val="baseline"/>
        <sz val="10"/>
        <color theme="5" tint="-0.499984740745262"/>
        <name val="verdana"/>
        <scheme val="minor"/>
      </font>
      <fill>
        <patternFill patternType="none">
          <bgColor auto="1"/>
        </patternFill>
      </fill>
    </dxf>
    <dxf>
      <font>
        <strike val="0"/>
        <outline val="0"/>
        <shadow val="0"/>
        <u val="none"/>
        <vertAlign val="baseline"/>
        <sz val="10"/>
        <color theme="5" tint="-0.499984740745262"/>
        <name val="verdana"/>
        <scheme val="minor"/>
      </font>
      <fill>
        <patternFill patternType="none">
          <bgColor auto="1"/>
        </patternFill>
      </fill>
    </dxf>
    <dxf>
      <font>
        <b val="0"/>
        <i val="0"/>
        <strike val="0"/>
        <condense val="0"/>
        <extend val="0"/>
        <outline val="0"/>
        <shadow val="0"/>
        <u val="none"/>
        <vertAlign val="baseline"/>
        <sz val="10"/>
        <color theme="4" tint="-0.499984740745262"/>
        <name val="verdana"/>
        <scheme val="minor"/>
      </fon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numFmt numFmtId="166" formatCode="#,##0.00\ &quot;€&quot;"/>
      <fill>
        <patternFill patternType="solid">
          <fgColor indexed="64"/>
          <bgColor theme="0" tint="-4.9989318521683403E-2"/>
        </patternFill>
      </fill>
      <alignment horizontal="right" vertical="center" textRotation="0" wrapText="0" indent="0" justifyLastLine="0" shrinkToFit="0" readingOrder="0"/>
    </dxf>
    <dxf>
      <numFmt numFmtId="166" formatCode="#,##0.00\ &quot;€&quot;"/>
    </dxf>
    <dxf>
      <font>
        <b val="0"/>
        <i val="0"/>
        <strike val="0"/>
        <condense val="0"/>
        <extend val="0"/>
        <outline val="0"/>
        <shadow val="0"/>
        <u val="none"/>
        <vertAlign val="baseline"/>
        <sz val="10"/>
        <color theme="4" tint="-0.499984740745262"/>
        <name val="verdana"/>
        <scheme val="minor"/>
      </font>
      <fill>
        <patternFill patternType="solid">
          <fgColor indexed="64"/>
          <bgColor theme="0" tint="-4.9989318521683403E-2"/>
        </patternFill>
      </fill>
      <alignment horizontal="left" vertical="center" textRotation="0" wrapText="0" indent="1" justifyLastLine="0" shrinkToFit="0" readingOrder="0"/>
      <border diagonalUp="0" diagonalDown="0">
        <left style="medium">
          <color theme="4"/>
        </left>
        <right/>
        <top/>
        <bottom style="thick">
          <color theme="0"/>
        </bottom>
        <vertical/>
        <horizontal/>
      </border>
    </dxf>
    <dxf>
      <fill>
        <patternFill patternType="none">
          <bgColor auto="1"/>
        </patternFill>
      </fill>
    </dxf>
    <dxf>
      <font>
        <strike val="0"/>
        <outline val="0"/>
        <shadow val="0"/>
        <u val="none"/>
        <vertAlign val="baseline"/>
        <sz val="10"/>
        <color theme="4" tint="-0.499984740745262"/>
        <name val="verdana"/>
        <scheme val="minor"/>
      </font>
      <fill>
        <patternFill patternType="none">
          <bgColor auto="1"/>
        </patternFill>
      </fill>
    </dxf>
    <dxf>
      <fill>
        <patternFill patternType="none">
          <bgColor auto="1"/>
        </patternFill>
      </fill>
    </dxf>
    <dxf>
      <font>
        <color rgb="FF9C0006"/>
      </font>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fill>
        <patternFill patternType="solid">
          <fgColor theme="6" tint="0.79998168889431442"/>
          <bgColor theme="6" tint="0.79998168889431442"/>
        </patternFill>
      </fill>
    </dxf>
    <dxf>
      <font>
        <b val="0"/>
        <i val="0"/>
        <color theme="6" tint="-0.499984740745262"/>
      </font>
      <fill>
        <patternFill patternType="solid">
          <fgColor theme="6" tint="0.79998168889431442"/>
          <bgColor theme="6" tint="0.79998168889431442"/>
        </patternFill>
      </fill>
    </dxf>
    <dxf>
      <font>
        <b/>
        <i val="0"/>
        <color theme="6" tint="-0.499984740745262"/>
      </font>
      <fill>
        <patternFill>
          <bgColor theme="6" tint="0.79998168889431442"/>
        </patternFill>
      </fill>
    </dxf>
    <dxf>
      <font>
        <b/>
        <i val="0"/>
        <color theme="6" tint="-0.499984740745262"/>
      </font>
      <fill>
        <patternFill>
          <bgColor theme="6" tint="0.79998168889431442"/>
        </patternFill>
      </fill>
    </dxf>
    <dxf>
      <font>
        <b val="0"/>
        <i val="0"/>
        <color theme="6" tint="-0.499984740745262"/>
      </font>
      <border>
        <top style="thin">
          <color theme="6" tint="-0.24994659260841701"/>
        </top>
      </border>
    </dxf>
    <dxf>
      <font>
        <b val="0"/>
        <i val="0"/>
        <color theme="6" tint="-0.499984740745262"/>
      </font>
      <border>
        <bottom style="thin">
          <color theme="6" tint="-0.24994659260841701"/>
        </bottom>
      </border>
    </dxf>
    <dxf>
      <font>
        <b val="0"/>
        <i val="0"/>
        <color theme="6" tint="-0.499984740745262"/>
      </font>
      <border>
        <top style="thin">
          <color theme="6" tint="-0.24994659260841701"/>
        </top>
        <bottom style="thin">
          <color theme="6" tint="-0.24994659260841701"/>
        </bottom>
      </border>
    </dxf>
    <dxf>
      <font>
        <b/>
        <i val="0"/>
        <color theme="4" tint="-0.499984740745262"/>
      </font>
      <fill>
        <patternFill>
          <bgColor theme="4" tint="0.79998168889431442"/>
        </patternFill>
      </fill>
    </dxf>
    <dxf>
      <font>
        <b/>
        <i val="0"/>
        <color theme="4" tint="-0.499984740745262"/>
      </font>
      <fill>
        <patternFill>
          <bgColor theme="4" tint="0.79998168889431442"/>
        </patternFill>
      </fill>
    </dxf>
    <dxf>
      <font>
        <b val="0"/>
        <i val="0"/>
        <color theme="4" tint="-0.499984740745262"/>
      </font>
      <fill>
        <patternFill>
          <bgColor theme="4" tint="0.79998168889431442"/>
        </patternFill>
      </fill>
    </dxf>
    <dxf>
      <font>
        <b val="0"/>
        <i val="0"/>
        <color theme="4" tint="-0.499984740745262"/>
      </font>
      <fill>
        <patternFill patternType="solid">
          <fgColor theme="4" tint="0.79995117038483843"/>
          <bgColor theme="4" tint="0.79998168889431442"/>
        </patternFill>
      </fill>
    </dxf>
    <dxf>
      <font>
        <b/>
        <i val="0"/>
        <color theme="4" tint="-0.499984740745262"/>
      </font>
      <fill>
        <patternFill>
          <bgColor theme="4" tint="0.79998168889431442"/>
        </patternFill>
      </fill>
    </dxf>
    <dxf>
      <font>
        <b/>
        <i val="0"/>
        <color theme="4" tint="-0.499984740745262"/>
      </font>
    </dxf>
    <dxf>
      <font>
        <b val="0"/>
        <i val="0"/>
        <color theme="4" tint="-0.499984740745262"/>
      </font>
      <fill>
        <patternFill patternType="none">
          <bgColor auto="1"/>
        </patternFill>
      </fill>
      <border>
        <top style="thin">
          <color theme="4" tint="-0.24994659260841701"/>
        </top>
      </border>
    </dxf>
    <dxf>
      <border diagonalUp="0" diagonalDown="0">
        <left/>
        <right/>
        <top/>
        <bottom style="thin">
          <color theme="4" tint="-0.499984740745262"/>
        </bottom>
        <vertical/>
        <horizontal/>
      </border>
    </dxf>
    <dxf>
      <font>
        <b val="0"/>
        <i val="0"/>
        <color theme="4" tint="-0.499984740745262"/>
      </font>
      <border>
        <top style="thin">
          <color theme="4" tint="-0.24994659260841701"/>
        </top>
        <bottom style="thin">
          <color theme="4" tint="-0.24994659260841701"/>
        </bottom>
      </border>
    </dxf>
    <dxf>
      <font>
        <b/>
        <i val="0"/>
        <color theme="5" tint="-0.499984740745262"/>
      </font>
      <fill>
        <patternFill>
          <bgColor theme="5" tint="0.79998168889431442"/>
        </patternFill>
      </fill>
    </dxf>
    <dxf>
      <font>
        <b/>
        <i val="0"/>
        <color theme="5" tint="-0.499984740745262"/>
      </font>
      <fill>
        <patternFill>
          <bgColor theme="5" tint="0.79998168889431442"/>
        </patternFill>
      </fill>
    </dxf>
    <dxf>
      <font>
        <b val="0"/>
        <i val="0"/>
        <color theme="5" tint="-0.499984740745262"/>
      </font>
      <fill>
        <patternFill patternType="solid">
          <fgColor theme="5" tint="0.79998168889431442"/>
          <bgColor theme="5" tint="0.79998168889431442"/>
        </patternFill>
      </fill>
    </dxf>
    <dxf>
      <font>
        <b val="0"/>
        <i val="0"/>
        <color theme="5" tint="-0.499984740745262"/>
      </font>
      <fill>
        <patternFill patternType="solid">
          <fgColor theme="5" tint="0.79998168889431442"/>
          <bgColor theme="5" tint="0.79998168889431442"/>
        </patternFill>
      </fill>
    </dxf>
    <dxf>
      <font>
        <b/>
        <i val="0"/>
        <color theme="5" tint="-0.499984740745262"/>
      </font>
      <fill>
        <patternFill>
          <bgColor theme="5" tint="0.79998168889431442"/>
        </patternFill>
      </fill>
    </dxf>
    <dxf>
      <font>
        <b/>
        <i val="0"/>
        <color theme="5" tint="-0.499984740745262"/>
      </font>
    </dxf>
    <dxf>
      <font>
        <b val="0"/>
        <i val="0"/>
        <color theme="5" tint="-0.499984740745262"/>
      </font>
      <border>
        <top style="thin">
          <color theme="5" tint="-0.24994659260841701"/>
        </top>
      </border>
    </dxf>
    <dxf>
      <font>
        <b val="0"/>
        <i val="0"/>
        <color theme="5" tint="-0.499984740745262"/>
      </font>
      <border>
        <bottom style="thin">
          <color theme="5" tint="-0.24994659260841701"/>
        </bottom>
      </border>
    </dxf>
    <dxf>
      <font>
        <b val="0"/>
        <i val="0"/>
        <color theme="5" tint="-0.499984740745262"/>
      </font>
      <border>
        <top style="thin">
          <color theme="5" tint="-0.24994659260841701"/>
        </top>
        <bottom style="thin">
          <color theme="5" tint="-0.24994659260841701"/>
        </bottom>
      </border>
    </dxf>
  </dxfs>
  <tableStyles count="3" defaultTableStyle="Budget personnel - Dépenses" defaultPivotStyle="PivotStyleLight16">
    <tableStyle name="Budget personnel - Dépenses" pivot="0" count="9" xr9:uid="{00000000-0011-0000-FFFF-FFFF01000000}">
      <tableStyleElement type="wholeTable" dxfId="433"/>
      <tableStyleElement type="headerRow" dxfId="432"/>
      <tableStyleElement type="totalRow" dxfId="431"/>
      <tableStyleElement type="firstColumn" dxfId="430"/>
      <tableStyleElement type="lastColumn" dxfId="429"/>
      <tableStyleElement type="firstRowStripe" dxfId="428"/>
      <tableStyleElement type="firstColumnStripe" dxfId="427"/>
      <tableStyleElement type="firstTotalCell" dxfId="426"/>
      <tableStyleElement type="lastTotalCell" dxfId="425"/>
    </tableStyle>
    <tableStyle name="Budget personnel - Recettes" pivot="0" count="9" xr9:uid="{00000000-0011-0000-FFFF-FFFF00000000}">
      <tableStyleElement type="wholeTable" dxfId="424"/>
      <tableStyleElement type="headerRow" dxfId="423"/>
      <tableStyleElement type="totalRow" dxfId="422"/>
      <tableStyleElement type="firstColumn" dxfId="421"/>
      <tableStyleElement type="lastColumn" dxfId="420"/>
      <tableStyleElement type="firstRowStripe" dxfId="419"/>
      <tableStyleElement type="firstColumnStripe" dxfId="418"/>
      <tableStyleElement type="firstTotalCell" dxfId="417"/>
      <tableStyleElement type="lastTotalCell" dxfId="416"/>
    </tableStyle>
    <tableStyle name="Budget personnel - Total" pivot="0" count="9" xr9:uid="{00000000-0011-0000-FFFF-FFFF02000000}">
      <tableStyleElement type="wholeTable" dxfId="415"/>
      <tableStyleElement type="headerRow" dxfId="414"/>
      <tableStyleElement type="totalRow" dxfId="413"/>
      <tableStyleElement type="firstColumn" dxfId="412"/>
      <tableStyleElement type="lastColumn" dxfId="411"/>
      <tableStyleElement type="firstRowStripe" dxfId="410"/>
      <tableStyleElement type="firstColumnStripe" dxfId="409"/>
      <tableStyleElement type="firstTotalCell" dxfId="408"/>
      <tableStyleElement type="lastTotalCell" dxfId="407"/>
    </tableStyle>
  </tableStyles>
  <colors>
    <mruColors>
      <color rgb="FFF7F7F7"/>
      <color rgb="FFF3F8FF"/>
      <color rgb="FFE6F8FA"/>
      <color rgb="FFEFF5FF"/>
      <color rgb="FFD6E8F6"/>
      <color rgb="FFE6EF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theme" Target="/xl/theme/theme11.xml" Id="rId3"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s>
</file>

<file path=xl/drawings/drawing11.xml><?xml version="1.0" encoding="utf-8"?>
<xdr:wsDr xmlns:xdr="http://schemas.openxmlformats.org/drawingml/2006/spreadsheetDrawing" xmlns:a="http://schemas.openxmlformats.org/drawingml/2006/main">
  <xdr:twoCellAnchor editAs="oneCell">
    <xdr:from>
      <xdr:col>16</xdr:col>
      <xdr:colOff>29765</xdr:colOff>
      <xdr:row>1</xdr:row>
      <xdr:rowOff>188141</xdr:rowOff>
    </xdr:from>
    <xdr:to>
      <xdr:col>16</xdr:col>
      <xdr:colOff>1855391</xdr:colOff>
      <xdr:row>2</xdr:row>
      <xdr:rowOff>9526</xdr:rowOff>
    </xdr:to>
    <xdr:sp macro="" textlink="$Q$2">
      <xdr:nvSpPr>
        <xdr:cNvPr id="3" name="Rectangle 2" descr="Année">
          <a:extLst>
            <a:ext uri="{FF2B5EF4-FFF2-40B4-BE49-F238E27FC236}">
              <a16:creationId xmlns:a16="http://schemas.microsoft.com/office/drawing/2014/main" id="{38DB6D2F-4C80-408C-A4C7-B9C2F6BEA823}"/>
            </a:ext>
          </a:extLst>
        </xdr:cNvPr>
        <xdr:cNvSpPr/>
      </xdr:nvSpPr>
      <xdr:spPr>
        <a:xfrm flipH="1">
          <a:off x="16232187" y="346891"/>
          <a:ext cx="1825626" cy="267869"/>
        </a:xfrm>
        <a:prstGeom prst="rect">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fld id="{B5844B8A-4141-4FF4-9316-6625FB86BF57}" type="TxLink">
            <a:rPr lang="en-US" sz="1000" b="1" i="0" u="none" strike="noStrike">
              <a:solidFill>
                <a:schemeClr val="bg1"/>
              </a:solidFill>
              <a:latin typeface="verdana" panose="020B0604030504040204" pitchFamily="34" charset="0"/>
              <a:ea typeface="verdana"/>
              <a:cs typeface="verdana"/>
            </a:rPr>
            <a:pPr algn="ctr" rtl="0"/>
            <a:t>2019</a:t>
          </a:fld>
          <a:endParaRPr lang="en-US" sz="1200" b="1">
            <a:solidFill>
              <a:schemeClr val="bg1"/>
            </a:solidFill>
            <a:latin typeface="verdana" panose="020B0604030504040204" pitchFamily="34" charset="0"/>
          </a:endParaRPr>
        </a:p>
      </xdr:txBody>
    </xdr:sp>
    <xdr:clientData/>
  </xdr:twoCellAnchor>
</xdr:wsDr>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Personnel" displayName="Personnel" ref="C81:Q87" totalsRowCount="1" headerRowDxfId="115" dataDxfId="114" totalsRowDxfId="113">
  <autoFilter ref="C81:Q86"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900-000001000000}" name="PERSONNEL" totalsRowLabel="Total" dataDxfId="112" totalsRowDxfId="111"/>
    <tableColumn id="2" xr3:uid="{00000000-0010-0000-0900-000002000000}" name="Janvier" totalsRowFunction="sum" dataDxfId="110" totalsRowDxfId="109"/>
    <tableColumn id="3" xr3:uid="{00000000-0010-0000-0900-000003000000}" name="Février" totalsRowFunction="sum" dataDxfId="108" totalsRowDxfId="107"/>
    <tableColumn id="4" xr3:uid="{00000000-0010-0000-0900-000004000000}" name="Mars" totalsRowFunction="sum" dataDxfId="106" totalsRowDxfId="105"/>
    <tableColumn id="5" xr3:uid="{00000000-0010-0000-0900-000005000000}" name="Avril" totalsRowFunction="sum" dataDxfId="104" totalsRowDxfId="103"/>
    <tableColumn id="6" xr3:uid="{00000000-0010-0000-0900-000006000000}" name="Mai" totalsRowFunction="sum" dataDxfId="102" totalsRowDxfId="101"/>
    <tableColumn id="7" xr3:uid="{00000000-0010-0000-0900-000007000000}" name="Juin" totalsRowFunction="sum" dataDxfId="100" totalsRowDxfId="99"/>
    <tableColumn id="8" xr3:uid="{00000000-0010-0000-0900-000008000000}" name="Juillet" totalsRowFunction="sum" dataDxfId="98" totalsRowDxfId="97"/>
    <tableColumn id="9" xr3:uid="{00000000-0010-0000-0900-000009000000}" name="Août" totalsRowFunction="sum" dataDxfId="96" totalsRowDxfId="95"/>
    <tableColumn id="10" xr3:uid="{00000000-0010-0000-0900-00000A000000}" name="Septembre" totalsRowFunction="sum" dataDxfId="94" totalsRowDxfId="93"/>
    <tableColumn id="11" xr3:uid="{00000000-0010-0000-0900-00000B000000}" name="Octobre" totalsRowFunction="sum" dataDxfId="92" totalsRowDxfId="91"/>
    <tableColumn id="12" xr3:uid="{00000000-0010-0000-0900-00000C000000}" name="Novembre" totalsRowFunction="sum" dataDxfId="90" totalsRowDxfId="89"/>
    <tableColumn id="13" xr3:uid="{00000000-0010-0000-0900-00000D000000}" name="Décembre" totalsRowFunction="sum" dataDxfId="88" totalsRowDxfId="87"/>
    <tableColumn id="14" xr3:uid="{00000000-0010-0000-0900-00000E000000}" name="Année" totalsRowFunction="sum" dataDxfId="86" totalsRowDxfId="85">
      <calculatedColumnFormula>SUM(Personnel[[#This Row],[Janvier]:[Décembre]])</calculatedColumnFormula>
    </tableColumn>
    <tableColumn id="15" xr3:uid="{00000000-0010-0000-0900-00000F000000}" name="Graphique sparkline" dataDxfId="84" totalsRowDxfId="83"/>
  </tableColumns>
  <tableStyleInfo showFirstColumn="1" showLastColumn="0" showRowStripes="0" showColumnStripes="1"/>
  <extLst>
    <ext xmlns:x14="http://schemas.microsoft.com/office/spreadsheetml/2009/9/main" uri="{504A1905-F514-4f6f-8877-14C23A59335A}">
      <x14:table altTextSummary="Entrez les éléments liés aux dépenses personnelles et les montants mensuels dans ce tableau. Le montant annuel et les totaux mensuels sont automatiquement calculés, et les graphiques sparkline sont mis à jour"/>
    </ext>
  </extLst>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Finances" displayName="Finances" ref="C89:Q95" totalsRowCount="1" headerRowDxfId="82" dataDxfId="81" totalsRowDxfId="80">
  <autoFilter ref="C89:Q94"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A00-000001000000}" name="OBLIGATIONS FINANCIÈRES" totalsRowLabel="Total" dataDxfId="79" totalsRowDxfId="78"/>
    <tableColumn id="2" xr3:uid="{00000000-0010-0000-0A00-000002000000}" name="Janvier" totalsRowFunction="sum" dataDxfId="77" totalsRowDxfId="76"/>
    <tableColumn id="3" xr3:uid="{00000000-0010-0000-0A00-000003000000}" name="Février" totalsRowFunction="sum" dataDxfId="75" totalsRowDxfId="74"/>
    <tableColumn id="4" xr3:uid="{00000000-0010-0000-0A00-000004000000}" name="Mars" totalsRowFunction="sum" dataDxfId="73" totalsRowDxfId="72"/>
    <tableColumn id="5" xr3:uid="{00000000-0010-0000-0A00-000005000000}" name="Avril" totalsRowFunction="sum" dataDxfId="71" totalsRowDxfId="70"/>
    <tableColumn id="6" xr3:uid="{00000000-0010-0000-0A00-000006000000}" name="Mai" totalsRowFunction="sum" dataDxfId="69" totalsRowDxfId="68"/>
    <tableColumn id="7" xr3:uid="{00000000-0010-0000-0A00-000007000000}" name="Juin" totalsRowFunction="sum" dataDxfId="67" totalsRowDxfId="66"/>
    <tableColumn id="8" xr3:uid="{00000000-0010-0000-0A00-000008000000}" name="Juillet" totalsRowFunction="sum" dataDxfId="65" totalsRowDxfId="64"/>
    <tableColumn id="9" xr3:uid="{00000000-0010-0000-0A00-000009000000}" name="Août" totalsRowFunction="sum" dataDxfId="63" totalsRowDxfId="62"/>
    <tableColumn id="10" xr3:uid="{00000000-0010-0000-0A00-00000A000000}" name="Septembre" totalsRowFunction="sum" dataDxfId="61" totalsRowDxfId="60"/>
    <tableColumn id="11" xr3:uid="{00000000-0010-0000-0A00-00000B000000}" name="Octobre" totalsRowFunction="sum" dataDxfId="59" totalsRowDxfId="58"/>
    <tableColumn id="12" xr3:uid="{00000000-0010-0000-0A00-00000C000000}" name="Novembre" totalsRowFunction="sum" dataDxfId="57" totalsRowDxfId="56"/>
    <tableColumn id="13" xr3:uid="{00000000-0010-0000-0A00-00000D000000}" name="Décembre" totalsRowFunction="sum" dataDxfId="55" totalsRowDxfId="54"/>
    <tableColumn id="14" xr3:uid="{00000000-0010-0000-0A00-00000E000000}" name="Année" totalsRowFunction="sum" dataDxfId="53" totalsRowDxfId="52">
      <calculatedColumnFormula>SUM(Finances[[#This Row],[Janvier]:[Décembre]])</calculatedColumnFormula>
    </tableColumn>
    <tableColumn id="15" xr3:uid="{00000000-0010-0000-0A00-00000F000000}" name="Graphique sparkline" dataDxfId="51" totalsRowDxfId="50"/>
  </tableColumns>
  <tableStyleInfo showFirstColumn="1" showLastColumn="0" showRowStripes="0" showColumnStripes="1"/>
  <extLst>
    <ext xmlns:x14="http://schemas.microsoft.com/office/spreadsheetml/2009/9/main" uri="{504A1905-F514-4f6f-8877-14C23A59335A}">
      <x14:table altTextSummary="Entrez les éléments liés aux obligations financières et les montants mensuels dans ce tableau. Le montant annuel et les totaux mensuels sont automatiquement calculés, et les graphiques sparkline sont mis à jour"/>
    </ext>
  </extLst>
</table>
</file>

<file path=xl/tables/table12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Divers" displayName="Divers" ref="C97:Q103" totalsRowCount="1" headerRowDxfId="49" dataDxfId="48" totalsRowDxfId="47">
  <autoFilter ref="C97:Q10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B00-000001000000}" name="DÉPENSES DIVERSES" totalsRowLabel="Total" dataDxfId="46" totalsRowDxfId="45"/>
    <tableColumn id="2" xr3:uid="{00000000-0010-0000-0B00-000002000000}" name="Janvier" totalsRowFunction="sum" dataDxfId="44" totalsRowDxfId="43"/>
    <tableColumn id="3" xr3:uid="{00000000-0010-0000-0B00-000003000000}" name="Février" totalsRowFunction="sum" dataDxfId="42" totalsRowDxfId="41"/>
    <tableColumn id="4" xr3:uid="{00000000-0010-0000-0B00-000004000000}" name="Mars" totalsRowFunction="sum" dataDxfId="40" totalsRowDxfId="39"/>
    <tableColumn id="5" xr3:uid="{00000000-0010-0000-0B00-000005000000}" name="Avril" totalsRowFunction="sum" dataDxfId="38" totalsRowDxfId="37"/>
    <tableColumn id="6" xr3:uid="{00000000-0010-0000-0B00-000006000000}" name="Mai" totalsRowFunction="sum" dataDxfId="36" totalsRowDxfId="35"/>
    <tableColumn id="7" xr3:uid="{00000000-0010-0000-0B00-000007000000}" name="Juin" totalsRowFunction="sum" dataDxfId="34" totalsRowDxfId="33"/>
    <tableColumn id="8" xr3:uid="{00000000-0010-0000-0B00-000008000000}" name="Juillet" totalsRowFunction="sum" dataDxfId="32" totalsRowDxfId="31"/>
    <tableColumn id="9" xr3:uid="{00000000-0010-0000-0B00-000009000000}" name="Août" totalsRowFunction="sum" dataDxfId="30" totalsRowDxfId="29"/>
    <tableColumn id="10" xr3:uid="{00000000-0010-0000-0B00-00000A000000}" name="Septembre" totalsRowFunction="sum" dataDxfId="28" totalsRowDxfId="27"/>
    <tableColumn id="11" xr3:uid="{00000000-0010-0000-0B00-00000B000000}" name="Octobre" totalsRowFunction="sum" dataDxfId="26" totalsRowDxfId="25"/>
    <tableColumn id="12" xr3:uid="{00000000-0010-0000-0B00-00000C000000}" name="Novembre" totalsRowFunction="sum" dataDxfId="24" totalsRowDxfId="23"/>
    <tableColumn id="13" xr3:uid="{00000000-0010-0000-0B00-00000D000000}" name="Décembre" totalsRowFunction="sum" dataDxfId="22" totalsRowDxfId="21"/>
    <tableColumn id="14" xr3:uid="{00000000-0010-0000-0B00-00000E000000}" name="Année" totalsRowFunction="sum" dataDxfId="20" totalsRowDxfId="19">
      <calculatedColumnFormula>SUM(Divers[[#This Row],[Janvier]:[Décembre]])</calculatedColumnFormula>
    </tableColumn>
    <tableColumn id="15" xr3:uid="{00000000-0010-0000-0B00-00000F000000}" name="Graphique sparkline" dataDxfId="18" totalsRowDxfId="17"/>
  </tableColumns>
  <tableStyleInfo showFirstColumn="1" showLastColumn="0" showRowStripes="0" showColumnStripes="1"/>
  <extLst>
    <ext xmlns:x14="http://schemas.microsoft.com/office/spreadsheetml/2009/9/main" uri="{504A1905-F514-4f6f-8877-14C23A59335A}">
      <x14:table altTextSummary="Entrez les dépenses et éléments divers dans ce tableau. Le montant annuel et les totaux mensuels sont automatiquement calculés, et les graphiques sparkline sont mis à jour"/>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Revenus" displayName="Revenus" ref="C5:Q9" totalsRowCount="1" headerRowDxfId="405" dataDxfId="404" totalsRowDxfId="403">
  <autoFilter ref="C5:Q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000-000001000000}" name="REVENUS" totalsRowLabel="Total" totalsRowDxfId="402"/>
    <tableColumn id="2" xr3:uid="{00000000-0010-0000-0000-000002000000}" name="Janvier" totalsRowFunction="sum" dataDxfId="401" totalsRowDxfId="400"/>
    <tableColumn id="3" xr3:uid="{00000000-0010-0000-0000-000003000000}" name="Février" totalsRowFunction="sum" dataDxfId="399" totalsRowDxfId="398"/>
    <tableColumn id="4" xr3:uid="{00000000-0010-0000-0000-000004000000}" name="Mars" totalsRowFunction="sum" dataDxfId="397" totalsRowDxfId="396"/>
    <tableColumn id="5" xr3:uid="{00000000-0010-0000-0000-000005000000}" name="Avril" totalsRowFunction="sum" dataDxfId="395" totalsRowDxfId="394"/>
    <tableColumn id="6" xr3:uid="{00000000-0010-0000-0000-000006000000}" name="Mai" totalsRowFunction="sum" dataDxfId="393" totalsRowDxfId="392"/>
    <tableColumn id="7" xr3:uid="{00000000-0010-0000-0000-000007000000}" name="Juin" totalsRowFunction="sum" dataDxfId="391" totalsRowDxfId="390"/>
    <tableColumn id="8" xr3:uid="{00000000-0010-0000-0000-000008000000}" name="Juillet" totalsRowFunction="sum" dataDxfId="389" totalsRowDxfId="388"/>
    <tableColumn id="9" xr3:uid="{00000000-0010-0000-0000-000009000000}" name="Août" totalsRowFunction="sum" dataDxfId="387" totalsRowDxfId="386"/>
    <tableColumn id="10" xr3:uid="{00000000-0010-0000-0000-00000A000000}" name="Septembre" totalsRowFunction="sum" dataDxfId="385" totalsRowDxfId="384"/>
    <tableColumn id="11" xr3:uid="{00000000-0010-0000-0000-00000B000000}" name="Octobre" totalsRowFunction="sum" dataDxfId="383" totalsRowDxfId="382"/>
    <tableColumn id="12" xr3:uid="{00000000-0010-0000-0000-00000C000000}" name="Novembre" totalsRowFunction="sum" dataDxfId="381" totalsRowDxfId="380"/>
    <tableColumn id="13" xr3:uid="{00000000-0010-0000-0000-00000D000000}" name="Décembre" totalsRowFunction="sum" dataDxfId="379" totalsRowDxfId="378"/>
    <tableColumn id="14" xr3:uid="{00000000-0010-0000-0000-00000E000000}" name="Année" totalsRowFunction="sum" dataDxfId="377" totalsRowDxfId="376">
      <calculatedColumnFormula>SUM(Revenus[[#This Row],[Janvier]:[Décembre]])</calculatedColumnFormula>
    </tableColumn>
    <tableColumn id="15" xr3:uid="{00000000-0010-0000-0000-00000F000000}" name="Graphique sparkline" dataDxfId="375" totalsRowDxfId="374"/>
  </tableColumns>
  <tableStyleInfo showFirstColumn="1" showLastColumn="0" showRowStripes="0" showColumnStripes="1"/>
  <extLst>
    <ext xmlns:x14="http://schemas.microsoft.com/office/spreadsheetml/2009/9/main" uri="{504A1905-F514-4f6f-8877-14C23A59335A}">
      <x14:table altTextSummary="Entrez les éléments liés au revenu et les montants mensuels dans ce tableau. Le montant annuel et les totaux mensuels sont automatiquement calculés, et les graphiques sparkline sont mis à jour"/>
    </ext>
  </extLst>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otaux" displayName="Totaux" ref="C105:Q107" totalsRowShown="0" headerRowDxfId="16" dataDxfId="15">
  <tableColumns count="15">
    <tableColumn id="1" xr3:uid="{00000000-0010-0000-0C00-000001000000}" name="TOTAUX" dataDxfId="14"/>
    <tableColumn id="2" xr3:uid="{00000000-0010-0000-0C00-000002000000}" name="JAN" dataDxfId="13">
      <calculatedColumnFormula>Revenus[[#Totals],[Janvier]]-D105</calculatedColumnFormula>
    </tableColumn>
    <tableColumn id="3" xr3:uid="{00000000-0010-0000-0C00-000003000000}" name="FÉV" dataDxfId="12">
      <calculatedColumnFormula>Revenus[[#Totals],[Février]]-E105</calculatedColumnFormula>
    </tableColumn>
    <tableColumn id="4" xr3:uid="{00000000-0010-0000-0C00-000004000000}" name="MAR" dataDxfId="11">
      <calculatedColumnFormula>Revenus[[#Totals],[Mars]]-F105</calculatedColumnFormula>
    </tableColumn>
    <tableColumn id="5" xr3:uid="{00000000-0010-0000-0C00-000005000000}" name="AVR" dataDxfId="10">
      <calculatedColumnFormula>Revenus[[#Totals],[Avril]]-G105</calculatedColumnFormula>
    </tableColumn>
    <tableColumn id="6" xr3:uid="{00000000-0010-0000-0C00-000006000000}" name="MAI" dataDxfId="9">
      <calculatedColumnFormula>Revenus[[#Totals],[Mai]]-H105</calculatedColumnFormula>
    </tableColumn>
    <tableColumn id="7" xr3:uid="{00000000-0010-0000-0C00-000007000000}" name="JUIN" dataDxfId="8">
      <calculatedColumnFormula>Revenus[[#Totals],[Juin]]-I105</calculatedColumnFormula>
    </tableColumn>
    <tableColumn id="8" xr3:uid="{00000000-0010-0000-0C00-000008000000}" name="JUIL" dataDxfId="7">
      <calculatedColumnFormula>Revenus[[#Totals],[Juillet]]-J105</calculatedColumnFormula>
    </tableColumn>
    <tableColumn id="9" xr3:uid="{00000000-0010-0000-0C00-000009000000}" name="AOÛ" dataDxfId="6">
      <calculatedColumnFormula>Revenus[[#Totals],[Août]]-K105</calculatedColumnFormula>
    </tableColumn>
    <tableColumn id="10" xr3:uid="{00000000-0010-0000-0C00-00000A000000}" name="SEPT" dataDxfId="5">
      <calculatedColumnFormula>Revenus[[#Totals],[Septembre]]-L105</calculatedColumnFormula>
    </tableColumn>
    <tableColumn id="11" xr3:uid="{00000000-0010-0000-0C00-00000B000000}" name="OCT" dataDxfId="4">
      <calculatedColumnFormula>Revenus[[#Totals],[Octobre]]-M105</calculatedColumnFormula>
    </tableColumn>
    <tableColumn id="12" xr3:uid="{00000000-0010-0000-0C00-00000C000000}" name="NOV" dataDxfId="3">
      <calculatedColumnFormula>Revenus[[#Totals],[Novembre]]-N105</calculatedColumnFormula>
    </tableColumn>
    <tableColumn id="13" xr3:uid="{00000000-0010-0000-0C00-00000D000000}" name="DÉC" dataDxfId="2">
      <calculatedColumnFormula>Revenus[[#Totals],[Décembre]]-O105</calculatedColumnFormula>
    </tableColumn>
    <tableColumn id="14" xr3:uid="{00000000-0010-0000-0C00-00000E000000}" name="ANNÉE" dataDxfId="1">
      <calculatedColumnFormula>Revenus[[#Totals],[Année]]-P105</calculatedColumnFormula>
    </tableColumn>
    <tableColumn id="15" xr3:uid="{00000000-0010-0000-0C00-00000F000000}" name="GRAPHIQUE SPARKLINE" dataDxfId="0"/>
  </tableColumns>
  <tableStyleInfo showFirstColumn="1" showLastColumn="0" showRowStripes="0" showColumnStripes="1"/>
  <extLst>
    <ext xmlns:x14="http://schemas.microsoft.com/office/spreadsheetml/2009/9/main" uri="{504A1905-F514-4f6f-8877-14C23A59335A}">
      <x14:table altTextSummary="Les dépenses totales ainsi que le déficit ou l’excédent de trésorerie sont automatiquement calculés pour chaque mois et pour l’année entière, et les graphiques sparkline sont mis à jour dans ce tableau"/>
    </ext>
  </extLst>
</table>
</file>

<file path=xl/tables/table2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Foyer" displayName="Foyer" ref="C12:Q18" totalsRowCount="1" headerRowDxfId="373" dataDxfId="372" totalsRowDxfId="371">
  <autoFilter ref="C12:Q1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100-000001000000}" name="FOYER" totalsRowLabel="Total" totalsRowDxfId="370"/>
    <tableColumn id="2" xr3:uid="{00000000-0010-0000-0100-000002000000}" name="Janvier" totalsRowFunction="sum" dataDxfId="369" totalsRowDxfId="368"/>
    <tableColumn id="3" xr3:uid="{00000000-0010-0000-0100-000003000000}" name="Février" totalsRowFunction="sum" dataDxfId="367" totalsRowDxfId="366"/>
    <tableColumn id="4" xr3:uid="{00000000-0010-0000-0100-000004000000}" name="Mars" totalsRowFunction="sum" dataDxfId="365" totalsRowDxfId="364"/>
    <tableColumn id="5" xr3:uid="{00000000-0010-0000-0100-000005000000}" name="Avril" totalsRowFunction="sum" dataDxfId="363" totalsRowDxfId="362"/>
    <tableColumn id="6" xr3:uid="{00000000-0010-0000-0100-000006000000}" name="Mai" totalsRowFunction="sum" dataDxfId="361" totalsRowDxfId="360"/>
    <tableColumn id="7" xr3:uid="{00000000-0010-0000-0100-000007000000}" name="Juin" totalsRowFunction="sum" dataDxfId="359" totalsRowDxfId="358"/>
    <tableColumn id="8" xr3:uid="{00000000-0010-0000-0100-000008000000}" name="Juillet" totalsRowFunction="sum" dataDxfId="357" totalsRowDxfId="356"/>
    <tableColumn id="9" xr3:uid="{00000000-0010-0000-0100-000009000000}" name="Août" totalsRowFunction="sum" dataDxfId="355" totalsRowDxfId="354"/>
    <tableColumn id="10" xr3:uid="{00000000-0010-0000-0100-00000A000000}" name="Septembre" totalsRowFunction="sum" dataDxfId="353" totalsRowDxfId="352"/>
    <tableColumn id="11" xr3:uid="{00000000-0010-0000-0100-00000B000000}" name="Octobre" totalsRowFunction="sum" dataDxfId="351" totalsRowDxfId="350"/>
    <tableColumn id="12" xr3:uid="{00000000-0010-0000-0100-00000C000000}" name="Novembre" totalsRowFunction="sum" dataDxfId="349" totalsRowDxfId="348"/>
    <tableColumn id="13" xr3:uid="{00000000-0010-0000-0100-00000D000000}" name="Décembre" totalsRowFunction="sum" dataDxfId="347" totalsRowDxfId="346"/>
    <tableColumn id="14" xr3:uid="{00000000-0010-0000-0100-00000E000000}" name="Année" totalsRowFunction="sum" dataDxfId="345" totalsRowDxfId="344">
      <calculatedColumnFormula>SUM(Foyer[[#This Row],[Janvier]:[Décembre]])</calculatedColumnFormula>
    </tableColumn>
    <tableColumn id="15" xr3:uid="{00000000-0010-0000-0100-00000F000000}" name="Graphique sparkline" dataDxfId="343" totalsRowDxfId="342"/>
  </tableColumns>
  <tableStyleInfo showFirstColumn="1" showLastColumn="0" showRowStripes="0" showColumnStripes="1"/>
  <extLst>
    <ext xmlns:x14="http://schemas.microsoft.com/office/spreadsheetml/2009/9/main" uri="{504A1905-F514-4f6f-8877-14C23A59335A}">
      <x14:table altTextSummary="Entrez les éléments liés aux dépenses du foyer et les montants mensuels dans ce tableau. Le montant annuel et les totaux mensuels sont automatiquement calculés, et les graphiques sparkline sont mis à jour"/>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Quotidien" displayName="Quotidien" ref="C20:Q27" totalsRowCount="1" headerRowDxfId="341" dataDxfId="340" totalsRowDxfId="339">
  <autoFilter ref="C20:Q26"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200-000001000000}" name="VIE QUOTIDIENNE" totalsRowLabel="Total" totalsRowDxfId="338"/>
    <tableColumn id="2" xr3:uid="{00000000-0010-0000-0200-000002000000}" name="Janvier" totalsRowFunction="sum" dataDxfId="337" totalsRowDxfId="336"/>
    <tableColumn id="3" xr3:uid="{00000000-0010-0000-0200-000003000000}" name="Février" totalsRowFunction="sum" dataDxfId="335" totalsRowDxfId="334"/>
    <tableColumn id="4" xr3:uid="{00000000-0010-0000-0200-000004000000}" name="Mars" totalsRowFunction="sum" dataDxfId="333" totalsRowDxfId="332"/>
    <tableColumn id="5" xr3:uid="{00000000-0010-0000-0200-000005000000}" name="Avril" totalsRowFunction="sum" dataDxfId="331" totalsRowDxfId="330"/>
    <tableColumn id="6" xr3:uid="{00000000-0010-0000-0200-000006000000}" name="Mai" totalsRowFunction="sum" dataDxfId="329" totalsRowDxfId="328"/>
    <tableColumn id="7" xr3:uid="{00000000-0010-0000-0200-000007000000}" name="Juin" totalsRowFunction="sum" dataDxfId="327" totalsRowDxfId="326"/>
    <tableColumn id="8" xr3:uid="{00000000-0010-0000-0200-000008000000}" name="Juillet" totalsRowFunction="sum" dataDxfId="325" totalsRowDxfId="324"/>
    <tableColumn id="9" xr3:uid="{00000000-0010-0000-0200-000009000000}" name="Août" totalsRowFunction="sum" dataDxfId="323" totalsRowDxfId="322"/>
    <tableColumn id="10" xr3:uid="{00000000-0010-0000-0200-00000A000000}" name="Septembre" totalsRowFunction="sum" dataDxfId="321" totalsRowDxfId="320"/>
    <tableColumn id="11" xr3:uid="{00000000-0010-0000-0200-00000B000000}" name="Octobre" totalsRowFunction="sum" dataDxfId="319" totalsRowDxfId="318"/>
    <tableColumn id="12" xr3:uid="{00000000-0010-0000-0200-00000C000000}" name="Novembre" totalsRowFunction="sum" dataDxfId="317" totalsRowDxfId="316"/>
    <tableColumn id="13" xr3:uid="{00000000-0010-0000-0200-00000D000000}" name="Décembre" totalsRowFunction="sum" dataDxfId="315" totalsRowDxfId="314"/>
    <tableColumn id="14" xr3:uid="{00000000-0010-0000-0200-00000E000000}" name="Année" totalsRowFunction="sum" dataDxfId="313" totalsRowDxfId="312">
      <calculatedColumnFormula>SUM(Quotidien[[#This Row],[Janvier]:[Décembre]])</calculatedColumnFormula>
    </tableColumn>
    <tableColumn id="15" xr3:uid="{00000000-0010-0000-0200-00000F000000}" name="Graphique sparkline" dataDxfId="311" totalsRowDxfId="310"/>
  </tableColumns>
  <tableStyleInfo showFirstColumn="1" showLastColumn="0" showRowStripes="0" showColumnStripes="1"/>
  <extLst>
    <ext xmlns:x14="http://schemas.microsoft.com/office/spreadsheetml/2009/9/main" uri="{504A1905-F514-4f6f-8877-14C23A59335A}">
      <x14:table altTextSummary="Entrez les éléments liés aux dépenses quotidiennes et les montants mensuels dans ce tableau. Le montant annuel et les totaux mensuels sont automatiquement calculés, et les graphiques sparkline sont mis à jour"/>
    </ext>
  </extLst>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ransports" displayName="Transports" ref="C29:Q36" totalsRowCount="1" headerRowDxfId="309" dataDxfId="308" totalsRowDxfId="307">
  <autoFilter ref="C29:Q35"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300-000001000000}" name="TRANSPORTS" totalsRowLabel="Total" totalsRowDxfId="306"/>
    <tableColumn id="2" xr3:uid="{00000000-0010-0000-0300-000002000000}" name="Janvier" totalsRowFunction="sum" dataDxfId="305" totalsRowDxfId="304"/>
    <tableColumn id="3" xr3:uid="{00000000-0010-0000-0300-000003000000}" name="Février" totalsRowFunction="sum" dataDxfId="303" totalsRowDxfId="302"/>
    <tableColumn id="4" xr3:uid="{00000000-0010-0000-0300-000004000000}" name="Mars" totalsRowFunction="sum" dataDxfId="301" totalsRowDxfId="300"/>
    <tableColumn id="5" xr3:uid="{00000000-0010-0000-0300-000005000000}" name="Avril" totalsRowFunction="sum" dataDxfId="299" totalsRowDxfId="298"/>
    <tableColumn id="6" xr3:uid="{00000000-0010-0000-0300-000006000000}" name="Mai" totalsRowFunction="sum" dataDxfId="297" totalsRowDxfId="296"/>
    <tableColumn id="7" xr3:uid="{00000000-0010-0000-0300-000007000000}" name="Juin" totalsRowFunction="sum" dataDxfId="295" totalsRowDxfId="294"/>
    <tableColumn id="8" xr3:uid="{00000000-0010-0000-0300-000008000000}" name="Juillet" totalsRowFunction="sum" dataDxfId="293" totalsRowDxfId="292"/>
    <tableColumn id="9" xr3:uid="{00000000-0010-0000-0300-000009000000}" name="Août" totalsRowFunction="sum" dataDxfId="291" totalsRowDxfId="290"/>
    <tableColumn id="10" xr3:uid="{00000000-0010-0000-0300-00000A000000}" name="Septembre" totalsRowFunction="sum" dataDxfId="289" totalsRowDxfId="288"/>
    <tableColumn id="11" xr3:uid="{00000000-0010-0000-0300-00000B000000}" name="Octobre" totalsRowFunction="sum" dataDxfId="287" totalsRowDxfId="286"/>
    <tableColumn id="12" xr3:uid="{00000000-0010-0000-0300-00000C000000}" name="Novembre" totalsRowFunction="sum" dataDxfId="285" totalsRowDxfId="284"/>
    <tableColumn id="13" xr3:uid="{00000000-0010-0000-0300-00000D000000}" name="Décembre" totalsRowFunction="sum" dataDxfId="283" totalsRowDxfId="282"/>
    <tableColumn id="14" xr3:uid="{00000000-0010-0000-0300-00000E000000}" name="Année" totalsRowFunction="sum" dataDxfId="281" totalsRowDxfId="280">
      <calculatedColumnFormula>SUM(Transports[[#This Row],[Janvier]:[Décembre]])</calculatedColumnFormula>
    </tableColumn>
    <tableColumn id="15" xr3:uid="{00000000-0010-0000-0300-00000F000000}" name="Graphique sparkline" dataDxfId="279" totalsRowDxfId="278"/>
  </tableColumns>
  <tableStyleInfo showFirstColumn="1" showLastColumn="0" showRowStripes="0" showColumnStripes="1"/>
  <extLst>
    <ext xmlns:x14="http://schemas.microsoft.com/office/spreadsheetml/2009/9/main" uri="{504A1905-F514-4f6f-8877-14C23A59335A}">
      <x14:table altTextSummary="Entrez les éléments liés aux dépenses de transport et les montants mensuels dans ce tableau. Le montant annuel et les totaux mensuels sont automatiquement calculés, et les graphiques sparkline sont mis à jour"/>
    </ext>
  </extLst>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Loisirs" displayName="Loisirs" ref="C38:Q43" totalsRowCount="1" headerRowDxfId="277" dataDxfId="276" totalsRowDxfId="275">
  <autoFilter ref="C38:Q4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400-000001000000}" name="LOISIRS" totalsRowLabel="Total" totalsRowDxfId="274"/>
    <tableColumn id="2" xr3:uid="{00000000-0010-0000-0400-000002000000}" name="Janvier" totalsRowFunction="sum" dataDxfId="273" totalsRowDxfId="272"/>
    <tableColumn id="3" xr3:uid="{00000000-0010-0000-0400-000003000000}" name="Février" totalsRowFunction="sum" dataDxfId="271" totalsRowDxfId="270"/>
    <tableColumn id="4" xr3:uid="{00000000-0010-0000-0400-000004000000}" name="Mars" totalsRowFunction="sum" dataDxfId="269" totalsRowDxfId="268"/>
    <tableColumn id="5" xr3:uid="{00000000-0010-0000-0400-000005000000}" name="Avril" totalsRowFunction="sum" dataDxfId="267" totalsRowDxfId="266"/>
    <tableColumn id="6" xr3:uid="{00000000-0010-0000-0400-000006000000}" name="Mai" totalsRowFunction="sum" dataDxfId="265" totalsRowDxfId="264"/>
    <tableColumn id="7" xr3:uid="{00000000-0010-0000-0400-000007000000}" name="Juin" totalsRowFunction="sum" dataDxfId="263" totalsRowDxfId="262"/>
    <tableColumn id="8" xr3:uid="{00000000-0010-0000-0400-000008000000}" name="Juillet" totalsRowFunction="sum" dataDxfId="261" totalsRowDxfId="260"/>
    <tableColumn id="9" xr3:uid="{00000000-0010-0000-0400-000009000000}" name="Août" totalsRowFunction="sum" dataDxfId="259" totalsRowDxfId="258"/>
    <tableColumn id="10" xr3:uid="{00000000-0010-0000-0400-00000A000000}" name="Septembre" totalsRowFunction="sum" dataDxfId="257" totalsRowDxfId="256"/>
    <tableColumn id="11" xr3:uid="{00000000-0010-0000-0400-00000B000000}" name="Octobre" totalsRowFunction="sum" dataDxfId="255" totalsRowDxfId="254"/>
    <tableColumn id="12" xr3:uid="{00000000-0010-0000-0400-00000C000000}" name="Novembre" totalsRowFunction="sum" dataDxfId="253" totalsRowDxfId="252"/>
    <tableColumn id="13" xr3:uid="{00000000-0010-0000-0400-00000D000000}" name="Décembre" totalsRowFunction="sum" dataDxfId="251" totalsRowDxfId="250"/>
    <tableColumn id="14" xr3:uid="{00000000-0010-0000-0400-00000E000000}" name="Année" totalsRowFunction="sum" dataDxfId="249" totalsRowDxfId="248">
      <calculatedColumnFormula>SUM(Loisirs[[#This Row],[Janvier]:[Décembre]])</calculatedColumnFormula>
    </tableColumn>
    <tableColumn id="15" xr3:uid="{00000000-0010-0000-0400-00000F000000}" name="Graphique sparkline" dataDxfId="247" totalsRowDxfId="246"/>
  </tableColumns>
  <tableStyleInfo showFirstColumn="1" showLastColumn="0" showRowStripes="0" showColumnStripes="1"/>
  <extLst>
    <ext xmlns:x14="http://schemas.microsoft.com/office/spreadsheetml/2009/9/main" uri="{504A1905-F514-4f6f-8877-14C23A59335A}">
      <x14:table altTextSummary="Entrez les éléments liés aux dépenses de loisirs et les montants mensuels dans ce tableau. Le montant annuel et les totaux mensuels sont automatiquement calculés, et les graphiques sparkline sont mis à jour"/>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Santé" displayName="Santé" ref="C45:Q53" totalsRowCount="1" headerRowDxfId="245" dataDxfId="244" totalsRowDxfId="243">
  <autoFilter ref="C45:Q5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500-000001000000}" name="SANTÉ" totalsRowLabel="Total" totalsRowDxfId="242"/>
    <tableColumn id="2" xr3:uid="{00000000-0010-0000-0500-000002000000}" name="Janvier" totalsRowFunction="sum" dataDxfId="241" totalsRowDxfId="240"/>
    <tableColumn id="3" xr3:uid="{00000000-0010-0000-0500-000003000000}" name="Février" totalsRowFunction="sum" dataDxfId="239" totalsRowDxfId="238"/>
    <tableColumn id="4" xr3:uid="{00000000-0010-0000-0500-000004000000}" name="Mars" totalsRowFunction="sum" dataDxfId="237" totalsRowDxfId="236"/>
    <tableColumn id="5" xr3:uid="{00000000-0010-0000-0500-000005000000}" name="Avril" totalsRowFunction="sum" dataDxfId="235" totalsRowDxfId="234"/>
    <tableColumn id="6" xr3:uid="{00000000-0010-0000-0500-000006000000}" name="Mai" totalsRowFunction="sum" dataDxfId="233" totalsRowDxfId="232"/>
    <tableColumn id="7" xr3:uid="{00000000-0010-0000-0500-000007000000}" name="Juin" totalsRowFunction="sum" dataDxfId="231" totalsRowDxfId="230"/>
    <tableColumn id="8" xr3:uid="{00000000-0010-0000-0500-000008000000}" name="Juillet" totalsRowFunction="sum" dataDxfId="229" totalsRowDxfId="228"/>
    <tableColumn id="9" xr3:uid="{00000000-0010-0000-0500-000009000000}" name="Août" totalsRowFunction="sum" dataDxfId="227" totalsRowDxfId="226"/>
    <tableColumn id="10" xr3:uid="{00000000-0010-0000-0500-00000A000000}" name="Septembre" totalsRowFunction="sum" dataDxfId="225" totalsRowDxfId="224"/>
    <tableColumn id="11" xr3:uid="{00000000-0010-0000-0500-00000B000000}" name="Octobre" totalsRowFunction="sum" dataDxfId="223" totalsRowDxfId="222"/>
    <tableColumn id="12" xr3:uid="{00000000-0010-0000-0500-00000C000000}" name="Novembre" totalsRowFunction="sum" dataDxfId="221" totalsRowDxfId="220"/>
    <tableColumn id="13" xr3:uid="{00000000-0010-0000-0500-00000D000000}" name="Décembre" totalsRowFunction="sum" dataDxfId="219" totalsRowDxfId="218"/>
    <tableColumn id="14" xr3:uid="{00000000-0010-0000-0500-00000E000000}" name="Année" totalsRowFunction="sum" dataDxfId="217" totalsRowDxfId="216">
      <calculatedColumnFormula>SUM(Santé[[#This Row],[Janvier]:[Décembre]])</calculatedColumnFormula>
    </tableColumn>
    <tableColumn id="15" xr3:uid="{00000000-0010-0000-0500-00000F000000}" name="Graphique sparkline" dataDxfId="215" totalsRowDxfId="214"/>
  </tableColumns>
  <tableStyleInfo showFirstColumn="1" showLastColumn="0" showRowStripes="0" showColumnStripes="1"/>
  <extLst>
    <ext xmlns:x14="http://schemas.microsoft.com/office/spreadsheetml/2009/9/main" uri="{504A1905-F514-4f6f-8877-14C23A59335A}">
      <x14:table altTextSummary="Entrez les éléments liés aux dépenses de santé et les montants mensuels dans ce tableau. Le montant annuel et les totaux mensuels sont automatiquement calculés, et les graphiques sparkline sont mis à jour"/>
    </ext>
  </extLst>
</table>
</file>

<file path=xl/tables/table7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Vacances" displayName="Vacances" ref="C55:Q62" totalsRowCount="1" headerRowDxfId="213" dataDxfId="212" totalsRowDxfId="211">
  <autoFilter ref="C55:Q61"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600-000001000000}" name="VACANCES" totalsRowLabel="Total" totalsRowDxfId="210"/>
    <tableColumn id="2" xr3:uid="{00000000-0010-0000-0600-000002000000}" name="Janvier" totalsRowFunction="sum" dataDxfId="209" totalsRowDxfId="208"/>
    <tableColumn id="3" xr3:uid="{00000000-0010-0000-0600-000003000000}" name="Février" totalsRowFunction="sum" dataDxfId="207" totalsRowDxfId="206"/>
    <tableColumn id="4" xr3:uid="{00000000-0010-0000-0600-000004000000}" name="Mars" totalsRowFunction="sum" dataDxfId="205" totalsRowDxfId="204"/>
    <tableColumn id="5" xr3:uid="{00000000-0010-0000-0600-000005000000}" name="Avril" totalsRowFunction="sum" dataDxfId="203" totalsRowDxfId="202"/>
    <tableColumn id="6" xr3:uid="{00000000-0010-0000-0600-000006000000}" name="Mai" totalsRowFunction="sum" dataDxfId="201" totalsRowDxfId="200"/>
    <tableColumn id="7" xr3:uid="{00000000-0010-0000-0600-000007000000}" name="Juin" totalsRowFunction="sum" dataDxfId="199" totalsRowDxfId="198"/>
    <tableColumn id="8" xr3:uid="{00000000-0010-0000-0600-000008000000}" name="Juillet" totalsRowFunction="sum" dataDxfId="197" totalsRowDxfId="196"/>
    <tableColumn id="9" xr3:uid="{00000000-0010-0000-0600-000009000000}" name="Août" totalsRowFunction="sum" dataDxfId="195" totalsRowDxfId="194"/>
    <tableColumn id="10" xr3:uid="{00000000-0010-0000-0600-00000A000000}" name="Septembre" totalsRowFunction="sum" dataDxfId="193" totalsRowDxfId="192"/>
    <tableColumn id="11" xr3:uid="{00000000-0010-0000-0600-00000B000000}" name="Octobre" totalsRowFunction="sum" dataDxfId="191" totalsRowDxfId="190"/>
    <tableColumn id="12" xr3:uid="{00000000-0010-0000-0600-00000C000000}" name="Novembre" totalsRowFunction="sum" dataDxfId="189" totalsRowDxfId="188"/>
    <tableColumn id="13" xr3:uid="{00000000-0010-0000-0600-00000D000000}" name="Décembre" totalsRowFunction="sum" dataDxfId="187" totalsRowDxfId="186"/>
    <tableColumn id="14" xr3:uid="{00000000-0010-0000-0600-00000E000000}" name="Année" totalsRowFunction="sum" dataDxfId="185" totalsRowDxfId="184">
      <calculatedColumnFormula>SUM(Vacances[[#This Row],[Janvier]:[Décembre]])</calculatedColumnFormula>
    </tableColumn>
    <tableColumn id="15" xr3:uid="{00000000-0010-0000-0600-00000F000000}" name="Graphique sparkline" dataDxfId="183" totalsRowDxfId="182"/>
  </tableColumns>
  <tableStyleInfo showFirstColumn="1" showLastColumn="0" showRowStripes="0" showColumnStripes="1"/>
  <extLst>
    <ext xmlns:x14="http://schemas.microsoft.com/office/spreadsheetml/2009/9/main" uri="{504A1905-F514-4f6f-8877-14C23A59335A}">
      <x14:table altTextSummary="Entrez les éléments liés aux dépenses de vacances et les montants mensuels dans ce tableau. Le montant annuel et les totaux mensuels sont automatiquement calculés, et les graphiques sparkline sont mis à jour"/>
    </ext>
  </extLst>
</table>
</file>

<file path=xl/tables/table8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Détente" displayName="Détente" ref="C64:Q69" totalsRowCount="1" headerRowDxfId="181" dataDxfId="180" totalsRowDxfId="179">
  <autoFilter ref="C64:Q68"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700-000001000000}" name="DÉTENTE" totalsRowLabel="Total" dataDxfId="178" totalsRowDxfId="177"/>
    <tableColumn id="2" xr3:uid="{00000000-0010-0000-0700-000002000000}" name="Janvier" totalsRowFunction="sum" dataDxfId="176" totalsRowDxfId="175"/>
    <tableColumn id="3" xr3:uid="{00000000-0010-0000-0700-000003000000}" name="Février" totalsRowFunction="sum" dataDxfId="174" totalsRowDxfId="173"/>
    <tableColumn id="4" xr3:uid="{00000000-0010-0000-0700-000004000000}" name="Mars" totalsRowFunction="sum" dataDxfId="172" totalsRowDxfId="171"/>
    <tableColumn id="5" xr3:uid="{00000000-0010-0000-0700-000005000000}" name="Avril" totalsRowFunction="sum" dataDxfId="170" totalsRowDxfId="169"/>
    <tableColumn id="6" xr3:uid="{00000000-0010-0000-0700-000006000000}" name="Mai" totalsRowFunction="sum" dataDxfId="168" totalsRowDxfId="167"/>
    <tableColumn id="7" xr3:uid="{00000000-0010-0000-0700-000007000000}" name="Juin" totalsRowFunction="sum" dataDxfId="166" totalsRowDxfId="165"/>
    <tableColumn id="8" xr3:uid="{00000000-0010-0000-0700-000008000000}" name="Juillet" totalsRowFunction="sum" dataDxfId="164" totalsRowDxfId="163"/>
    <tableColumn id="9" xr3:uid="{00000000-0010-0000-0700-000009000000}" name="Août" totalsRowFunction="sum" dataDxfId="162" totalsRowDxfId="161"/>
    <tableColumn id="10" xr3:uid="{00000000-0010-0000-0700-00000A000000}" name="Septembre" totalsRowFunction="sum" dataDxfId="160" totalsRowDxfId="159"/>
    <tableColumn id="11" xr3:uid="{00000000-0010-0000-0700-00000B000000}" name="Octobre" totalsRowFunction="sum" dataDxfId="158" totalsRowDxfId="157"/>
    <tableColumn id="12" xr3:uid="{00000000-0010-0000-0700-00000C000000}" name="Novembre" totalsRowFunction="sum" dataDxfId="156" totalsRowDxfId="155"/>
    <tableColumn id="13" xr3:uid="{00000000-0010-0000-0700-00000D000000}" name="Décembre" totalsRowFunction="sum" dataDxfId="154" totalsRowDxfId="153"/>
    <tableColumn id="14" xr3:uid="{00000000-0010-0000-0700-00000E000000}" name="Année" totalsRowFunction="sum" dataDxfId="152" totalsRowDxfId="151">
      <calculatedColumnFormula>SUM(Détente[[#This Row],[Janvier]:[Décembre]])</calculatedColumnFormula>
    </tableColumn>
    <tableColumn id="15" xr3:uid="{00000000-0010-0000-0700-00000F000000}" name="Graphique sparkline" dataDxfId="150" totalsRowDxfId="149"/>
  </tableColumns>
  <tableStyleInfo showFirstColumn="1" showLastColumn="0" showRowStripes="0" showColumnStripes="1"/>
  <extLst>
    <ext xmlns:x14="http://schemas.microsoft.com/office/spreadsheetml/2009/9/main" uri="{504A1905-F514-4f6f-8877-14C23A59335A}">
      <x14:table altTextSummary="Entrez les éléments liés aux dépenses de détente et les montants mensuels dans ce tableau. Le montant annuel et les totaux mensuels sont automatiquement calculés, et les graphiques sparkline sont mis à jour"/>
    </ext>
  </extLst>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CotisationsEtAbonnements" displayName="CotisationsEtAbonnements" ref="C71:Q79" totalsRowCount="1" headerRowDxfId="148" dataDxfId="147" totalsRowDxfId="146">
  <autoFilter ref="C71:Q78"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00000000-0010-0000-0800-000001000000}" name="COTISATIONS/ABONNEMENTS" totalsRowLabel="Total" dataDxfId="145" totalsRowDxfId="144"/>
    <tableColumn id="2" xr3:uid="{00000000-0010-0000-0800-000002000000}" name="Janvier" totalsRowFunction="sum" dataDxfId="143" totalsRowDxfId="142"/>
    <tableColumn id="3" xr3:uid="{00000000-0010-0000-0800-000003000000}" name="Février" totalsRowFunction="sum" dataDxfId="141" totalsRowDxfId="140"/>
    <tableColumn id="4" xr3:uid="{00000000-0010-0000-0800-000004000000}" name="Mars" totalsRowFunction="sum" dataDxfId="139" totalsRowDxfId="138"/>
    <tableColumn id="5" xr3:uid="{00000000-0010-0000-0800-000005000000}" name="Avril" totalsRowFunction="sum" dataDxfId="137" totalsRowDxfId="136"/>
    <tableColumn id="6" xr3:uid="{00000000-0010-0000-0800-000006000000}" name="Mai" totalsRowFunction="sum" dataDxfId="135" totalsRowDxfId="134"/>
    <tableColumn id="7" xr3:uid="{00000000-0010-0000-0800-000007000000}" name="Juin" totalsRowFunction="sum" dataDxfId="133" totalsRowDxfId="132"/>
    <tableColumn id="8" xr3:uid="{00000000-0010-0000-0800-000008000000}" name="Juillet" totalsRowFunction="sum" dataDxfId="131" totalsRowDxfId="130"/>
    <tableColumn id="9" xr3:uid="{00000000-0010-0000-0800-000009000000}" name="Août" totalsRowFunction="sum" dataDxfId="129" totalsRowDxfId="128"/>
    <tableColumn id="10" xr3:uid="{00000000-0010-0000-0800-00000A000000}" name="Septembre" totalsRowFunction="sum" dataDxfId="127" totalsRowDxfId="126"/>
    <tableColumn id="11" xr3:uid="{00000000-0010-0000-0800-00000B000000}" name="Octobre" totalsRowFunction="sum" dataDxfId="125" totalsRowDxfId="124"/>
    <tableColumn id="12" xr3:uid="{00000000-0010-0000-0800-00000C000000}" name="Novembre" totalsRowFunction="sum" dataDxfId="123" totalsRowDxfId="122"/>
    <tableColumn id="13" xr3:uid="{00000000-0010-0000-0800-00000D000000}" name="Décembre" totalsRowFunction="sum" dataDxfId="121" totalsRowDxfId="120"/>
    <tableColumn id="14" xr3:uid="{00000000-0010-0000-0800-00000E000000}" name="Année" totalsRowFunction="sum" dataDxfId="119" totalsRowDxfId="118">
      <calculatedColumnFormula>SUM(CotisationsEtAbonnements[[#This Row],[Janvier]:[Décembre]])</calculatedColumnFormula>
    </tableColumn>
    <tableColumn id="15" xr3:uid="{00000000-0010-0000-0800-00000F000000}" name="Graphique sparkline" dataDxfId="117" totalsRowDxfId="116"/>
  </tableColumns>
  <tableStyleInfo showFirstColumn="1" showLastColumn="0" showRowStripes="0" showColumnStripes="1"/>
  <extLst>
    <ext xmlns:x14="http://schemas.microsoft.com/office/spreadsheetml/2009/9/main" uri="{504A1905-F514-4f6f-8877-14C23A59335A}">
      <x14:table altTextSummary="Entrez les éléments liés aux cotisations et abonnements et les montants mensuels dans ce tableau. Le montant annuel et les totaux mensuels sont automatiquement calculés, et les graphiques sparkline sont mis à jour"/>
    </ext>
  </extLst>
</table>
</file>

<file path=xl/theme/theme11.xml><?xml version="1.0" encoding="utf-8"?>
<a:theme xmlns:a="http://schemas.openxmlformats.org/drawingml/2006/main" name="Office Theme">
  <a:themeElements>
    <a:clrScheme name="Custom 23">
      <a:dk1>
        <a:sysClr val="windowText" lastClr="000000"/>
      </a:dk1>
      <a:lt1>
        <a:sysClr val="window" lastClr="FFFFFF"/>
      </a:lt1>
      <a:dk2>
        <a:srgbClr val="304157"/>
      </a:dk2>
      <a:lt2>
        <a:srgbClr val="E7E6E6"/>
      </a:lt2>
      <a:accent1>
        <a:srgbClr val="1B79AD"/>
      </a:accent1>
      <a:accent2>
        <a:srgbClr val="1D7B7D"/>
      </a:accent2>
      <a:accent3>
        <a:srgbClr val="EF4755"/>
      </a:accent3>
      <a:accent4>
        <a:srgbClr val="FFC000"/>
      </a:accent4>
      <a:accent5>
        <a:srgbClr val="176795"/>
      </a:accent5>
      <a:accent6>
        <a:srgbClr val="4D81BF"/>
      </a:accent6>
      <a:hlink>
        <a:srgbClr val="F78F2F"/>
      </a:hlink>
      <a:folHlink>
        <a:srgbClr val="F78F2F"/>
      </a:folHlink>
    </a:clrScheme>
    <a:fontScheme name="Custom 13">
      <a:majorFont>
        <a:latin typeface="Gill Sans MT"/>
        <a:ea typeface=""/>
        <a:cs typeface=""/>
      </a:majorFont>
      <a:minorFont>
        <a:latin typeface="verdana"/>
        <a:ea typeface=""/>
        <a:cs typeface=""/>
      </a:minorFont>
    </a:fontScheme>
    <a:fmtScheme name="Office">
      <a:fillStyleLst>
        <a:solidFill>
          <a:schemeClr val="phClr"/>
        </a:solidFill>
        <a:gradFill rotWithShape="1">
          <a:gsLst>
            <a:gs pos="0">
              <a:schemeClr val="phClr">
                <a:lumMod val="157000"/>
                <a:satMod val="101000"/>
              </a:schemeClr>
            </a:gs>
            <a:gs pos="50000">
              <a:schemeClr val="phClr">
                <a:lumMod val="137000"/>
                <a:satMod val="103000"/>
              </a:schemeClr>
            </a:gs>
            <a:gs pos="100000">
              <a:schemeClr val="phClr">
                <a:lumMod val="115000"/>
                <a:satMod val="109000"/>
              </a:schemeClr>
            </a:gs>
          </a:gsLst>
          <a:lin ang="5400000" scaled="0"/>
        </a:gradFill>
        <a:gradFill rotWithShape="1">
          <a:gsLst>
            <a:gs pos="0">
              <a:schemeClr val="phClr">
                <a:satMod val="103000"/>
                <a:lumMod val="118000"/>
              </a:schemeClr>
            </a:gs>
            <a:gs pos="50000">
              <a:schemeClr val="phClr">
                <a:satMod val="89000"/>
                <a:lumMod val="91000"/>
              </a:schemeClr>
            </a:gs>
            <a:gs pos="100000">
              <a:schemeClr val="phClr">
                <a:lumMod val="6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gradFill rotWithShape="1">
          <a:gsLst>
            <a:gs pos="0">
              <a:schemeClr val="phClr">
                <a:tint val="100000"/>
                <a:satMod val="100000"/>
                <a:shade val="0"/>
              </a:schemeClr>
            </a:gs>
            <a:gs pos="0">
              <a:scrgbClr r="0" g="0" b="0"/>
            </a:gs>
            <a:gs pos="100000">
              <a:schemeClr val="phClr">
                <a:shade val="100000"/>
                <a:satMod val="100000"/>
              </a:schemeClr>
            </a:gs>
          </a:gsLst>
          <a:lin ang="54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printerSettings" Target="/xl/printerSettings/printerSettings12.bin" Id="rId1" /></Relationships>
</file>

<file path=xl/worksheets/_rels/sheet21.xml.rels>&#65279;<?xml version="1.0" encoding="utf-8"?><Relationships xmlns="http://schemas.openxmlformats.org/package/2006/relationships"><Relationship Type="http://schemas.openxmlformats.org/officeDocument/2006/relationships/table" Target="/xl/tables/table61.xml" Id="rId8" /><Relationship Type="http://schemas.openxmlformats.org/officeDocument/2006/relationships/table" Target="/xl/tables/table112.xml" Id="rId13" /><Relationship Type="http://schemas.openxmlformats.org/officeDocument/2006/relationships/table" Target="/xl/tables/table13.xml" Id="rId3" /><Relationship Type="http://schemas.openxmlformats.org/officeDocument/2006/relationships/table" Target="/xl/tables/table54.xml" Id="rId7" /><Relationship Type="http://schemas.openxmlformats.org/officeDocument/2006/relationships/table" Target="/xl/tables/table105.xml" Id="rId12" /><Relationship Type="http://schemas.openxmlformats.org/officeDocument/2006/relationships/drawing" Target="/xl/drawings/drawing11.xml" Id="rId2" /><Relationship Type="http://schemas.openxmlformats.org/officeDocument/2006/relationships/printerSettings" Target="/xl/printerSettings/printerSettings21.bin" Id="rId1" /><Relationship Type="http://schemas.openxmlformats.org/officeDocument/2006/relationships/table" Target="/xl/tables/table46.xml" Id="rId6" /><Relationship Type="http://schemas.openxmlformats.org/officeDocument/2006/relationships/table" Target="/xl/tables/table97.xml" Id="rId11" /><Relationship Type="http://schemas.openxmlformats.org/officeDocument/2006/relationships/table" Target="/xl/tables/table38.xml" Id="rId5" /><Relationship Type="http://schemas.openxmlformats.org/officeDocument/2006/relationships/table" Target="/xl/tables/table139.xml" Id="rId15" /><Relationship Type="http://schemas.openxmlformats.org/officeDocument/2006/relationships/table" Target="/xl/tables/table810.xml" Id="rId10" /><Relationship Type="http://schemas.openxmlformats.org/officeDocument/2006/relationships/table" Target="/xl/tables/table211.xml" Id="rId4" /><Relationship Type="http://schemas.openxmlformats.org/officeDocument/2006/relationships/table" Target="/xl/tables/table712.xml" Id="rId9" /><Relationship Type="http://schemas.openxmlformats.org/officeDocument/2006/relationships/table" Target="/xl/tables/table1213.xml" Id="rId1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tint="-0.249977111117893"/>
  </sheetPr>
  <dimension ref="B1:B7"/>
  <sheetViews>
    <sheetView tabSelected="1" workbookViewId="0"/>
  </sheetViews>
  <sheetFormatPr baseColWidth="10" defaultColWidth="9" defaultRowHeight="12.75" x14ac:dyDescent="0.2"/>
  <cols>
    <col min="1" max="1" width="2.625" customWidth="1"/>
    <col min="2" max="2" width="80.625" customWidth="1"/>
    <col min="3" max="3" width="2.625" customWidth="1"/>
  </cols>
  <sheetData>
    <row r="1" spans="2:2" ht="30" customHeight="1" x14ac:dyDescent="0.2">
      <c r="B1" s="42" t="s">
        <v>0</v>
      </c>
    </row>
    <row r="2" spans="2:2" ht="30" customHeight="1" x14ac:dyDescent="0.2">
      <c r="B2" s="43" t="s">
        <v>1</v>
      </c>
    </row>
    <row r="3" spans="2:2" ht="33.75" customHeight="1" x14ac:dyDescent="0.2">
      <c r="B3" s="43" t="s">
        <v>2</v>
      </c>
    </row>
    <row r="4" spans="2:2" ht="30" customHeight="1" x14ac:dyDescent="0.2">
      <c r="B4" s="43" t="s">
        <v>3</v>
      </c>
    </row>
    <row r="5" spans="2:2" ht="30" customHeight="1" x14ac:dyDescent="0.2">
      <c r="B5" s="44" t="s">
        <v>4</v>
      </c>
    </row>
    <row r="6" spans="2:2" ht="67.5" customHeight="1" x14ac:dyDescent="0.2">
      <c r="B6" s="43" t="s">
        <v>5</v>
      </c>
    </row>
    <row r="7" spans="2:2" ht="38.25" customHeight="1" x14ac:dyDescent="0.2">
      <c r="B7" s="43" t="s">
        <v>122</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pageSetUpPr autoPageBreaks="0" fitToPage="1"/>
  </sheetPr>
  <dimension ref="A1:Q108"/>
  <sheetViews>
    <sheetView showGridLines="0" zoomScale="96" zoomScaleNormal="96" workbookViewId="0"/>
  </sheetViews>
  <sheetFormatPr baseColWidth="10" defaultColWidth="9" defaultRowHeight="30" customHeight="1" x14ac:dyDescent="0.2"/>
  <cols>
    <col min="1" max="1" width="4.75" style="46" customWidth="1"/>
    <col min="2" max="2" width="1.875" customWidth="1"/>
    <col min="3" max="3" width="45.375" customWidth="1"/>
    <col min="4" max="16" width="12.375" style="1" customWidth="1"/>
    <col min="17" max="17" width="25" customWidth="1"/>
    <col min="18" max="18" width="2.625" customWidth="1"/>
  </cols>
  <sheetData>
    <row r="1" spans="1:17" ht="12.75" customHeight="1" x14ac:dyDescent="0.2">
      <c r="A1" s="46" t="s">
        <v>6</v>
      </c>
    </row>
    <row r="2" spans="1:17" ht="35.25" customHeight="1" thickBot="1" x14ac:dyDescent="0.75">
      <c r="A2" s="47" t="s">
        <v>7</v>
      </c>
      <c r="B2" s="67" t="s">
        <v>19</v>
      </c>
      <c r="C2" s="67"/>
      <c r="D2" s="67"/>
      <c r="E2" s="68"/>
      <c r="F2" s="68"/>
      <c r="G2" s="68"/>
      <c r="H2" s="68"/>
      <c r="I2" s="68"/>
      <c r="J2" s="68"/>
      <c r="K2" s="68"/>
      <c r="L2" s="68"/>
      <c r="M2" s="68"/>
      <c r="N2" s="68"/>
      <c r="O2" s="68"/>
      <c r="P2" s="68"/>
      <c r="Q2" s="45">
        <f ca="1">YEAR(TODAY())</f>
        <v>2019</v>
      </c>
    </row>
    <row r="3" spans="1:17" ht="26.25" customHeight="1" x14ac:dyDescent="0.2">
      <c r="E3" s="27"/>
    </row>
    <row r="4" spans="1:17" ht="21" customHeight="1" x14ac:dyDescent="0.2">
      <c r="A4" s="46" t="s">
        <v>8</v>
      </c>
      <c r="B4" s="14"/>
      <c r="C4" s="5" t="s">
        <v>20</v>
      </c>
      <c r="D4" s="6" t="s">
        <v>94</v>
      </c>
      <c r="E4" s="6" t="s">
        <v>96</v>
      </c>
      <c r="F4" s="6" t="s">
        <v>98</v>
      </c>
      <c r="G4" s="6" t="s">
        <v>100</v>
      </c>
      <c r="H4" s="6" t="s">
        <v>102</v>
      </c>
      <c r="I4" s="6" t="s">
        <v>104</v>
      </c>
      <c r="J4" s="6" t="s">
        <v>106</v>
      </c>
      <c r="K4" s="6" t="s">
        <v>108</v>
      </c>
      <c r="L4" s="6" t="s">
        <v>110</v>
      </c>
      <c r="M4" s="6" t="s">
        <v>112</v>
      </c>
      <c r="N4" s="6" t="s">
        <v>114</v>
      </c>
      <c r="O4" s="6" t="s">
        <v>116</v>
      </c>
      <c r="P4" s="6" t="s">
        <v>118</v>
      </c>
      <c r="Q4" s="6"/>
    </row>
    <row r="5" spans="1:17" ht="15.95" customHeight="1" x14ac:dyDescent="0.2">
      <c r="A5" s="47" t="s">
        <v>123</v>
      </c>
      <c r="B5" s="14"/>
      <c r="C5" s="7" t="s">
        <v>21</v>
      </c>
      <c r="D5" s="30" t="s">
        <v>95</v>
      </c>
      <c r="E5" s="30" t="s">
        <v>97</v>
      </c>
      <c r="F5" s="30" t="s">
        <v>99</v>
      </c>
      <c r="G5" s="30" t="s">
        <v>101</v>
      </c>
      <c r="H5" s="30" t="s">
        <v>103</v>
      </c>
      <c r="I5" s="30" t="s">
        <v>105</v>
      </c>
      <c r="J5" s="30" t="s">
        <v>107</v>
      </c>
      <c r="K5" s="30" t="s">
        <v>109</v>
      </c>
      <c r="L5" s="30" t="s">
        <v>111</v>
      </c>
      <c r="M5" s="30" t="s">
        <v>113</v>
      </c>
      <c r="N5" s="30" t="s">
        <v>115</v>
      </c>
      <c r="O5" s="30" t="s">
        <v>117</v>
      </c>
      <c r="P5" s="30" t="s">
        <v>119</v>
      </c>
      <c r="Q5" s="30" t="s">
        <v>120</v>
      </c>
    </row>
    <row r="6" spans="1:17" ht="15.95" customHeight="1" x14ac:dyDescent="0.2">
      <c r="B6" s="14"/>
      <c r="C6" s="4" t="s">
        <v>22</v>
      </c>
      <c r="D6" s="51">
        <v>2600</v>
      </c>
      <c r="E6" s="51">
        <v>2600</v>
      </c>
      <c r="F6" s="51">
        <v>2600</v>
      </c>
      <c r="G6" s="51"/>
      <c r="H6" s="51"/>
      <c r="I6" s="51"/>
      <c r="J6" s="51"/>
      <c r="K6" s="51"/>
      <c r="L6" s="51"/>
      <c r="M6" s="51"/>
      <c r="N6" s="51"/>
      <c r="O6" s="51"/>
      <c r="P6" s="51">
        <f>SUM(Revenus[[#This Row],[Janvier]:[Décembre]])</f>
        <v>7800</v>
      </c>
      <c r="Q6" s="51"/>
    </row>
    <row r="7" spans="1:17" ht="15.95" customHeight="1" x14ac:dyDescent="0.2">
      <c r="B7" s="14"/>
      <c r="C7" s="4" t="s">
        <v>23</v>
      </c>
      <c r="D7" s="51">
        <v>649</v>
      </c>
      <c r="E7" s="51">
        <v>313</v>
      </c>
      <c r="F7" s="51">
        <v>664</v>
      </c>
      <c r="G7" s="51"/>
      <c r="H7" s="51"/>
      <c r="I7" s="51"/>
      <c r="J7" s="51"/>
      <c r="K7" s="51"/>
      <c r="L7" s="51"/>
      <c r="M7" s="51"/>
      <c r="N7" s="51"/>
      <c r="O7" s="51"/>
      <c r="P7" s="51">
        <f>SUM(Revenus[[#This Row],[Janvier]:[Décembre]])</f>
        <v>1626</v>
      </c>
      <c r="Q7" s="52"/>
    </row>
    <row r="8" spans="1:17" ht="15.95" customHeight="1" x14ac:dyDescent="0.2">
      <c r="B8" s="14"/>
      <c r="C8" s="4" t="s">
        <v>24</v>
      </c>
      <c r="D8" s="51">
        <v>474</v>
      </c>
      <c r="E8" s="51">
        <v>643</v>
      </c>
      <c r="F8" s="51">
        <v>380</v>
      </c>
      <c r="G8" s="51"/>
      <c r="H8" s="51"/>
      <c r="I8" s="51"/>
      <c r="J8" s="51"/>
      <c r="K8" s="51"/>
      <c r="L8" s="51"/>
      <c r="M8" s="51"/>
      <c r="N8" s="51"/>
      <c r="O8" s="51"/>
      <c r="P8" s="51">
        <f>SUM(Revenus[[#This Row],[Janvier]:[Décembre]])</f>
        <v>1497</v>
      </c>
      <c r="Q8" s="51"/>
    </row>
    <row r="9" spans="1:17" ht="21" customHeight="1" thickBot="1" x14ac:dyDescent="0.25">
      <c r="B9" s="14"/>
      <c r="C9" s="28" t="s">
        <v>25</v>
      </c>
      <c r="D9" s="53">
        <f>SUBTOTAL(109,Revenus[Janvier])</f>
        <v>3723</v>
      </c>
      <c r="E9" s="53">
        <f>SUBTOTAL(109,Revenus[Février])</f>
        <v>3556</v>
      </c>
      <c r="F9" s="53">
        <f>SUBTOTAL(109,Revenus[Mars])</f>
        <v>3644</v>
      </c>
      <c r="G9" s="53">
        <f>SUBTOTAL(109,Revenus[Avril])</f>
        <v>0</v>
      </c>
      <c r="H9" s="53">
        <f>SUBTOTAL(109,Revenus[Mai])</f>
        <v>0</v>
      </c>
      <c r="I9" s="53">
        <f>SUBTOTAL(109,Revenus[Juin])</f>
        <v>0</v>
      </c>
      <c r="J9" s="53">
        <f>SUBTOTAL(109,Revenus[Juillet])</f>
        <v>0</v>
      </c>
      <c r="K9" s="53">
        <f>SUBTOTAL(109,Revenus[Août])</f>
        <v>0</v>
      </c>
      <c r="L9" s="53">
        <f>SUBTOTAL(109,Revenus[Septembre])</f>
        <v>0</v>
      </c>
      <c r="M9" s="53">
        <f>SUBTOTAL(109,Revenus[Octobre])</f>
        <v>0</v>
      </c>
      <c r="N9" s="53">
        <f>SUBTOTAL(109,Revenus[Novembre])</f>
        <v>0</v>
      </c>
      <c r="O9" s="53">
        <f>SUBTOTAL(109,Revenus[Décembre])</f>
        <v>0</v>
      </c>
      <c r="P9" s="53">
        <f>SUBTOTAL(109,Revenus[Année])</f>
        <v>10923</v>
      </c>
      <c r="Q9" s="29"/>
    </row>
    <row r="10" spans="1:17" ht="24" customHeight="1" thickTop="1" x14ac:dyDescent="0.2">
      <c r="D10"/>
      <c r="E10"/>
      <c r="F10"/>
      <c r="G10"/>
      <c r="H10"/>
      <c r="I10"/>
      <c r="J10"/>
      <c r="K10"/>
      <c r="L10"/>
      <c r="M10"/>
      <c r="N10"/>
      <c r="O10"/>
      <c r="P10"/>
    </row>
    <row r="11" spans="1:17" ht="21" customHeight="1" x14ac:dyDescent="0.2">
      <c r="A11" s="46" t="s">
        <v>9</v>
      </c>
      <c r="B11" s="15"/>
      <c r="C11" s="5" t="s">
        <v>26</v>
      </c>
      <c r="D11" s="6" t="s">
        <v>94</v>
      </c>
      <c r="E11" s="6" t="s">
        <v>96</v>
      </c>
      <c r="F11" s="6" t="s">
        <v>98</v>
      </c>
      <c r="G11" s="6" t="s">
        <v>100</v>
      </c>
      <c r="H11" s="6" t="s">
        <v>102</v>
      </c>
      <c r="I11" s="6" t="s">
        <v>104</v>
      </c>
      <c r="J11" s="6" t="s">
        <v>106</v>
      </c>
      <c r="K11" s="6" t="s">
        <v>108</v>
      </c>
      <c r="L11" s="6" t="s">
        <v>110</v>
      </c>
      <c r="M11" s="6" t="s">
        <v>112</v>
      </c>
      <c r="N11" s="6" t="s">
        <v>114</v>
      </c>
      <c r="O11" s="6" t="s">
        <v>116</v>
      </c>
      <c r="P11" s="6" t="s">
        <v>118</v>
      </c>
      <c r="Q11" s="6"/>
    </row>
    <row r="12" spans="1:17" ht="15.95" customHeight="1" x14ac:dyDescent="0.2">
      <c r="A12" s="46" t="s">
        <v>10</v>
      </c>
      <c r="B12" s="15"/>
      <c r="C12" s="8" t="s">
        <v>27</v>
      </c>
      <c r="D12" s="30" t="s">
        <v>95</v>
      </c>
      <c r="E12" s="30" t="s">
        <v>97</v>
      </c>
      <c r="F12" s="30" t="s">
        <v>99</v>
      </c>
      <c r="G12" s="30" t="s">
        <v>101</v>
      </c>
      <c r="H12" s="30" t="s">
        <v>103</v>
      </c>
      <c r="I12" s="30" t="s">
        <v>105</v>
      </c>
      <c r="J12" s="30" t="s">
        <v>107</v>
      </c>
      <c r="K12" s="30" t="s">
        <v>109</v>
      </c>
      <c r="L12" s="30" t="s">
        <v>111</v>
      </c>
      <c r="M12" s="30" t="s">
        <v>113</v>
      </c>
      <c r="N12" s="30" t="s">
        <v>115</v>
      </c>
      <c r="O12" s="30" t="s">
        <v>117</v>
      </c>
      <c r="P12" s="30" t="s">
        <v>119</v>
      </c>
      <c r="Q12" s="30" t="s">
        <v>120</v>
      </c>
    </row>
    <row r="13" spans="1:17" ht="15.95" customHeight="1" x14ac:dyDescent="0.2">
      <c r="B13" s="15"/>
      <c r="C13" s="3" t="s">
        <v>28</v>
      </c>
      <c r="D13" s="54">
        <v>750</v>
      </c>
      <c r="E13" s="54">
        <v>750</v>
      </c>
      <c r="F13" s="54">
        <v>750</v>
      </c>
      <c r="G13" s="54"/>
      <c r="H13" s="54"/>
      <c r="I13" s="54"/>
      <c r="J13" s="54"/>
      <c r="K13" s="54"/>
      <c r="L13" s="54"/>
      <c r="M13" s="54"/>
      <c r="N13" s="54"/>
      <c r="O13" s="54"/>
      <c r="P13" s="54">
        <f>SUM(Foyer[[#This Row],[Janvier]:[Décembre]])</f>
        <v>2250</v>
      </c>
      <c r="Q13" s="54"/>
    </row>
    <row r="14" spans="1:17" ht="15.95" customHeight="1" x14ac:dyDescent="0.2">
      <c r="B14" s="15"/>
      <c r="C14" s="3" t="s">
        <v>29</v>
      </c>
      <c r="D14" s="54"/>
      <c r="E14" s="54"/>
      <c r="F14" s="54"/>
      <c r="G14" s="54"/>
      <c r="H14" s="54"/>
      <c r="I14" s="54"/>
      <c r="J14" s="54"/>
      <c r="K14" s="54"/>
      <c r="L14" s="54"/>
      <c r="M14" s="54"/>
      <c r="N14" s="54"/>
      <c r="O14" s="54"/>
      <c r="P14" s="54">
        <f>SUM(Foyer[[#This Row],[Janvier]:[Décembre]])</f>
        <v>0</v>
      </c>
      <c r="Q14" s="55"/>
    </row>
    <row r="15" spans="1:17" ht="15.95" customHeight="1" x14ac:dyDescent="0.2">
      <c r="B15" s="15"/>
      <c r="C15" s="3" t="s">
        <v>30</v>
      </c>
      <c r="D15" s="54"/>
      <c r="E15" s="54"/>
      <c r="F15" s="54">
        <v>75</v>
      </c>
      <c r="G15" s="54"/>
      <c r="H15" s="54"/>
      <c r="I15" s="54"/>
      <c r="J15" s="54"/>
      <c r="K15" s="54"/>
      <c r="L15" s="54"/>
      <c r="M15" s="54"/>
      <c r="N15" s="54"/>
      <c r="O15" s="54"/>
      <c r="P15" s="54">
        <f>SUM(Foyer[[#This Row],[Janvier]:[Décembre]])</f>
        <v>75</v>
      </c>
      <c r="Q15" s="54"/>
    </row>
    <row r="16" spans="1:17" ht="15.95" customHeight="1" x14ac:dyDescent="0.2">
      <c r="B16" s="15"/>
      <c r="C16" s="3" t="s">
        <v>31</v>
      </c>
      <c r="D16" s="54">
        <v>35</v>
      </c>
      <c r="E16" s="54">
        <v>35</v>
      </c>
      <c r="F16" s="54">
        <v>35</v>
      </c>
      <c r="G16" s="54"/>
      <c r="H16" s="54"/>
      <c r="I16" s="54"/>
      <c r="J16" s="54"/>
      <c r="K16" s="54"/>
      <c r="L16" s="54"/>
      <c r="M16" s="54"/>
      <c r="N16" s="54"/>
      <c r="O16" s="54"/>
      <c r="P16" s="54">
        <f>SUM(Foyer[[#This Row],[Janvier]:[Décembre]])</f>
        <v>105</v>
      </c>
      <c r="Q16" s="55"/>
    </row>
    <row r="17" spans="1:17" ht="15.95" customHeight="1" x14ac:dyDescent="0.2">
      <c r="B17" s="15"/>
      <c r="C17" s="3" t="s">
        <v>32</v>
      </c>
      <c r="D17" s="54">
        <v>165</v>
      </c>
      <c r="E17" s="54">
        <v>165</v>
      </c>
      <c r="F17" s="54">
        <v>165</v>
      </c>
      <c r="G17" s="54"/>
      <c r="H17" s="54"/>
      <c r="I17" s="54"/>
      <c r="J17" s="54"/>
      <c r="K17" s="54"/>
      <c r="L17" s="54"/>
      <c r="M17" s="54"/>
      <c r="N17" s="54"/>
      <c r="O17" s="54"/>
      <c r="P17" s="54">
        <f>SUM(Foyer[[#This Row],[Janvier]:[Décembre]])</f>
        <v>495</v>
      </c>
      <c r="Q17" s="54"/>
    </row>
    <row r="18" spans="1:17" ht="21" customHeight="1" thickBot="1" x14ac:dyDescent="0.25">
      <c r="A18" s="48"/>
      <c r="B18" s="15"/>
      <c r="C18" s="37" t="s">
        <v>25</v>
      </c>
      <c r="D18" s="56">
        <f>SUBTOTAL(109,Foyer[Janvier])</f>
        <v>950</v>
      </c>
      <c r="E18" s="56">
        <f>SUBTOTAL(109,Foyer[Février])</f>
        <v>950</v>
      </c>
      <c r="F18" s="56">
        <f>SUBTOTAL(109,Foyer[Mars])</f>
        <v>1025</v>
      </c>
      <c r="G18" s="56">
        <f>SUBTOTAL(109,Foyer[Avril])</f>
        <v>0</v>
      </c>
      <c r="H18" s="56">
        <f>SUBTOTAL(109,Foyer[Mai])</f>
        <v>0</v>
      </c>
      <c r="I18" s="56">
        <f>SUBTOTAL(109,Foyer[Juin])</f>
        <v>0</v>
      </c>
      <c r="J18" s="56">
        <f>SUBTOTAL(109,Foyer[Juillet])</f>
        <v>0</v>
      </c>
      <c r="K18" s="56">
        <f>SUBTOTAL(109,Foyer[Août])</f>
        <v>0</v>
      </c>
      <c r="L18" s="56">
        <f>SUBTOTAL(109,Foyer[Septembre])</f>
        <v>0</v>
      </c>
      <c r="M18" s="56">
        <f>SUBTOTAL(109,Foyer[Octobre])</f>
        <v>0</v>
      </c>
      <c r="N18" s="56">
        <f>SUBTOTAL(109,Foyer[Novembre])</f>
        <v>0</v>
      </c>
      <c r="O18" s="56">
        <f>SUBTOTAL(109,Foyer[Décembre])</f>
        <v>0</v>
      </c>
      <c r="P18" s="56">
        <f>SUBTOTAL(109,Foyer[Année])</f>
        <v>2925</v>
      </c>
      <c r="Q18" s="38"/>
    </row>
    <row r="19" spans="1:17" ht="24" customHeight="1" thickTop="1" x14ac:dyDescent="0.2">
      <c r="D19"/>
      <c r="E19"/>
      <c r="F19"/>
      <c r="G19"/>
      <c r="H19"/>
      <c r="I19"/>
      <c r="J19"/>
      <c r="K19"/>
      <c r="L19"/>
      <c r="M19"/>
      <c r="N19"/>
      <c r="O19"/>
      <c r="P19"/>
    </row>
    <row r="20" spans="1:17" ht="15.95" customHeight="1" x14ac:dyDescent="0.2">
      <c r="A20" s="46" t="s">
        <v>11</v>
      </c>
      <c r="B20" s="22"/>
      <c r="C20" s="24" t="s">
        <v>33</v>
      </c>
      <c r="D20" s="33" t="s">
        <v>95</v>
      </c>
      <c r="E20" s="30" t="s">
        <v>97</v>
      </c>
      <c r="F20" s="33" t="s">
        <v>99</v>
      </c>
      <c r="G20" s="30" t="s">
        <v>101</v>
      </c>
      <c r="H20" s="33" t="s">
        <v>103</v>
      </c>
      <c r="I20" s="30" t="s">
        <v>105</v>
      </c>
      <c r="J20" s="33" t="s">
        <v>107</v>
      </c>
      <c r="K20" s="30" t="s">
        <v>109</v>
      </c>
      <c r="L20" s="33" t="s">
        <v>111</v>
      </c>
      <c r="M20" s="30" t="s">
        <v>113</v>
      </c>
      <c r="N20" s="33" t="s">
        <v>115</v>
      </c>
      <c r="O20" s="30" t="s">
        <v>117</v>
      </c>
      <c r="P20" s="33" t="s">
        <v>119</v>
      </c>
      <c r="Q20" s="30" t="s">
        <v>120</v>
      </c>
    </row>
    <row r="21" spans="1:17" ht="15.95" customHeight="1" x14ac:dyDescent="0.2">
      <c r="B21" s="22"/>
      <c r="C21" s="10" t="s">
        <v>34</v>
      </c>
      <c r="D21" s="57">
        <v>191</v>
      </c>
      <c r="E21" s="58">
        <v>152</v>
      </c>
      <c r="F21" s="57">
        <v>145</v>
      </c>
      <c r="G21" s="58"/>
      <c r="H21" s="57"/>
      <c r="I21" s="58"/>
      <c r="J21" s="57"/>
      <c r="K21" s="58"/>
      <c r="L21" s="57"/>
      <c r="M21" s="58"/>
      <c r="N21" s="57"/>
      <c r="O21" s="58"/>
      <c r="P21" s="57">
        <f>SUM(Quotidien[[#This Row],[Janvier]:[Décembre]])</f>
        <v>488</v>
      </c>
      <c r="Q21" s="59"/>
    </row>
    <row r="22" spans="1:17" ht="15.95" customHeight="1" x14ac:dyDescent="0.2">
      <c r="B22" s="22"/>
      <c r="C22" s="10" t="s">
        <v>35</v>
      </c>
      <c r="D22" s="57">
        <v>200</v>
      </c>
      <c r="E22" s="58">
        <v>200</v>
      </c>
      <c r="F22" s="57">
        <v>200</v>
      </c>
      <c r="G22" s="58"/>
      <c r="H22" s="57"/>
      <c r="I22" s="58"/>
      <c r="J22" s="57"/>
      <c r="K22" s="58"/>
      <c r="L22" s="57"/>
      <c r="M22" s="58"/>
      <c r="N22" s="57"/>
      <c r="O22" s="58"/>
      <c r="P22" s="57">
        <f>SUM(Quotidien[[#This Row],[Janvier]:[Décembre]])</f>
        <v>600</v>
      </c>
      <c r="Q22" s="58"/>
    </row>
    <row r="23" spans="1:17" ht="15.95" customHeight="1" x14ac:dyDescent="0.2">
      <c r="B23" s="22"/>
      <c r="C23" s="10" t="s">
        <v>36</v>
      </c>
      <c r="D23" s="57">
        <v>20</v>
      </c>
      <c r="E23" s="58"/>
      <c r="F23" s="57">
        <v>20</v>
      </c>
      <c r="G23" s="58"/>
      <c r="H23" s="57"/>
      <c r="I23" s="58"/>
      <c r="J23" s="57"/>
      <c r="K23" s="58"/>
      <c r="L23" s="57"/>
      <c r="M23" s="58"/>
      <c r="N23" s="57"/>
      <c r="O23" s="58"/>
      <c r="P23" s="57">
        <f>SUM(Quotidien[[#This Row],[Janvier]:[Décembre]])</f>
        <v>40</v>
      </c>
      <c r="Q23" s="59"/>
    </row>
    <row r="24" spans="1:17" ht="15.95" customHeight="1" x14ac:dyDescent="0.2">
      <c r="B24" s="22"/>
      <c r="C24" s="10" t="s">
        <v>37</v>
      </c>
      <c r="D24" s="57">
        <v>55</v>
      </c>
      <c r="E24" s="58"/>
      <c r="F24" s="57">
        <v>56</v>
      </c>
      <c r="G24" s="58"/>
      <c r="H24" s="57"/>
      <c r="I24" s="58"/>
      <c r="J24" s="57"/>
      <c r="K24" s="58"/>
      <c r="L24" s="57"/>
      <c r="M24" s="58"/>
      <c r="N24" s="57"/>
      <c r="O24" s="58"/>
      <c r="P24" s="57">
        <f>SUM(Quotidien[[#This Row],[Janvier]:[Décembre]])</f>
        <v>111</v>
      </c>
      <c r="Q24" s="58"/>
    </row>
    <row r="25" spans="1:17" ht="15.95" customHeight="1" x14ac:dyDescent="0.2">
      <c r="B25" s="22"/>
      <c r="C25" s="10" t="s">
        <v>38</v>
      </c>
      <c r="D25" s="57">
        <v>25</v>
      </c>
      <c r="E25" s="58">
        <v>17</v>
      </c>
      <c r="F25" s="57">
        <v>7</v>
      </c>
      <c r="G25" s="58"/>
      <c r="H25" s="57"/>
      <c r="I25" s="58"/>
      <c r="J25" s="57"/>
      <c r="K25" s="58"/>
      <c r="L25" s="57"/>
      <c r="M25" s="58"/>
      <c r="N25" s="57"/>
      <c r="O25" s="58"/>
      <c r="P25" s="57">
        <f>SUM(Quotidien[[#This Row],[Janvier]:[Décembre]])</f>
        <v>49</v>
      </c>
      <c r="Q25" s="59"/>
    </row>
    <row r="26" spans="1:17" ht="15.95" customHeight="1" x14ac:dyDescent="0.2">
      <c r="A26" s="48"/>
      <c r="B26" s="22"/>
      <c r="C26" s="10" t="s">
        <v>39</v>
      </c>
      <c r="D26" s="57">
        <v>10</v>
      </c>
      <c r="E26" s="58">
        <v>5</v>
      </c>
      <c r="F26" s="57">
        <v>7</v>
      </c>
      <c r="G26" s="58"/>
      <c r="H26" s="57"/>
      <c r="I26" s="58"/>
      <c r="J26" s="57"/>
      <c r="K26" s="58"/>
      <c r="L26" s="57"/>
      <c r="M26" s="58"/>
      <c r="N26" s="57"/>
      <c r="O26" s="58"/>
      <c r="P26" s="57">
        <f>SUM(Quotidien[[#This Row],[Janvier]:[Décembre]])</f>
        <v>22</v>
      </c>
      <c r="Q26" s="58"/>
    </row>
    <row r="27" spans="1:17" ht="21" customHeight="1" thickBot="1" x14ac:dyDescent="0.25">
      <c r="B27" s="22"/>
      <c r="C27" s="39" t="s">
        <v>25</v>
      </c>
      <c r="D27" s="60">
        <f>SUBTOTAL(109,Quotidien[Janvier])</f>
        <v>501</v>
      </c>
      <c r="E27" s="61">
        <f>SUBTOTAL(109,Quotidien[Février])</f>
        <v>374</v>
      </c>
      <c r="F27" s="60">
        <f>SUBTOTAL(109,Quotidien[Mars])</f>
        <v>435</v>
      </c>
      <c r="G27" s="61">
        <f>SUBTOTAL(109,Quotidien[Avril])</f>
        <v>0</v>
      </c>
      <c r="H27" s="60">
        <f>SUBTOTAL(109,Quotidien[Mai])</f>
        <v>0</v>
      </c>
      <c r="I27" s="61">
        <f>SUBTOTAL(109,Quotidien[Juin])</f>
        <v>0</v>
      </c>
      <c r="J27" s="60">
        <f>SUBTOTAL(109,Quotidien[Juillet])</f>
        <v>0</v>
      </c>
      <c r="K27" s="61">
        <f>SUBTOTAL(109,Quotidien[Août])</f>
        <v>0</v>
      </c>
      <c r="L27" s="60">
        <f>SUBTOTAL(109,Quotidien[Septembre])</f>
        <v>0</v>
      </c>
      <c r="M27" s="61">
        <f>SUBTOTAL(109,Quotidien[Octobre])</f>
        <v>0</v>
      </c>
      <c r="N27" s="60">
        <f>SUBTOTAL(109,Quotidien[Novembre])</f>
        <v>0</v>
      </c>
      <c r="O27" s="61">
        <f>SUBTOTAL(109,Quotidien[Décembre])</f>
        <v>0</v>
      </c>
      <c r="P27" s="60">
        <f>SUBTOTAL(109,Quotidien[Année])</f>
        <v>1310</v>
      </c>
      <c r="Q27" s="40"/>
    </row>
    <row r="28" spans="1:17" ht="20.100000000000001" customHeight="1" thickTop="1" x14ac:dyDescent="0.2">
      <c r="C28" s="69"/>
      <c r="D28" s="69"/>
      <c r="E28" s="69"/>
      <c r="F28" s="69"/>
      <c r="G28" s="69"/>
      <c r="H28" s="69"/>
      <c r="I28" s="69"/>
      <c r="J28" s="69"/>
      <c r="K28" s="69"/>
      <c r="L28" s="69"/>
      <c r="M28" s="69"/>
      <c r="N28" s="69"/>
      <c r="O28" s="69"/>
      <c r="P28" s="69"/>
      <c r="Q28" s="69"/>
    </row>
    <row r="29" spans="1:17" ht="15.95" customHeight="1" x14ac:dyDescent="0.2">
      <c r="A29" s="47" t="s">
        <v>124</v>
      </c>
      <c r="B29" s="22"/>
      <c r="C29" s="9" t="s">
        <v>40</v>
      </c>
      <c r="D29" s="36" t="s">
        <v>95</v>
      </c>
      <c r="E29" s="30" t="s">
        <v>97</v>
      </c>
      <c r="F29" s="36" t="s">
        <v>99</v>
      </c>
      <c r="G29" s="30" t="s">
        <v>101</v>
      </c>
      <c r="H29" s="36" t="s">
        <v>103</v>
      </c>
      <c r="I29" s="30" t="s">
        <v>105</v>
      </c>
      <c r="J29" s="36" t="s">
        <v>107</v>
      </c>
      <c r="K29" s="30" t="s">
        <v>109</v>
      </c>
      <c r="L29" s="36" t="s">
        <v>111</v>
      </c>
      <c r="M29" s="30" t="s">
        <v>113</v>
      </c>
      <c r="N29" s="36" t="s">
        <v>115</v>
      </c>
      <c r="O29" s="30" t="s">
        <v>117</v>
      </c>
      <c r="P29" s="36" t="s">
        <v>119</v>
      </c>
      <c r="Q29" s="30" t="s">
        <v>120</v>
      </c>
    </row>
    <row r="30" spans="1:17" ht="15.95" customHeight="1" x14ac:dyDescent="0.2">
      <c r="B30" s="22"/>
      <c r="C30" s="2" t="s">
        <v>41</v>
      </c>
      <c r="D30" s="57">
        <v>195</v>
      </c>
      <c r="E30" s="62">
        <v>125</v>
      </c>
      <c r="F30" s="57">
        <v>171</v>
      </c>
      <c r="G30" s="62"/>
      <c r="H30" s="57"/>
      <c r="I30" s="62"/>
      <c r="J30" s="57"/>
      <c r="K30" s="62"/>
      <c r="L30" s="57"/>
      <c r="M30" s="62"/>
      <c r="N30" s="57"/>
      <c r="O30" s="62"/>
      <c r="P30" s="57">
        <f>SUM(Transports[[#This Row],[Janvier]:[Décembre]])</f>
        <v>491</v>
      </c>
      <c r="Q30" s="59"/>
    </row>
    <row r="31" spans="1:17" ht="15.95" customHeight="1" x14ac:dyDescent="0.2">
      <c r="B31" s="22"/>
      <c r="C31" s="2" t="s">
        <v>29</v>
      </c>
      <c r="D31" s="57">
        <v>165</v>
      </c>
      <c r="E31" s="62">
        <v>165</v>
      </c>
      <c r="F31" s="57">
        <v>165</v>
      </c>
      <c r="G31" s="62"/>
      <c r="H31" s="57"/>
      <c r="I31" s="62"/>
      <c r="J31" s="57"/>
      <c r="K31" s="62"/>
      <c r="L31" s="57"/>
      <c r="M31" s="62"/>
      <c r="N31" s="57"/>
      <c r="O31" s="62"/>
      <c r="P31" s="57">
        <f>SUM(Transports[[#This Row],[Janvier]:[Décembre]])</f>
        <v>495</v>
      </c>
      <c r="Q31" s="62"/>
    </row>
    <row r="32" spans="1:17" ht="15.95" customHeight="1" x14ac:dyDescent="0.2">
      <c r="B32" s="22"/>
      <c r="C32" s="2" t="s">
        <v>30</v>
      </c>
      <c r="D32" s="57"/>
      <c r="E32" s="62"/>
      <c r="F32" s="57"/>
      <c r="G32" s="62"/>
      <c r="H32" s="57"/>
      <c r="I32" s="62"/>
      <c r="J32" s="57"/>
      <c r="K32" s="62"/>
      <c r="L32" s="57"/>
      <c r="M32" s="62"/>
      <c r="N32" s="57"/>
      <c r="O32" s="62"/>
      <c r="P32" s="57">
        <f>SUM(Transports[[#This Row],[Janvier]:[Décembre]])</f>
        <v>0</v>
      </c>
      <c r="Q32" s="59"/>
    </row>
    <row r="33" spans="1:17" ht="15.95" customHeight="1" x14ac:dyDescent="0.2">
      <c r="B33" s="22"/>
      <c r="C33" s="2" t="s">
        <v>42</v>
      </c>
      <c r="D33" s="57">
        <v>10</v>
      </c>
      <c r="E33" s="62"/>
      <c r="F33" s="57"/>
      <c r="G33" s="62"/>
      <c r="H33" s="57"/>
      <c r="I33" s="62"/>
      <c r="J33" s="57"/>
      <c r="K33" s="62"/>
      <c r="L33" s="57"/>
      <c r="M33" s="62"/>
      <c r="N33" s="57"/>
      <c r="O33" s="62"/>
      <c r="P33" s="57">
        <f>SUM(Transports[[#This Row],[Janvier]:[Décembre]])</f>
        <v>10</v>
      </c>
      <c r="Q33" s="62"/>
    </row>
    <row r="34" spans="1:17" ht="15.95" customHeight="1" x14ac:dyDescent="0.2">
      <c r="A34" s="48"/>
      <c r="B34" s="22"/>
      <c r="C34" s="2" t="s">
        <v>43</v>
      </c>
      <c r="D34" s="57">
        <v>10</v>
      </c>
      <c r="E34" s="62">
        <v>40</v>
      </c>
      <c r="F34" s="57">
        <v>20</v>
      </c>
      <c r="G34" s="62"/>
      <c r="H34" s="57"/>
      <c r="I34" s="62"/>
      <c r="J34" s="57"/>
      <c r="K34" s="62"/>
      <c r="L34" s="57"/>
      <c r="M34" s="62"/>
      <c r="N34" s="57"/>
      <c r="O34" s="62"/>
      <c r="P34" s="57">
        <f>SUM(Transports[[#This Row],[Janvier]:[Décembre]])</f>
        <v>70</v>
      </c>
      <c r="Q34" s="59"/>
    </row>
    <row r="35" spans="1:17" ht="15.95" customHeight="1" x14ac:dyDescent="0.2">
      <c r="B35" s="22"/>
      <c r="C35" s="2" t="s">
        <v>44</v>
      </c>
      <c r="D35" s="57">
        <v>20</v>
      </c>
      <c r="E35" s="62">
        <v>40</v>
      </c>
      <c r="F35" s="57">
        <v>30</v>
      </c>
      <c r="G35" s="62"/>
      <c r="H35" s="57"/>
      <c r="I35" s="62"/>
      <c r="J35" s="57"/>
      <c r="K35" s="62"/>
      <c r="L35" s="57"/>
      <c r="M35" s="62"/>
      <c r="N35" s="57"/>
      <c r="O35" s="62"/>
      <c r="P35" s="57">
        <f>SUM(Transports[[#This Row],[Janvier]:[Décembre]])</f>
        <v>90</v>
      </c>
      <c r="Q35" s="62"/>
    </row>
    <row r="36" spans="1:17" ht="21" customHeight="1" thickBot="1" x14ac:dyDescent="0.25">
      <c r="B36" s="22"/>
      <c r="C36" s="39" t="s">
        <v>25</v>
      </c>
      <c r="D36" s="60">
        <f>SUBTOTAL(109,Transports[Janvier])</f>
        <v>400</v>
      </c>
      <c r="E36" s="61">
        <f>SUBTOTAL(109,Transports[Février])</f>
        <v>370</v>
      </c>
      <c r="F36" s="60">
        <f>SUBTOTAL(109,Transports[Mars])</f>
        <v>386</v>
      </c>
      <c r="G36" s="61">
        <f>SUBTOTAL(109,Transports[Avril])</f>
        <v>0</v>
      </c>
      <c r="H36" s="60">
        <f>SUBTOTAL(109,Transports[Mai])</f>
        <v>0</v>
      </c>
      <c r="I36" s="61">
        <f>SUBTOTAL(109,Transports[Juin])</f>
        <v>0</v>
      </c>
      <c r="J36" s="60">
        <f>SUBTOTAL(109,Transports[Juillet])</f>
        <v>0</v>
      </c>
      <c r="K36" s="61">
        <f>SUBTOTAL(109,Transports[Août])</f>
        <v>0</v>
      </c>
      <c r="L36" s="60">
        <f>SUBTOTAL(109,Transports[Septembre])</f>
        <v>0</v>
      </c>
      <c r="M36" s="61">
        <f>SUBTOTAL(109,Transports[Octobre])</f>
        <v>0</v>
      </c>
      <c r="N36" s="60">
        <f>SUBTOTAL(109,Transports[Novembre])</f>
        <v>0</v>
      </c>
      <c r="O36" s="61">
        <f>SUBTOTAL(109,Transports[Décembre])</f>
        <v>0</v>
      </c>
      <c r="P36" s="60">
        <f>SUBTOTAL(109,Transports[Année])</f>
        <v>1156</v>
      </c>
      <c r="Q36" s="40"/>
    </row>
    <row r="37" spans="1:17" ht="20.100000000000001" customHeight="1" thickTop="1" x14ac:dyDescent="0.2">
      <c r="C37" s="69"/>
      <c r="D37" s="69"/>
      <c r="E37" s="69"/>
      <c r="F37" s="69"/>
      <c r="G37" s="69"/>
      <c r="H37" s="69"/>
      <c r="I37" s="69"/>
      <c r="J37" s="69"/>
      <c r="K37" s="69"/>
      <c r="L37" s="69"/>
      <c r="M37" s="69"/>
      <c r="N37" s="69"/>
      <c r="O37" s="69"/>
      <c r="P37" s="69"/>
      <c r="Q37" s="69"/>
    </row>
    <row r="38" spans="1:17" ht="21" customHeight="1" x14ac:dyDescent="0.2">
      <c r="A38" s="46" t="s">
        <v>12</v>
      </c>
      <c r="B38" s="23"/>
      <c r="C38" s="12" t="s">
        <v>45</v>
      </c>
      <c r="D38" s="35" t="s">
        <v>95</v>
      </c>
      <c r="E38" s="30" t="s">
        <v>97</v>
      </c>
      <c r="F38" s="35" t="s">
        <v>99</v>
      </c>
      <c r="G38" s="30" t="s">
        <v>101</v>
      </c>
      <c r="H38" s="35" t="s">
        <v>103</v>
      </c>
      <c r="I38" s="30" t="s">
        <v>105</v>
      </c>
      <c r="J38" s="35" t="s">
        <v>107</v>
      </c>
      <c r="K38" s="30" t="s">
        <v>109</v>
      </c>
      <c r="L38" s="35" t="s">
        <v>111</v>
      </c>
      <c r="M38" s="30" t="s">
        <v>113</v>
      </c>
      <c r="N38" s="35" t="s">
        <v>115</v>
      </c>
      <c r="O38" s="30" t="s">
        <v>117</v>
      </c>
      <c r="P38" s="35" t="s">
        <v>119</v>
      </c>
      <c r="Q38" s="30" t="s">
        <v>120</v>
      </c>
    </row>
    <row r="39" spans="1:17" ht="15.95" customHeight="1" x14ac:dyDescent="0.2">
      <c r="B39" s="23"/>
      <c r="C39" s="2" t="s">
        <v>46</v>
      </c>
      <c r="D39" s="63">
        <v>85</v>
      </c>
      <c r="E39" s="62">
        <v>85</v>
      </c>
      <c r="F39" s="63">
        <v>85</v>
      </c>
      <c r="G39" s="62"/>
      <c r="H39" s="63"/>
      <c r="I39" s="62"/>
      <c r="J39" s="63"/>
      <c r="K39" s="62"/>
      <c r="L39" s="63"/>
      <c r="M39" s="62"/>
      <c r="N39" s="63"/>
      <c r="O39" s="62"/>
      <c r="P39" s="63">
        <f>SUM(Loisirs[[#This Row],[Janvier]:[Décembre]])</f>
        <v>255</v>
      </c>
      <c r="Q39" s="59"/>
    </row>
    <row r="40" spans="1:17" ht="15.95" customHeight="1" x14ac:dyDescent="0.2">
      <c r="A40" s="48"/>
      <c r="B40" s="23"/>
      <c r="C40" s="2" t="s">
        <v>47</v>
      </c>
      <c r="D40" s="63">
        <v>7</v>
      </c>
      <c r="E40" s="62">
        <v>8</v>
      </c>
      <c r="F40" s="63">
        <v>9</v>
      </c>
      <c r="G40" s="62"/>
      <c r="H40" s="63"/>
      <c r="I40" s="62"/>
      <c r="J40" s="63"/>
      <c r="K40" s="62"/>
      <c r="L40" s="63"/>
      <c r="M40" s="62"/>
      <c r="N40" s="63"/>
      <c r="O40" s="62"/>
      <c r="P40" s="63">
        <f>SUM(Loisirs[[#This Row],[Janvier]:[Décembre]])</f>
        <v>24</v>
      </c>
      <c r="Q40" s="62"/>
    </row>
    <row r="41" spans="1:17" ht="15.95" customHeight="1" x14ac:dyDescent="0.2">
      <c r="B41" s="23"/>
      <c r="C41" s="2" t="s">
        <v>48</v>
      </c>
      <c r="D41" s="63">
        <v>9</v>
      </c>
      <c r="E41" s="62">
        <v>5</v>
      </c>
      <c r="F41" s="63">
        <v>9</v>
      </c>
      <c r="G41" s="62"/>
      <c r="H41" s="63"/>
      <c r="I41" s="62"/>
      <c r="J41" s="63"/>
      <c r="K41" s="62"/>
      <c r="L41" s="63"/>
      <c r="M41" s="62"/>
      <c r="N41" s="63"/>
      <c r="O41" s="62"/>
      <c r="P41" s="63">
        <f>SUM(Loisirs[[#This Row],[Janvier]:[Décembre]])</f>
        <v>23</v>
      </c>
      <c r="Q41" s="59"/>
    </row>
    <row r="42" spans="1:17" ht="15.95" customHeight="1" x14ac:dyDescent="0.2">
      <c r="B42" s="23"/>
      <c r="C42" s="2" t="s">
        <v>49</v>
      </c>
      <c r="D42" s="63">
        <v>5</v>
      </c>
      <c r="E42" s="62">
        <v>5</v>
      </c>
      <c r="F42" s="63">
        <v>7</v>
      </c>
      <c r="G42" s="62"/>
      <c r="H42" s="63"/>
      <c r="I42" s="62"/>
      <c r="J42" s="63"/>
      <c r="K42" s="62"/>
      <c r="L42" s="63"/>
      <c r="M42" s="62"/>
      <c r="N42" s="63"/>
      <c r="O42" s="62"/>
      <c r="P42" s="63">
        <f>SUM(Loisirs[[#This Row],[Janvier]:[Décembre]])</f>
        <v>17</v>
      </c>
      <c r="Q42" s="62"/>
    </row>
    <row r="43" spans="1:17" ht="21" customHeight="1" thickBot="1" x14ac:dyDescent="0.25">
      <c r="C43" s="41" t="s">
        <v>25</v>
      </c>
      <c r="D43" s="64">
        <f>SUBTOTAL(109,Loisirs[Janvier])</f>
        <v>106</v>
      </c>
      <c r="E43" s="61">
        <f>SUBTOTAL(109,Loisirs[Février])</f>
        <v>103</v>
      </c>
      <c r="F43" s="64">
        <f>SUBTOTAL(109,Loisirs[Mars])</f>
        <v>110</v>
      </c>
      <c r="G43" s="61">
        <f>SUBTOTAL(109,Loisirs[Avril])</f>
        <v>0</v>
      </c>
      <c r="H43" s="64">
        <f>SUBTOTAL(109,Loisirs[Mai])</f>
        <v>0</v>
      </c>
      <c r="I43" s="61">
        <f>SUBTOTAL(109,Loisirs[Juin])</f>
        <v>0</v>
      </c>
      <c r="J43" s="64">
        <f>SUBTOTAL(109,Loisirs[Juillet])</f>
        <v>0</v>
      </c>
      <c r="K43" s="61">
        <f>SUBTOTAL(109,Loisirs[Août])</f>
        <v>0</v>
      </c>
      <c r="L43" s="64">
        <f>SUBTOTAL(109,Loisirs[Septembre])</f>
        <v>0</v>
      </c>
      <c r="M43" s="61">
        <f>SUBTOTAL(109,Loisirs[Octobre])</f>
        <v>0</v>
      </c>
      <c r="N43" s="64">
        <f>SUBTOTAL(109,Loisirs[Novembre])</f>
        <v>0</v>
      </c>
      <c r="O43" s="61">
        <f>SUBTOTAL(109,Loisirs[Décembre])</f>
        <v>0</v>
      </c>
      <c r="P43" s="64">
        <f>SUBTOTAL(109,Loisirs[Année])</f>
        <v>319</v>
      </c>
      <c r="Q43" s="40"/>
    </row>
    <row r="44" spans="1:17" ht="20.100000000000001" customHeight="1" thickTop="1" x14ac:dyDescent="0.2">
      <c r="C44" s="69"/>
      <c r="D44" s="69"/>
      <c r="E44" s="69"/>
      <c r="F44" s="69"/>
      <c r="G44" s="69"/>
      <c r="H44" s="69"/>
      <c r="I44" s="69"/>
      <c r="J44" s="69"/>
      <c r="K44" s="69"/>
      <c r="L44" s="69"/>
      <c r="M44" s="69"/>
      <c r="N44" s="69"/>
      <c r="O44" s="69"/>
      <c r="P44" s="69"/>
      <c r="Q44" s="69"/>
    </row>
    <row r="45" spans="1:17" ht="21" customHeight="1" x14ac:dyDescent="0.2">
      <c r="A45" s="46" t="s">
        <v>13</v>
      </c>
      <c r="B45" s="23"/>
      <c r="C45" s="12" t="s">
        <v>50</v>
      </c>
      <c r="D45" s="35" t="s">
        <v>95</v>
      </c>
      <c r="E45" s="30" t="s">
        <v>97</v>
      </c>
      <c r="F45" s="35" t="s">
        <v>99</v>
      </c>
      <c r="G45" s="30" t="s">
        <v>101</v>
      </c>
      <c r="H45" s="35" t="s">
        <v>103</v>
      </c>
      <c r="I45" s="30" t="s">
        <v>105</v>
      </c>
      <c r="J45" s="35" t="s">
        <v>107</v>
      </c>
      <c r="K45" s="30" t="s">
        <v>109</v>
      </c>
      <c r="L45" s="35" t="s">
        <v>111</v>
      </c>
      <c r="M45" s="30" t="s">
        <v>113</v>
      </c>
      <c r="N45" s="35" t="s">
        <v>115</v>
      </c>
      <c r="O45" s="30" t="s">
        <v>117</v>
      </c>
      <c r="P45" s="35" t="s">
        <v>119</v>
      </c>
      <c r="Q45" s="30" t="s">
        <v>120</v>
      </c>
    </row>
    <row r="46" spans="1:17" ht="15.95" customHeight="1" x14ac:dyDescent="0.2">
      <c r="B46" s="23"/>
      <c r="C46" s="2" t="s">
        <v>51</v>
      </c>
      <c r="D46" s="63">
        <v>50</v>
      </c>
      <c r="E46" s="62">
        <v>50</v>
      </c>
      <c r="F46" s="63">
        <v>50</v>
      </c>
      <c r="G46" s="62"/>
      <c r="H46" s="63"/>
      <c r="I46" s="62"/>
      <c r="J46" s="63"/>
      <c r="K46" s="62"/>
      <c r="L46" s="63"/>
      <c r="M46" s="62"/>
      <c r="N46" s="63"/>
      <c r="O46" s="62"/>
      <c r="P46" s="63">
        <f>SUM(Santé[[#This Row],[Janvier]:[Décembre]])</f>
        <v>150</v>
      </c>
      <c r="Q46" s="62"/>
    </row>
    <row r="47" spans="1:17" ht="15.95" customHeight="1" x14ac:dyDescent="0.2">
      <c r="B47" s="23"/>
      <c r="C47" s="2" t="s">
        <v>29</v>
      </c>
      <c r="D47" s="63">
        <v>225</v>
      </c>
      <c r="E47" s="62">
        <v>225</v>
      </c>
      <c r="F47" s="63">
        <v>225</v>
      </c>
      <c r="G47" s="62"/>
      <c r="H47" s="63"/>
      <c r="I47" s="62"/>
      <c r="J47" s="63"/>
      <c r="K47" s="62"/>
      <c r="L47" s="63"/>
      <c r="M47" s="62"/>
      <c r="N47" s="63"/>
      <c r="O47" s="62"/>
      <c r="P47" s="63">
        <f>SUM(Santé[[#This Row],[Janvier]:[Décembre]])</f>
        <v>675</v>
      </c>
      <c r="Q47" s="59"/>
    </row>
    <row r="48" spans="1:17" ht="15.95" customHeight="1" x14ac:dyDescent="0.2">
      <c r="B48" s="23"/>
      <c r="C48" s="2" t="s">
        <v>52</v>
      </c>
      <c r="D48" s="63">
        <v>100</v>
      </c>
      <c r="E48" s="62">
        <v>100</v>
      </c>
      <c r="F48" s="63">
        <v>100</v>
      </c>
      <c r="G48" s="62"/>
      <c r="H48" s="63"/>
      <c r="I48" s="62"/>
      <c r="J48" s="63"/>
      <c r="K48" s="62"/>
      <c r="L48" s="63"/>
      <c r="M48" s="62"/>
      <c r="N48" s="63"/>
      <c r="O48" s="62"/>
      <c r="P48" s="63">
        <f>SUM(Santé[[#This Row],[Janvier]:[Décembre]])</f>
        <v>300</v>
      </c>
      <c r="Q48" s="62"/>
    </row>
    <row r="49" spans="1:17" ht="15.95" customHeight="1" x14ac:dyDescent="0.2">
      <c r="A49" s="48"/>
      <c r="C49" s="25" t="s">
        <v>53</v>
      </c>
      <c r="D49" s="63">
        <v>6</v>
      </c>
      <c r="E49" s="62">
        <v>2</v>
      </c>
      <c r="F49" s="63">
        <v>9</v>
      </c>
      <c r="G49" s="62"/>
      <c r="H49" s="63"/>
      <c r="I49" s="62"/>
      <c r="J49" s="63"/>
      <c r="K49" s="62"/>
      <c r="L49" s="63"/>
      <c r="M49" s="62"/>
      <c r="N49" s="63"/>
      <c r="O49" s="62"/>
      <c r="P49" s="63">
        <f>SUM(Santé[[#This Row],[Janvier]:[Décembre]])</f>
        <v>17</v>
      </c>
      <c r="Q49" s="59"/>
    </row>
    <row r="50" spans="1:17" ht="15.95" customHeight="1" x14ac:dyDescent="0.2">
      <c r="B50" s="23"/>
      <c r="C50" s="25" t="s">
        <v>54</v>
      </c>
      <c r="D50" s="63">
        <v>20</v>
      </c>
      <c r="E50" s="62"/>
      <c r="F50" s="63">
        <v>41</v>
      </c>
      <c r="G50" s="62"/>
      <c r="H50" s="63"/>
      <c r="I50" s="62"/>
      <c r="J50" s="63"/>
      <c r="K50" s="62"/>
      <c r="L50" s="63"/>
      <c r="M50" s="62"/>
      <c r="N50" s="63"/>
      <c r="O50" s="62"/>
      <c r="P50" s="63">
        <f>SUM(Santé[[#This Row],[Janvier]:[Décembre]])</f>
        <v>61</v>
      </c>
      <c r="Q50" s="62"/>
    </row>
    <row r="51" spans="1:17" ht="15.95" customHeight="1" x14ac:dyDescent="0.2">
      <c r="B51" s="23"/>
      <c r="C51" s="2" t="s">
        <v>55</v>
      </c>
      <c r="D51" s="63">
        <v>4</v>
      </c>
      <c r="E51" s="62"/>
      <c r="F51" s="63">
        <v>25</v>
      </c>
      <c r="G51" s="62"/>
      <c r="H51" s="63"/>
      <c r="I51" s="62"/>
      <c r="J51" s="63"/>
      <c r="K51" s="62"/>
      <c r="L51" s="63"/>
      <c r="M51" s="62"/>
      <c r="N51" s="63"/>
      <c r="O51" s="62"/>
      <c r="P51" s="63">
        <f>SUM(Santé[[#This Row],[Janvier]:[Décembre]])</f>
        <v>29</v>
      </c>
      <c r="Q51" s="59"/>
    </row>
    <row r="52" spans="1:17" ht="15.95" customHeight="1" x14ac:dyDescent="0.2">
      <c r="B52" s="23"/>
      <c r="C52" s="2" t="s">
        <v>56</v>
      </c>
      <c r="D52" s="63">
        <v>55</v>
      </c>
      <c r="E52" s="62">
        <v>55</v>
      </c>
      <c r="F52" s="63">
        <v>55</v>
      </c>
      <c r="G52" s="62"/>
      <c r="H52" s="63"/>
      <c r="I52" s="62"/>
      <c r="J52" s="63"/>
      <c r="K52" s="62"/>
      <c r="L52" s="63"/>
      <c r="M52" s="62"/>
      <c r="N52" s="63"/>
      <c r="O52" s="62"/>
      <c r="P52" s="63">
        <f>SUM(Santé[[#This Row],[Janvier]:[Décembre]])</f>
        <v>165</v>
      </c>
      <c r="Q52" s="62"/>
    </row>
    <row r="53" spans="1:17" ht="21" customHeight="1" thickBot="1" x14ac:dyDescent="0.25">
      <c r="B53" s="23"/>
      <c r="C53" s="41" t="s">
        <v>25</v>
      </c>
      <c r="D53" s="64">
        <f>SUBTOTAL(109,Santé[Janvier])</f>
        <v>460</v>
      </c>
      <c r="E53" s="61">
        <f>SUBTOTAL(109,Santé[Février])</f>
        <v>432</v>
      </c>
      <c r="F53" s="64">
        <f>SUBTOTAL(109,Santé[Mars])</f>
        <v>505</v>
      </c>
      <c r="G53" s="61">
        <f>SUBTOTAL(109,Santé[Avril])</f>
        <v>0</v>
      </c>
      <c r="H53" s="64">
        <f>SUBTOTAL(109,Santé[Mai])</f>
        <v>0</v>
      </c>
      <c r="I53" s="61">
        <f>SUBTOTAL(109,Santé[Juin])</f>
        <v>0</v>
      </c>
      <c r="J53" s="64">
        <f>SUBTOTAL(109,Santé[Juillet])</f>
        <v>0</v>
      </c>
      <c r="K53" s="61">
        <f>SUBTOTAL(109,Santé[Août])</f>
        <v>0</v>
      </c>
      <c r="L53" s="64">
        <f>SUBTOTAL(109,Santé[Septembre])</f>
        <v>0</v>
      </c>
      <c r="M53" s="61">
        <f>SUBTOTAL(109,Santé[Octobre])</f>
        <v>0</v>
      </c>
      <c r="N53" s="64">
        <f>SUBTOTAL(109,Santé[Novembre])</f>
        <v>0</v>
      </c>
      <c r="O53" s="61">
        <f>SUBTOTAL(109,Santé[Décembre])</f>
        <v>0</v>
      </c>
      <c r="P53" s="64">
        <f>SUBTOTAL(109,Santé[Année])</f>
        <v>1397</v>
      </c>
      <c r="Q53" s="40"/>
    </row>
    <row r="54" spans="1:17" ht="20.100000000000001" customHeight="1" thickTop="1" x14ac:dyDescent="0.2">
      <c r="C54" s="69"/>
      <c r="D54" s="69"/>
      <c r="E54" s="69"/>
      <c r="F54" s="69"/>
      <c r="G54" s="69"/>
      <c r="H54" s="69"/>
      <c r="I54" s="69"/>
      <c r="J54" s="69"/>
      <c r="K54" s="69"/>
      <c r="L54" s="69"/>
      <c r="M54" s="69"/>
      <c r="N54" s="69"/>
      <c r="O54" s="69"/>
      <c r="P54" s="69"/>
      <c r="Q54" s="69"/>
    </row>
    <row r="55" spans="1:17" ht="21" customHeight="1" x14ac:dyDescent="0.2">
      <c r="A55" s="46" t="s">
        <v>14</v>
      </c>
      <c r="B55" s="22"/>
      <c r="C55" s="9" t="s">
        <v>57</v>
      </c>
      <c r="D55" s="34" t="s">
        <v>95</v>
      </c>
      <c r="E55" s="30" t="s">
        <v>97</v>
      </c>
      <c r="F55" s="34" t="s">
        <v>99</v>
      </c>
      <c r="G55" s="30" t="s">
        <v>101</v>
      </c>
      <c r="H55" s="34" t="s">
        <v>103</v>
      </c>
      <c r="I55" s="30" t="s">
        <v>105</v>
      </c>
      <c r="J55" s="34" t="s">
        <v>107</v>
      </c>
      <c r="K55" s="30" t="s">
        <v>109</v>
      </c>
      <c r="L55" s="34" t="s">
        <v>111</v>
      </c>
      <c r="M55" s="30" t="s">
        <v>113</v>
      </c>
      <c r="N55" s="34" t="s">
        <v>115</v>
      </c>
      <c r="O55" s="30" t="s">
        <v>117</v>
      </c>
      <c r="P55" s="34" t="s">
        <v>119</v>
      </c>
      <c r="Q55" s="30" t="s">
        <v>120</v>
      </c>
    </row>
    <row r="56" spans="1:17" ht="15.95" customHeight="1" x14ac:dyDescent="0.2">
      <c r="B56" s="22"/>
      <c r="C56" s="2" t="s">
        <v>58</v>
      </c>
      <c r="D56" s="57"/>
      <c r="E56" s="62">
        <v>485</v>
      </c>
      <c r="F56" s="57"/>
      <c r="G56" s="62"/>
      <c r="H56" s="57"/>
      <c r="I56" s="62"/>
      <c r="J56" s="57"/>
      <c r="K56" s="62"/>
      <c r="L56" s="57"/>
      <c r="M56" s="62"/>
      <c r="N56" s="57"/>
      <c r="O56" s="62"/>
      <c r="P56" s="57">
        <f>SUM(Vacances[[#This Row],[Janvier]:[Décembre]])</f>
        <v>485</v>
      </c>
      <c r="Q56" s="59"/>
    </row>
    <row r="57" spans="1:17" ht="15.95" customHeight="1" x14ac:dyDescent="0.2">
      <c r="C57" s="26" t="s">
        <v>59</v>
      </c>
      <c r="D57" s="57"/>
      <c r="E57" s="62">
        <v>245</v>
      </c>
      <c r="F57" s="57"/>
      <c r="G57" s="62"/>
      <c r="H57" s="57"/>
      <c r="I57" s="62"/>
      <c r="J57" s="57"/>
      <c r="K57" s="62"/>
      <c r="L57" s="57"/>
      <c r="M57" s="62"/>
      <c r="N57" s="57"/>
      <c r="O57" s="62"/>
      <c r="P57" s="57">
        <f>SUM(Vacances[[#This Row],[Janvier]:[Décembre]])</f>
        <v>245</v>
      </c>
      <c r="Q57" s="62"/>
    </row>
    <row r="58" spans="1:17" ht="15.95" customHeight="1" x14ac:dyDescent="0.2">
      <c r="B58" s="22"/>
      <c r="C58" s="2" t="s">
        <v>60</v>
      </c>
      <c r="D58" s="57"/>
      <c r="E58" s="62">
        <v>95</v>
      </c>
      <c r="F58" s="57"/>
      <c r="G58" s="62"/>
      <c r="H58" s="57"/>
      <c r="I58" s="62"/>
      <c r="J58" s="57"/>
      <c r="K58" s="62"/>
      <c r="L58" s="57"/>
      <c r="M58" s="62"/>
      <c r="N58" s="57"/>
      <c r="O58" s="62"/>
      <c r="P58" s="57">
        <f>SUM(Vacances[[#This Row],[Janvier]:[Décembre]])</f>
        <v>95</v>
      </c>
      <c r="Q58" s="59"/>
    </row>
    <row r="59" spans="1:17" ht="15.95" customHeight="1" x14ac:dyDescent="0.2">
      <c r="B59" s="22"/>
      <c r="C59" s="2" t="s">
        <v>61</v>
      </c>
      <c r="D59" s="57"/>
      <c r="E59" s="62"/>
      <c r="F59" s="57"/>
      <c r="G59" s="62"/>
      <c r="H59" s="57"/>
      <c r="I59" s="62"/>
      <c r="J59" s="57"/>
      <c r="K59" s="62"/>
      <c r="L59" s="57"/>
      <c r="M59" s="62"/>
      <c r="N59" s="57"/>
      <c r="O59" s="62"/>
      <c r="P59" s="57">
        <f>SUM(Vacances[[#This Row],[Janvier]:[Décembre]])</f>
        <v>0</v>
      </c>
      <c r="Q59" s="62"/>
    </row>
    <row r="60" spans="1:17" ht="15.95" customHeight="1" x14ac:dyDescent="0.2">
      <c r="B60" s="22"/>
      <c r="C60" s="2" t="s">
        <v>62</v>
      </c>
      <c r="D60" s="57"/>
      <c r="E60" s="62"/>
      <c r="F60" s="57"/>
      <c r="G60" s="62"/>
      <c r="H60" s="57"/>
      <c r="I60" s="62"/>
      <c r="J60" s="57"/>
      <c r="K60" s="62"/>
      <c r="L60" s="57"/>
      <c r="M60" s="62"/>
      <c r="N60" s="57"/>
      <c r="O60" s="62"/>
      <c r="P60" s="57">
        <f>SUM(Vacances[[#This Row],[Janvier]:[Décembre]])</f>
        <v>0</v>
      </c>
      <c r="Q60" s="59"/>
    </row>
    <row r="61" spans="1:17" ht="15.95" customHeight="1" x14ac:dyDescent="0.2">
      <c r="B61" s="22"/>
      <c r="C61" s="2" t="s">
        <v>63</v>
      </c>
      <c r="D61" s="57"/>
      <c r="E61" s="62">
        <v>85</v>
      </c>
      <c r="F61" s="57"/>
      <c r="G61" s="62"/>
      <c r="H61" s="57"/>
      <c r="I61" s="62"/>
      <c r="J61" s="57"/>
      <c r="K61" s="62"/>
      <c r="L61" s="57"/>
      <c r="M61" s="62"/>
      <c r="N61" s="57"/>
      <c r="O61" s="62"/>
      <c r="P61" s="57">
        <f>SUM(Vacances[[#This Row],[Janvier]:[Décembre]])</f>
        <v>85</v>
      </c>
      <c r="Q61" s="62"/>
    </row>
    <row r="62" spans="1:17" ht="21" customHeight="1" thickBot="1" x14ac:dyDescent="0.25">
      <c r="B62" s="22"/>
      <c r="C62" s="39" t="s">
        <v>25</v>
      </c>
      <c r="D62" s="60">
        <f>SUBTOTAL(109,Vacances[Janvier])</f>
        <v>0</v>
      </c>
      <c r="E62" s="61">
        <f>SUBTOTAL(109,Vacances[Février])</f>
        <v>910</v>
      </c>
      <c r="F62" s="60">
        <f>SUBTOTAL(109,Vacances[Mars])</f>
        <v>0</v>
      </c>
      <c r="G62" s="61">
        <f>SUBTOTAL(109,Vacances[Avril])</f>
        <v>0</v>
      </c>
      <c r="H62" s="60">
        <f>SUBTOTAL(109,Vacances[Mai])</f>
        <v>0</v>
      </c>
      <c r="I62" s="61">
        <f>SUBTOTAL(109,Vacances[Juin])</f>
        <v>0</v>
      </c>
      <c r="J62" s="60">
        <f>SUBTOTAL(109,Vacances[Juillet])</f>
        <v>0</v>
      </c>
      <c r="K62" s="61">
        <f>SUBTOTAL(109,Vacances[Août])</f>
        <v>0</v>
      </c>
      <c r="L62" s="60">
        <f>SUBTOTAL(109,Vacances[Septembre])</f>
        <v>0</v>
      </c>
      <c r="M62" s="61">
        <f>SUBTOTAL(109,Vacances[Octobre])</f>
        <v>0</v>
      </c>
      <c r="N62" s="60">
        <f>SUBTOTAL(109,Vacances[Novembre])</f>
        <v>0</v>
      </c>
      <c r="O62" s="61">
        <f>SUBTOTAL(109,Vacances[Décembre])</f>
        <v>0</v>
      </c>
      <c r="P62" s="60">
        <f>SUBTOTAL(109,Vacances[Année])</f>
        <v>910</v>
      </c>
      <c r="Q62" s="40"/>
    </row>
    <row r="63" spans="1:17" ht="20.100000000000001" customHeight="1" thickTop="1" x14ac:dyDescent="0.2">
      <c r="C63" s="69"/>
      <c r="D63" s="69"/>
      <c r="E63" s="69"/>
      <c r="F63" s="69"/>
      <c r="G63" s="69"/>
      <c r="H63" s="69"/>
      <c r="I63" s="69"/>
      <c r="J63" s="69"/>
      <c r="K63" s="69"/>
      <c r="L63" s="69"/>
      <c r="M63" s="69"/>
      <c r="N63" s="69"/>
      <c r="O63" s="69"/>
      <c r="P63" s="69"/>
      <c r="Q63" s="69"/>
    </row>
    <row r="64" spans="1:17" ht="21" customHeight="1" x14ac:dyDescent="0.2">
      <c r="A64" s="46" t="s">
        <v>15</v>
      </c>
      <c r="B64" s="22"/>
      <c r="C64" s="11" t="s">
        <v>64</v>
      </c>
      <c r="D64" s="50" t="s">
        <v>95</v>
      </c>
      <c r="E64" s="31" t="s">
        <v>97</v>
      </c>
      <c r="F64" s="50" t="s">
        <v>99</v>
      </c>
      <c r="G64" s="31" t="s">
        <v>101</v>
      </c>
      <c r="H64" s="50" t="s">
        <v>103</v>
      </c>
      <c r="I64" s="31" t="s">
        <v>105</v>
      </c>
      <c r="J64" s="50" t="s">
        <v>107</v>
      </c>
      <c r="K64" s="31" t="s">
        <v>109</v>
      </c>
      <c r="L64" s="50" t="s">
        <v>111</v>
      </c>
      <c r="M64" s="31" t="s">
        <v>113</v>
      </c>
      <c r="N64" s="50" t="s">
        <v>115</v>
      </c>
      <c r="O64" s="31" t="s">
        <v>117</v>
      </c>
      <c r="P64" s="50" t="s">
        <v>119</v>
      </c>
      <c r="Q64" s="31" t="s">
        <v>120</v>
      </c>
    </row>
    <row r="65" spans="1:17" ht="15.95" customHeight="1" x14ac:dyDescent="0.2">
      <c r="B65" s="22"/>
      <c r="C65" s="2" t="s">
        <v>65</v>
      </c>
      <c r="D65" s="57"/>
      <c r="E65" s="62"/>
      <c r="F65" s="57"/>
      <c r="G65" s="62"/>
      <c r="H65" s="57"/>
      <c r="I65" s="62"/>
      <c r="J65" s="57"/>
      <c r="K65" s="62"/>
      <c r="L65" s="57"/>
      <c r="M65" s="62"/>
      <c r="N65" s="57"/>
      <c r="O65" s="62"/>
      <c r="P65" s="57">
        <f>SUM(Détente[[#This Row],[Janvier]:[Décembre]])</f>
        <v>0</v>
      </c>
      <c r="Q65" s="59"/>
    </row>
    <row r="66" spans="1:17" ht="15.95" customHeight="1" x14ac:dyDescent="0.2">
      <c r="B66" s="22"/>
      <c r="C66" s="2" t="s">
        <v>66</v>
      </c>
      <c r="D66" s="57"/>
      <c r="E66" s="62"/>
      <c r="F66" s="57"/>
      <c r="G66" s="62"/>
      <c r="H66" s="57"/>
      <c r="I66" s="62"/>
      <c r="J66" s="57"/>
      <c r="K66" s="62"/>
      <c r="L66" s="57"/>
      <c r="M66" s="62"/>
      <c r="N66" s="57"/>
      <c r="O66" s="62"/>
      <c r="P66" s="57">
        <f>SUM(Détente[[#This Row],[Janvier]:[Décembre]])</f>
        <v>0</v>
      </c>
      <c r="Q66" s="62"/>
    </row>
    <row r="67" spans="1:17" ht="15.95" customHeight="1" x14ac:dyDescent="0.2">
      <c r="B67" s="22"/>
      <c r="C67" s="2" t="s">
        <v>67</v>
      </c>
      <c r="D67" s="57"/>
      <c r="E67" s="62"/>
      <c r="F67" s="57"/>
      <c r="G67" s="62"/>
      <c r="H67" s="57"/>
      <c r="I67" s="62"/>
      <c r="J67" s="57"/>
      <c r="K67" s="62"/>
      <c r="L67" s="57"/>
      <c r="M67" s="62"/>
      <c r="N67" s="57"/>
      <c r="O67" s="62"/>
      <c r="P67" s="57">
        <f>SUM(Détente[[#This Row],[Janvier]:[Décembre]])</f>
        <v>0</v>
      </c>
      <c r="Q67" s="59"/>
    </row>
    <row r="68" spans="1:17" ht="15.95" customHeight="1" x14ac:dyDescent="0.2">
      <c r="B68" s="22"/>
      <c r="C68" s="2" t="s">
        <v>68</v>
      </c>
      <c r="D68" s="57">
        <v>39</v>
      </c>
      <c r="E68" s="62">
        <v>33</v>
      </c>
      <c r="F68" s="57">
        <v>40</v>
      </c>
      <c r="G68" s="62"/>
      <c r="H68" s="57"/>
      <c r="I68" s="62"/>
      <c r="J68" s="57"/>
      <c r="K68" s="62"/>
      <c r="L68" s="57"/>
      <c r="M68" s="62"/>
      <c r="N68" s="57"/>
      <c r="O68" s="62"/>
      <c r="P68" s="57">
        <f>SUM(Détente[[#This Row],[Janvier]:[Décembre]])</f>
        <v>112</v>
      </c>
      <c r="Q68" s="62"/>
    </row>
    <row r="69" spans="1:17" ht="21" customHeight="1" thickBot="1" x14ac:dyDescent="0.25">
      <c r="B69" s="22"/>
      <c r="C69" s="39" t="s">
        <v>25</v>
      </c>
      <c r="D69" s="60">
        <f>SUBTOTAL(109,Détente[Janvier])</f>
        <v>39</v>
      </c>
      <c r="E69" s="61">
        <f>SUBTOTAL(109,Détente[Février])</f>
        <v>33</v>
      </c>
      <c r="F69" s="60">
        <f>SUBTOTAL(109,Détente[Mars])</f>
        <v>40</v>
      </c>
      <c r="G69" s="61">
        <f>SUBTOTAL(109,Détente[Avril])</f>
        <v>0</v>
      </c>
      <c r="H69" s="60">
        <f>SUBTOTAL(109,Détente[Mai])</f>
        <v>0</v>
      </c>
      <c r="I69" s="61">
        <f>SUBTOTAL(109,Détente[Juin])</f>
        <v>0</v>
      </c>
      <c r="J69" s="60">
        <f>SUBTOTAL(109,Détente[Juillet])</f>
        <v>0</v>
      </c>
      <c r="K69" s="61">
        <f>SUBTOTAL(109,Détente[Août])</f>
        <v>0</v>
      </c>
      <c r="L69" s="60">
        <f>SUBTOTAL(109,Détente[Septembre])</f>
        <v>0</v>
      </c>
      <c r="M69" s="61">
        <f>SUBTOTAL(109,Détente[Octobre])</f>
        <v>0</v>
      </c>
      <c r="N69" s="60">
        <f>SUBTOTAL(109,Détente[Novembre])</f>
        <v>0</v>
      </c>
      <c r="O69" s="61">
        <f>SUBTOTAL(109,Détente[Décembre])</f>
        <v>0</v>
      </c>
      <c r="P69" s="60">
        <f>SUBTOTAL(109,Détente[Année])</f>
        <v>112</v>
      </c>
      <c r="Q69" s="40"/>
    </row>
    <row r="70" spans="1:17" ht="20.100000000000001" customHeight="1" thickTop="1" x14ac:dyDescent="0.2">
      <c r="C70" s="69"/>
      <c r="D70" s="69"/>
      <c r="E70" s="69"/>
      <c r="F70" s="69"/>
      <c r="G70" s="69"/>
      <c r="H70" s="69"/>
      <c r="I70" s="69"/>
      <c r="J70" s="69"/>
      <c r="K70" s="69"/>
      <c r="L70" s="69"/>
      <c r="M70" s="69"/>
      <c r="N70" s="69"/>
      <c r="O70" s="69"/>
      <c r="P70" s="69"/>
      <c r="Q70" s="69"/>
    </row>
    <row r="71" spans="1:17" ht="21" customHeight="1" x14ac:dyDescent="0.2">
      <c r="A71" s="46" t="s">
        <v>16</v>
      </c>
      <c r="B71" s="23"/>
      <c r="C71" s="13" t="s">
        <v>69</v>
      </c>
      <c r="D71" s="32" t="s">
        <v>95</v>
      </c>
      <c r="E71" s="31" t="s">
        <v>97</v>
      </c>
      <c r="F71" s="32" t="s">
        <v>99</v>
      </c>
      <c r="G71" s="31" t="s">
        <v>101</v>
      </c>
      <c r="H71" s="32" t="s">
        <v>103</v>
      </c>
      <c r="I71" s="31" t="s">
        <v>105</v>
      </c>
      <c r="J71" s="32" t="s">
        <v>107</v>
      </c>
      <c r="K71" s="31" t="s">
        <v>109</v>
      </c>
      <c r="L71" s="32" t="s">
        <v>111</v>
      </c>
      <c r="M71" s="31" t="s">
        <v>113</v>
      </c>
      <c r="N71" s="32" t="s">
        <v>115</v>
      </c>
      <c r="O71" s="31" t="s">
        <v>117</v>
      </c>
      <c r="P71" s="32" t="s">
        <v>119</v>
      </c>
      <c r="Q71" s="31" t="s">
        <v>120</v>
      </c>
    </row>
    <row r="72" spans="1:17" ht="15.95" customHeight="1" x14ac:dyDescent="0.2">
      <c r="C72" s="25" t="s">
        <v>70</v>
      </c>
      <c r="D72" s="63"/>
      <c r="E72" s="62"/>
      <c r="F72" s="63"/>
      <c r="G72" s="62"/>
      <c r="H72" s="63"/>
      <c r="I72" s="62"/>
      <c r="J72" s="63"/>
      <c r="K72" s="62"/>
      <c r="L72" s="63"/>
      <c r="M72" s="62"/>
      <c r="N72" s="63"/>
      <c r="O72" s="62"/>
      <c r="P72" s="63">
        <f>SUM(CotisationsEtAbonnements[[#This Row],[Janvier]:[Décembre]])</f>
        <v>0</v>
      </c>
      <c r="Q72" s="62"/>
    </row>
    <row r="73" spans="1:17" ht="15.95" customHeight="1" x14ac:dyDescent="0.2">
      <c r="B73" s="23"/>
      <c r="C73" s="2" t="s">
        <v>71</v>
      </c>
      <c r="D73" s="63"/>
      <c r="E73" s="62"/>
      <c r="F73" s="63"/>
      <c r="G73" s="62"/>
      <c r="H73" s="63"/>
      <c r="I73" s="62"/>
      <c r="J73" s="63"/>
      <c r="K73" s="62"/>
      <c r="L73" s="63"/>
      <c r="M73" s="62"/>
      <c r="N73" s="63"/>
      <c r="O73" s="62"/>
      <c r="P73" s="63">
        <f>SUM(CotisationsEtAbonnements[[#This Row],[Janvier]:[Décembre]])</f>
        <v>0</v>
      </c>
      <c r="Q73" s="59"/>
    </row>
    <row r="74" spans="1:17" ht="15.95" customHeight="1" x14ac:dyDescent="0.2">
      <c r="B74" s="23"/>
      <c r="C74" s="2" t="s">
        <v>72</v>
      </c>
      <c r="D74" s="63"/>
      <c r="E74" s="62"/>
      <c r="F74" s="63"/>
      <c r="G74" s="62"/>
      <c r="H74" s="63"/>
      <c r="I74" s="62"/>
      <c r="J74" s="63"/>
      <c r="K74" s="62"/>
      <c r="L74" s="63"/>
      <c r="M74" s="62"/>
      <c r="N74" s="63"/>
      <c r="O74" s="62"/>
      <c r="P74" s="63">
        <f>SUM(CotisationsEtAbonnements[[#This Row],[Janvier]:[Décembre]])</f>
        <v>0</v>
      </c>
      <c r="Q74" s="62"/>
    </row>
    <row r="75" spans="1:17" ht="15.95" customHeight="1" x14ac:dyDescent="0.2">
      <c r="B75" s="23"/>
      <c r="C75" s="2" t="s">
        <v>73</v>
      </c>
      <c r="D75" s="63"/>
      <c r="E75" s="62"/>
      <c r="F75" s="63"/>
      <c r="G75" s="62"/>
      <c r="H75" s="63"/>
      <c r="I75" s="62"/>
      <c r="J75" s="63"/>
      <c r="K75" s="62"/>
      <c r="L75" s="63"/>
      <c r="M75" s="62"/>
      <c r="N75" s="63"/>
      <c r="O75" s="62"/>
      <c r="P75" s="63">
        <f>SUM(CotisationsEtAbonnements[[#This Row],[Janvier]:[Décembre]])</f>
        <v>0</v>
      </c>
      <c r="Q75" s="59"/>
    </row>
    <row r="76" spans="1:17" ht="15.95" customHeight="1" x14ac:dyDescent="0.2">
      <c r="B76" s="23"/>
      <c r="C76" s="2" t="s">
        <v>74</v>
      </c>
      <c r="D76" s="63"/>
      <c r="E76" s="62"/>
      <c r="F76" s="63"/>
      <c r="G76" s="62"/>
      <c r="H76" s="63"/>
      <c r="I76" s="62"/>
      <c r="J76" s="63"/>
      <c r="K76" s="62"/>
      <c r="L76" s="63"/>
      <c r="M76" s="62"/>
      <c r="N76" s="63"/>
      <c r="O76" s="62"/>
      <c r="P76" s="63">
        <f>SUM(CotisationsEtAbonnements[[#This Row],[Janvier]:[Décembre]])</f>
        <v>0</v>
      </c>
      <c r="Q76" s="62"/>
    </row>
    <row r="77" spans="1:17" ht="15.95" customHeight="1" x14ac:dyDescent="0.2">
      <c r="B77" s="23"/>
      <c r="C77" s="2" t="s">
        <v>75</v>
      </c>
      <c r="D77" s="63">
        <v>29</v>
      </c>
      <c r="E77" s="62">
        <v>18</v>
      </c>
      <c r="F77" s="63">
        <v>17</v>
      </c>
      <c r="G77" s="62"/>
      <c r="H77" s="63"/>
      <c r="I77" s="62"/>
      <c r="J77" s="63"/>
      <c r="K77" s="62"/>
      <c r="L77" s="63"/>
      <c r="M77" s="62"/>
      <c r="N77" s="63"/>
      <c r="O77" s="62"/>
      <c r="P77" s="63">
        <f>SUM(CotisationsEtAbonnements[[#This Row],[Janvier]:[Décembre]])</f>
        <v>64</v>
      </c>
      <c r="Q77" s="59"/>
    </row>
    <row r="78" spans="1:17" ht="15.95" customHeight="1" x14ac:dyDescent="0.2">
      <c r="B78" s="23"/>
      <c r="C78" s="2" t="s">
        <v>76</v>
      </c>
      <c r="D78" s="63"/>
      <c r="E78" s="62"/>
      <c r="F78" s="63"/>
      <c r="G78" s="62"/>
      <c r="H78" s="63"/>
      <c r="I78" s="62"/>
      <c r="J78" s="63"/>
      <c r="K78" s="62"/>
      <c r="L78" s="63"/>
      <c r="M78" s="62"/>
      <c r="N78" s="63"/>
      <c r="O78" s="62"/>
      <c r="P78" s="63">
        <f>SUM(CotisationsEtAbonnements[[#This Row],[Janvier]:[Décembre]])</f>
        <v>0</v>
      </c>
      <c r="Q78" s="62"/>
    </row>
    <row r="79" spans="1:17" ht="21" customHeight="1" thickBot="1" x14ac:dyDescent="0.25">
      <c r="B79" s="23"/>
      <c r="C79" s="41" t="s">
        <v>25</v>
      </c>
      <c r="D79" s="64">
        <f>SUBTOTAL(109,CotisationsEtAbonnements[Janvier])</f>
        <v>29</v>
      </c>
      <c r="E79" s="61">
        <f>SUBTOTAL(109,CotisationsEtAbonnements[Février])</f>
        <v>18</v>
      </c>
      <c r="F79" s="64">
        <f>SUBTOTAL(109,CotisationsEtAbonnements[Mars])</f>
        <v>17</v>
      </c>
      <c r="G79" s="61">
        <f>SUBTOTAL(109,CotisationsEtAbonnements[Avril])</f>
        <v>0</v>
      </c>
      <c r="H79" s="64">
        <f>SUBTOTAL(109,CotisationsEtAbonnements[Mai])</f>
        <v>0</v>
      </c>
      <c r="I79" s="61">
        <f>SUBTOTAL(109,CotisationsEtAbonnements[Juin])</f>
        <v>0</v>
      </c>
      <c r="J79" s="64">
        <f>SUBTOTAL(109,CotisationsEtAbonnements[Juillet])</f>
        <v>0</v>
      </c>
      <c r="K79" s="61">
        <f>SUBTOTAL(109,CotisationsEtAbonnements[Août])</f>
        <v>0</v>
      </c>
      <c r="L79" s="64">
        <f>SUBTOTAL(109,CotisationsEtAbonnements[Septembre])</f>
        <v>0</v>
      </c>
      <c r="M79" s="61">
        <f>SUBTOTAL(109,CotisationsEtAbonnements[Octobre])</f>
        <v>0</v>
      </c>
      <c r="N79" s="64">
        <f>SUBTOTAL(109,CotisationsEtAbonnements[Novembre])</f>
        <v>0</v>
      </c>
      <c r="O79" s="61">
        <f>SUBTOTAL(109,CotisationsEtAbonnements[Décembre])</f>
        <v>0</v>
      </c>
      <c r="P79" s="64">
        <f>SUBTOTAL(109,CotisationsEtAbonnements[Année])</f>
        <v>64</v>
      </c>
      <c r="Q79" s="40"/>
    </row>
    <row r="80" spans="1:17" ht="20.100000000000001" customHeight="1" thickTop="1" x14ac:dyDescent="0.2">
      <c r="C80" s="69"/>
      <c r="D80" s="69"/>
      <c r="E80" s="69"/>
      <c r="F80" s="69"/>
      <c r="G80" s="69"/>
      <c r="H80" s="69"/>
      <c r="I80" s="69"/>
      <c r="J80" s="69"/>
      <c r="K80" s="69"/>
      <c r="L80" s="69"/>
      <c r="M80" s="69"/>
      <c r="N80" s="69"/>
      <c r="O80" s="69"/>
      <c r="P80" s="69"/>
      <c r="Q80" s="69"/>
    </row>
    <row r="81" spans="1:17" ht="21" customHeight="1" x14ac:dyDescent="0.2">
      <c r="A81" s="46" t="s">
        <v>125</v>
      </c>
      <c r="B81" s="23"/>
      <c r="C81" s="13" t="s">
        <v>77</v>
      </c>
      <c r="D81" s="32" t="s">
        <v>95</v>
      </c>
      <c r="E81" s="31" t="s">
        <v>97</v>
      </c>
      <c r="F81" s="32" t="s">
        <v>99</v>
      </c>
      <c r="G81" s="31" t="s">
        <v>101</v>
      </c>
      <c r="H81" s="32" t="s">
        <v>103</v>
      </c>
      <c r="I81" s="31" t="s">
        <v>105</v>
      </c>
      <c r="J81" s="32" t="s">
        <v>107</v>
      </c>
      <c r="K81" s="31" t="s">
        <v>109</v>
      </c>
      <c r="L81" s="32" t="s">
        <v>111</v>
      </c>
      <c r="M81" s="31" t="s">
        <v>113</v>
      </c>
      <c r="N81" s="32" t="s">
        <v>115</v>
      </c>
      <c r="O81" s="31" t="s">
        <v>117</v>
      </c>
      <c r="P81" s="32" t="s">
        <v>119</v>
      </c>
      <c r="Q81" s="31" t="s">
        <v>120</v>
      </c>
    </row>
    <row r="82" spans="1:17" ht="15.95" customHeight="1" x14ac:dyDescent="0.2">
      <c r="B82" s="23"/>
      <c r="C82" s="2" t="s">
        <v>78</v>
      </c>
      <c r="D82" s="63"/>
      <c r="E82" s="62"/>
      <c r="F82" s="63">
        <v>29</v>
      </c>
      <c r="G82" s="62"/>
      <c r="H82" s="63"/>
      <c r="I82" s="62"/>
      <c r="J82" s="63"/>
      <c r="K82" s="62"/>
      <c r="L82" s="63"/>
      <c r="M82" s="62"/>
      <c r="N82" s="63"/>
      <c r="O82" s="62"/>
      <c r="P82" s="63">
        <f>SUM(Personnel[[#This Row],[Janvier]:[Décembre]])</f>
        <v>29</v>
      </c>
      <c r="Q82" s="62"/>
    </row>
    <row r="83" spans="1:17" ht="15.95" customHeight="1" x14ac:dyDescent="0.2">
      <c r="B83" s="23"/>
      <c r="C83" s="2" t="s">
        <v>79</v>
      </c>
      <c r="D83" s="63"/>
      <c r="E83" s="62">
        <v>35</v>
      </c>
      <c r="F83" s="63"/>
      <c r="G83" s="62"/>
      <c r="H83" s="63"/>
      <c r="I83" s="62"/>
      <c r="J83" s="63"/>
      <c r="K83" s="62"/>
      <c r="L83" s="63"/>
      <c r="M83" s="62"/>
      <c r="N83" s="63"/>
      <c r="O83" s="62"/>
      <c r="P83" s="63">
        <f>SUM(Personnel[[#This Row],[Janvier]:[Décembre]])</f>
        <v>35</v>
      </c>
      <c r="Q83" s="59"/>
    </row>
    <row r="84" spans="1:17" ht="15.95" customHeight="1" x14ac:dyDescent="0.2">
      <c r="B84" s="23"/>
      <c r="C84" s="2" t="s">
        <v>80</v>
      </c>
      <c r="D84" s="63">
        <v>25</v>
      </c>
      <c r="E84" s="62">
        <v>25</v>
      </c>
      <c r="F84" s="63">
        <v>25</v>
      </c>
      <c r="G84" s="62"/>
      <c r="H84" s="63"/>
      <c r="I84" s="62"/>
      <c r="J84" s="63"/>
      <c r="K84" s="62"/>
      <c r="L84" s="63"/>
      <c r="M84" s="62"/>
      <c r="N84" s="63"/>
      <c r="O84" s="62"/>
      <c r="P84" s="63">
        <f>SUM(Personnel[[#This Row],[Janvier]:[Décembre]])</f>
        <v>75</v>
      </c>
      <c r="Q84" s="62"/>
    </row>
    <row r="85" spans="1:17" ht="15.95" customHeight="1" x14ac:dyDescent="0.2">
      <c r="B85" s="23"/>
      <c r="C85" s="2" t="s">
        <v>81</v>
      </c>
      <c r="D85" s="63"/>
      <c r="E85" s="62"/>
      <c r="F85" s="63"/>
      <c r="G85" s="62"/>
      <c r="H85" s="63"/>
      <c r="I85" s="62"/>
      <c r="J85" s="63"/>
      <c r="K85" s="62"/>
      <c r="L85" s="63"/>
      <c r="M85" s="62"/>
      <c r="N85" s="63"/>
      <c r="O85" s="62"/>
      <c r="P85" s="63">
        <f>SUM(Personnel[[#This Row],[Janvier]:[Décembre]])</f>
        <v>0</v>
      </c>
      <c r="Q85" s="59"/>
    </row>
    <row r="86" spans="1:17" ht="15.95" customHeight="1" x14ac:dyDescent="0.2">
      <c r="B86" s="23"/>
      <c r="C86" s="2" t="s">
        <v>82</v>
      </c>
      <c r="D86" s="63"/>
      <c r="E86" s="62"/>
      <c r="F86" s="63"/>
      <c r="G86" s="62"/>
      <c r="H86" s="63"/>
      <c r="I86" s="62"/>
      <c r="J86" s="63"/>
      <c r="K86" s="62"/>
      <c r="L86" s="63"/>
      <c r="M86" s="62"/>
      <c r="N86" s="63"/>
      <c r="O86" s="62"/>
      <c r="P86" s="63">
        <f>SUM(Personnel[[#This Row],[Janvier]:[Décembre]])</f>
        <v>0</v>
      </c>
      <c r="Q86" s="62"/>
    </row>
    <row r="87" spans="1:17" ht="21" customHeight="1" thickBot="1" x14ac:dyDescent="0.25">
      <c r="B87" s="23"/>
      <c r="C87" s="41" t="s">
        <v>25</v>
      </c>
      <c r="D87" s="64">
        <f>SUBTOTAL(109,Personnel[Janvier])</f>
        <v>25</v>
      </c>
      <c r="E87" s="61">
        <f>SUBTOTAL(109,Personnel[Février])</f>
        <v>60</v>
      </c>
      <c r="F87" s="64">
        <f>SUBTOTAL(109,Personnel[Mars])</f>
        <v>54</v>
      </c>
      <c r="G87" s="61">
        <f>SUBTOTAL(109,Personnel[Avril])</f>
        <v>0</v>
      </c>
      <c r="H87" s="64">
        <f>SUBTOTAL(109,Personnel[Mai])</f>
        <v>0</v>
      </c>
      <c r="I87" s="61">
        <f>SUBTOTAL(109,Personnel[Juin])</f>
        <v>0</v>
      </c>
      <c r="J87" s="64">
        <f>SUBTOTAL(109,Personnel[Juillet])</f>
        <v>0</v>
      </c>
      <c r="K87" s="61">
        <f>SUBTOTAL(109,Personnel[Août])</f>
        <v>0</v>
      </c>
      <c r="L87" s="64">
        <f>SUBTOTAL(109,Personnel[Septembre])</f>
        <v>0</v>
      </c>
      <c r="M87" s="61">
        <f>SUBTOTAL(109,Personnel[Octobre])</f>
        <v>0</v>
      </c>
      <c r="N87" s="64">
        <f>SUBTOTAL(109,Personnel[Novembre])</f>
        <v>0</v>
      </c>
      <c r="O87" s="61">
        <f>SUBTOTAL(109,Personnel[Décembre])</f>
        <v>0</v>
      </c>
      <c r="P87" s="64">
        <f>SUBTOTAL(109,Personnel[Année])</f>
        <v>139</v>
      </c>
      <c r="Q87" s="40"/>
    </row>
    <row r="88" spans="1:17" ht="20.100000000000001" customHeight="1" thickTop="1" x14ac:dyDescent="0.2">
      <c r="C88" s="69"/>
      <c r="D88" s="69"/>
      <c r="E88" s="69"/>
      <c r="F88" s="69"/>
      <c r="G88" s="69"/>
      <c r="H88" s="69"/>
      <c r="I88" s="69"/>
      <c r="J88" s="69"/>
      <c r="K88" s="69"/>
      <c r="L88" s="69"/>
      <c r="M88" s="69"/>
      <c r="N88" s="69"/>
      <c r="O88" s="69"/>
      <c r="P88" s="69"/>
      <c r="Q88" s="69"/>
    </row>
    <row r="89" spans="1:17" ht="21" customHeight="1" x14ac:dyDescent="0.2">
      <c r="A89" s="46" t="s">
        <v>17</v>
      </c>
      <c r="B89" s="22"/>
      <c r="C89" s="11" t="s">
        <v>83</v>
      </c>
      <c r="D89" s="50" t="s">
        <v>95</v>
      </c>
      <c r="E89" s="31" t="s">
        <v>97</v>
      </c>
      <c r="F89" s="50" t="s">
        <v>99</v>
      </c>
      <c r="G89" s="31" t="s">
        <v>101</v>
      </c>
      <c r="H89" s="50" t="s">
        <v>103</v>
      </c>
      <c r="I89" s="31" t="s">
        <v>105</v>
      </c>
      <c r="J89" s="50" t="s">
        <v>107</v>
      </c>
      <c r="K89" s="31" t="s">
        <v>109</v>
      </c>
      <c r="L89" s="50" t="s">
        <v>111</v>
      </c>
      <c r="M89" s="31" t="s">
        <v>113</v>
      </c>
      <c r="N89" s="50" t="s">
        <v>115</v>
      </c>
      <c r="O89" s="31" t="s">
        <v>117</v>
      </c>
      <c r="P89" s="50" t="s">
        <v>119</v>
      </c>
      <c r="Q89" s="31" t="s">
        <v>120</v>
      </c>
    </row>
    <row r="90" spans="1:17" ht="15.95" customHeight="1" x14ac:dyDescent="0.2">
      <c r="B90" s="22"/>
      <c r="C90" s="2" t="s">
        <v>84</v>
      </c>
      <c r="D90" s="57">
        <v>25</v>
      </c>
      <c r="E90" s="62">
        <v>25</v>
      </c>
      <c r="F90" s="57">
        <v>25</v>
      </c>
      <c r="G90" s="62"/>
      <c r="H90" s="57"/>
      <c r="I90" s="62"/>
      <c r="J90" s="57"/>
      <c r="K90" s="62"/>
      <c r="L90" s="57"/>
      <c r="M90" s="62"/>
      <c r="N90" s="57"/>
      <c r="O90" s="62"/>
      <c r="P90" s="57">
        <f>SUM(Finances[[#This Row],[Janvier]:[Décembre]])</f>
        <v>75</v>
      </c>
      <c r="Q90" s="62"/>
    </row>
    <row r="91" spans="1:17" ht="15.95" customHeight="1" x14ac:dyDescent="0.2">
      <c r="B91" s="22"/>
      <c r="C91" s="2" t="s">
        <v>85</v>
      </c>
      <c r="D91" s="57">
        <v>45</v>
      </c>
      <c r="E91" s="62">
        <v>45</v>
      </c>
      <c r="F91" s="57">
        <v>45</v>
      </c>
      <c r="G91" s="62"/>
      <c r="H91" s="57"/>
      <c r="I91" s="62"/>
      <c r="J91" s="57"/>
      <c r="K91" s="62"/>
      <c r="L91" s="57"/>
      <c r="M91" s="62"/>
      <c r="N91" s="57"/>
      <c r="O91" s="62"/>
      <c r="P91" s="57">
        <f>SUM(Finances[[#This Row],[Janvier]:[Décembre]])</f>
        <v>135</v>
      </c>
      <c r="Q91" s="59"/>
    </row>
    <row r="92" spans="1:17" ht="15.95" customHeight="1" x14ac:dyDescent="0.2">
      <c r="B92" s="22"/>
      <c r="C92" s="2" t="s">
        <v>86</v>
      </c>
      <c r="D92" s="57">
        <v>75</v>
      </c>
      <c r="E92" s="62">
        <v>75</v>
      </c>
      <c r="F92" s="57">
        <v>75</v>
      </c>
      <c r="G92" s="62"/>
      <c r="H92" s="57"/>
      <c r="I92" s="62"/>
      <c r="J92" s="57"/>
      <c r="K92" s="62"/>
      <c r="L92" s="57"/>
      <c r="M92" s="62"/>
      <c r="N92" s="57"/>
      <c r="O92" s="62"/>
      <c r="P92" s="57">
        <f>SUM(Finances[[#This Row],[Janvier]:[Décembre]])</f>
        <v>225</v>
      </c>
      <c r="Q92" s="62"/>
    </row>
    <row r="93" spans="1:17" ht="15.95" customHeight="1" x14ac:dyDescent="0.2">
      <c r="B93" s="22"/>
      <c r="C93" s="2" t="s">
        <v>87</v>
      </c>
      <c r="D93" s="57"/>
      <c r="E93" s="62"/>
      <c r="F93" s="57"/>
      <c r="G93" s="62"/>
      <c r="H93" s="57"/>
      <c r="I93" s="62"/>
      <c r="J93" s="57"/>
      <c r="K93" s="62"/>
      <c r="L93" s="57"/>
      <c r="M93" s="62"/>
      <c r="N93" s="57"/>
      <c r="O93" s="62"/>
      <c r="P93" s="57">
        <f>SUM(Finances[[#This Row],[Janvier]:[Décembre]])</f>
        <v>0</v>
      </c>
      <c r="Q93" s="59"/>
    </row>
    <row r="94" spans="1:17" ht="15.95" customHeight="1" x14ac:dyDescent="0.2">
      <c r="B94" s="22"/>
      <c r="C94" s="2" t="s">
        <v>88</v>
      </c>
      <c r="D94" s="57">
        <v>32</v>
      </c>
      <c r="E94" s="62">
        <v>34</v>
      </c>
      <c r="F94" s="57">
        <v>1</v>
      </c>
      <c r="G94" s="62"/>
      <c r="H94" s="57"/>
      <c r="I94" s="62"/>
      <c r="J94" s="57"/>
      <c r="K94" s="62"/>
      <c r="L94" s="57"/>
      <c r="M94" s="62"/>
      <c r="N94" s="57"/>
      <c r="O94" s="62"/>
      <c r="P94" s="57">
        <f>SUM(Finances[[#This Row],[Janvier]:[Décembre]])</f>
        <v>67</v>
      </c>
      <c r="Q94" s="62"/>
    </row>
    <row r="95" spans="1:17" ht="21" customHeight="1" thickBot="1" x14ac:dyDescent="0.25">
      <c r="B95" s="22"/>
      <c r="C95" s="39" t="s">
        <v>25</v>
      </c>
      <c r="D95" s="60">
        <f>SUBTOTAL(109,Finances[Janvier])</f>
        <v>177</v>
      </c>
      <c r="E95" s="61">
        <f>SUBTOTAL(109,Finances[Février])</f>
        <v>179</v>
      </c>
      <c r="F95" s="60">
        <f>SUBTOTAL(109,Finances[Mars])</f>
        <v>146</v>
      </c>
      <c r="G95" s="61">
        <f>SUBTOTAL(109,Finances[Avril])</f>
        <v>0</v>
      </c>
      <c r="H95" s="60">
        <f>SUBTOTAL(109,Finances[Mai])</f>
        <v>0</v>
      </c>
      <c r="I95" s="61">
        <f>SUBTOTAL(109,Finances[Juin])</f>
        <v>0</v>
      </c>
      <c r="J95" s="60">
        <f>SUBTOTAL(109,Finances[Juillet])</f>
        <v>0</v>
      </c>
      <c r="K95" s="61">
        <f>SUBTOTAL(109,Finances[Août])</f>
        <v>0</v>
      </c>
      <c r="L95" s="60">
        <f>SUBTOTAL(109,Finances[Septembre])</f>
        <v>0</v>
      </c>
      <c r="M95" s="61">
        <f>SUBTOTAL(109,Finances[Octobre])</f>
        <v>0</v>
      </c>
      <c r="N95" s="60">
        <f>SUBTOTAL(109,Finances[Novembre])</f>
        <v>0</v>
      </c>
      <c r="O95" s="61">
        <f>SUBTOTAL(109,Finances[Décembre])</f>
        <v>0</v>
      </c>
      <c r="P95" s="60">
        <f>SUBTOTAL(109,Finances[Année])</f>
        <v>502</v>
      </c>
      <c r="Q95" s="40"/>
    </row>
    <row r="96" spans="1:17" ht="20.100000000000001" customHeight="1" thickTop="1" x14ac:dyDescent="0.2">
      <c r="C96" s="69"/>
      <c r="D96" s="69"/>
      <c r="E96" s="69"/>
      <c r="F96" s="69"/>
      <c r="G96" s="69"/>
      <c r="H96" s="69"/>
      <c r="I96" s="69"/>
      <c r="J96" s="69"/>
      <c r="K96" s="69"/>
      <c r="L96" s="69"/>
      <c r="M96" s="69"/>
      <c r="N96" s="69"/>
      <c r="O96" s="69"/>
      <c r="P96" s="69"/>
      <c r="Q96" s="69"/>
    </row>
    <row r="97" spans="1:17" ht="21" customHeight="1" x14ac:dyDescent="0.2">
      <c r="A97" s="46" t="s">
        <v>18</v>
      </c>
      <c r="B97" s="22"/>
      <c r="C97" s="11" t="s">
        <v>89</v>
      </c>
      <c r="D97" s="50" t="s">
        <v>95</v>
      </c>
      <c r="E97" s="30" t="s">
        <v>97</v>
      </c>
      <c r="F97" s="50" t="s">
        <v>99</v>
      </c>
      <c r="G97" s="30" t="s">
        <v>101</v>
      </c>
      <c r="H97" s="50" t="s">
        <v>103</v>
      </c>
      <c r="I97" s="31" t="s">
        <v>105</v>
      </c>
      <c r="J97" s="50" t="s">
        <v>107</v>
      </c>
      <c r="K97" s="31" t="s">
        <v>109</v>
      </c>
      <c r="L97" s="50" t="s">
        <v>111</v>
      </c>
      <c r="M97" s="31" t="s">
        <v>113</v>
      </c>
      <c r="N97" s="50" t="s">
        <v>115</v>
      </c>
      <c r="O97" s="31" t="s">
        <v>117</v>
      </c>
      <c r="P97" s="50" t="s">
        <v>119</v>
      </c>
      <c r="Q97" s="31" t="s">
        <v>120</v>
      </c>
    </row>
    <row r="98" spans="1:17" ht="15.95" customHeight="1" x14ac:dyDescent="0.2">
      <c r="B98" s="22"/>
      <c r="C98" s="2" t="s">
        <v>90</v>
      </c>
      <c r="D98" s="57"/>
      <c r="E98" s="62"/>
      <c r="F98" s="57"/>
      <c r="G98" s="62"/>
      <c r="H98" s="57"/>
      <c r="I98" s="62"/>
      <c r="J98" s="57"/>
      <c r="K98" s="62"/>
      <c r="L98" s="57"/>
      <c r="M98" s="62"/>
      <c r="N98" s="57"/>
      <c r="O98" s="62"/>
      <c r="P98" s="57">
        <f>SUM(Divers[[#This Row],[Janvier]:[Décembre]])</f>
        <v>0</v>
      </c>
      <c r="Q98" s="62"/>
    </row>
    <row r="99" spans="1:17" ht="15.95" customHeight="1" x14ac:dyDescent="0.2">
      <c r="B99" s="22"/>
      <c r="C99" s="2" t="s">
        <v>90</v>
      </c>
      <c r="D99" s="57"/>
      <c r="E99" s="62"/>
      <c r="F99" s="57"/>
      <c r="G99" s="62"/>
      <c r="H99" s="57"/>
      <c r="I99" s="62"/>
      <c r="J99" s="57"/>
      <c r="K99" s="62"/>
      <c r="L99" s="57"/>
      <c r="M99" s="62"/>
      <c r="N99" s="57"/>
      <c r="O99" s="62"/>
      <c r="P99" s="57">
        <f>SUM(Divers[[#This Row],[Janvier]:[Décembre]])</f>
        <v>0</v>
      </c>
      <c r="Q99" s="59"/>
    </row>
    <row r="100" spans="1:17" ht="15.95" customHeight="1" x14ac:dyDescent="0.2">
      <c r="B100" s="22"/>
      <c r="C100" s="2" t="s">
        <v>90</v>
      </c>
      <c r="D100" s="57"/>
      <c r="E100" s="62"/>
      <c r="F100" s="57"/>
      <c r="G100" s="62"/>
      <c r="H100" s="57"/>
      <c r="I100" s="62"/>
      <c r="J100" s="57"/>
      <c r="K100" s="62"/>
      <c r="L100" s="57"/>
      <c r="M100" s="62"/>
      <c r="N100" s="57"/>
      <c r="O100" s="62"/>
      <c r="P100" s="57">
        <f>SUM(Divers[[#This Row],[Janvier]:[Décembre]])</f>
        <v>0</v>
      </c>
      <c r="Q100" s="62"/>
    </row>
    <row r="101" spans="1:17" ht="15.95" customHeight="1" x14ac:dyDescent="0.2">
      <c r="B101" s="22"/>
      <c r="C101" s="2" t="s">
        <v>90</v>
      </c>
      <c r="D101" s="57"/>
      <c r="E101" s="62"/>
      <c r="F101" s="57"/>
      <c r="G101" s="62"/>
      <c r="H101" s="57"/>
      <c r="I101" s="62"/>
      <c r="J101" s="57"/>
      <c r="K101" s="62"/>
      <c r="L101" s="57"/>
      <c r="M101" s="62"/>
      <c r="N101" s="57"/>
      <c r="O101" s="62"/>
      <c r="P101" s="57">
        <f>SUM(Divers[[#This Row],[Janvier]:[Décembre]])</f>
        <v>0</v>
      </c>
      <c r="Q101" s="59"/>
    </row>
    <row r="102" spans="1:17" ht="15.95" customHeight="1" x14ac:dyDescent="0.2">
      <c r="B102" s="22"/>
      <c r="C102" s="2" t="s">
        <v>90</v>
      </c>
      <c r="D102" s="57"/>
      <c r="E102" s="62"/>
      <c r="F102" s="57"/>
      <c r="G102" s="62"/>
      <c r="H102" s="57"/>
      <c r="I102" s="62"/>
      <c r="J102" s="57"/>
      <c r="K102" s="62"/>
      <c r="L102" s="57"/>
      <c r="M102" s="62"/>
      <c r="N102" s="57"/>
      <c r="O102" s="62"/>
      <c r="P102" s="57">
        <f>SUM(Divers[[#This Row],[Janvier]:[Décembre]])</f>
        <v>0</v>
      </c>
      <c r="Q102" s="62"/>
    </row>
    <row r="103" spans="1:17" ht="21" customHeight="1" thickBot="1" x14ac:dyDescent="0.25">
      <c r="C103" s="39" t="s">
        <v>25</v>
      </c>
      <c r="D103" s="60">
        <f>SUBTOTAL(109,Divers[Janvier])</f>
        <v>0</v>
      </c>
      <c r="E103" s="61">
        <f>SUBTOTAL(109,Divers[Février])</f>
        <v>0</v>
      </c>
      <c r="F103" s="60">
        <f>SUBTOTAL(109,Divers[Mars])</f>
        <v>0</v>
      </c>
      <c r="G103" s="61">
        <f>SUBTOTAL(109,Divers[Avril])</f>
        <v>0</v>
      </c>
      <c r="H103" s="60">
        <f>SUBTOTAL(109,Divers[Mai])</f>
        <v>0</v>
      </c>
      <c r="I103" s="61">
        <f>SUBTOTAL(109,Divers[Juin])</f>
        <v>0</v>
      </c>
      <c r="J103" s="60">
        <f>SUBTOTAL(109,Divers[Juillet])</f>
        <v>0</v>
      </c>
      <c r="K103" s="61">
        <f>SUBTOTAL(109,Divers[Août])</f>
        <v>0</v>
      </c>
      <c r="L103" s="60">
        <f>SUBTOTAL(109,Divers[Septembre])</f>
        <v>0</v>
      </c>
      <c r="M103" s="61">
        <f>SUBTOTAL(109,Divers[Octobre])</f>
        <v>0</v>
      </c>
      <c r="N103" s="60">
        <f>SUBTOTAL(109,Divers[Novembre])</f>
        <v>0</v>
      </c>
      <c r="O103" s="61">
        <f>SUBTOTAL(109,Divers[Décembre])</f>
        <v>0</v>
      </c>
      <c r="P103" s="60">
        <f>SUBTOTAL(109,Divers[Année])</f>
        <v>0</v>
      </c>
      <c r="Q103" s="40"/>
    </row>
    <row r="104" spans="1:17" ht="20.100000000000001" customHeight="1" thickTop="1" x14ac:dyDescent="0.2">
      <c r="C104" s="69"/>
      <c r="D104" s="69"/>
      <c r="E104" s="69"/>
      <c r="F104" s="69"/>
      <c r="G104" s="69"/>
      <c r="H104" s="69"/>
      <c r="I104" s="69"/>
      <c r="J104" s="69"/>
      <c r="K104" s="69"/>
      <c r="L104" s="69"/>
      <c r="M104" s="69"/>
      <c r="N104" s="69"/>
      <c r="O104" s="69"/>
      <c r="P104" s="69"/>
      <c r="Q104" s="69"/>
    </row>
    <row r="105" spans="1:17" ht="21" customHeight="1" x14ac:dyDescent="0.2">
      <c r="A105" s="46" t="s">
        <v>126</v>
      </c>
      <c r="B105" s="14"/>
      <c r="C105" s="16" t="s">
        <v>91</v>
      </c>
      <c r="D105" s="20" t="s">
        <v>94</v>
      </c>
      <c r="E105" s="17" t="s">
        <v>96</v>
      </c>
      <c r="F105" s="20" t="s">
        <v>98</v>
      </c>
      <c r="G105" s="17" t="s">
        <v>100</v>
      </c>
      <c r="H105" s="20" t="s">
        <v>102</v>
      </c>
      <c r="I105" s="17" t="s">
        <v>104</v>
      </c>
      <c r="J105" s="20" t="s">
        <v>106</v>
      </c>
      <c r="K105" s="17" t="s">
        <v>108</v>
      </c>
      <c r="L105" s="20" t="s">
        <v>110</v>
      </c>
      <c r="M105" s="17" t="s">
        <v>112</v>
      </c>
      <c r="N105" s="20" t="s">
        <v>114</v>
      </c>
      <c r="O105" s="17" t="s">
        <v>116</v>
      </c>
      <c r="P105" s="20" t="s">
        <v>118</v>
      </c>
      <c r="Q105" s="49" t="s">
        <v>121</v>
      </c>
    </row>
    <row r="106" spans="1:17" ht="15.95" customHeight="1" x14ac:dyDescent="0.2">
      <c r="B106" s="14"/>
      <c r="C106" s="18" t="s">
        <v>92</v>
      </c>
      <c r="D106" s="65">
        <f>SUM(Divers[[#Totals],[Janvier]],Finances[[#Totals],[Janvier]],Personnel[[#Totals],[Janvier]],CotisationsEtAbonnements[[#Totals],[Janvier]],Détente[[#Totals],[Janvier]],Vacances[[#Totals],[Janvier]],Santé[[#Totals],[Janvier]],Loisirs[[#Totals],[Janvier]],Transports[[#Totals],[Janvier]],Quotidien[[#Totals],[Janvier]],Foyer[[#Totals],[Janvier]])</f>
        <v>2687</v>
      </c>
      <c r="E106" s="66">
        <f>SUM(Divers[[#Totals],[Février]],Finances[[#Totals],[Février]],Personnel[[#Totals],[Février]],CotisationsEtAbonnements[[#Totals],[Février]],Détente[[#Totals],[Février]],Vacances[[#Totals],[Février]],Santé[[#Totals],[Février]],Loisirs[[#Totals],[Février]],Transports[[#Totals],[Février]],Quotidien[[#Totals],[Février]],Foyer[[#Totals],[Février]])</f>
        <v>3429</v>
      </c>
      <c r="F106" s="65">
        <f>SUM(Divers[[#Totals],[Mars]],Finances[[#Totals],[Mars]],Personnel[[#Totals],[Mars]],CotisationsEtAbonnements[[#Totals],[Mars]],Détente[[#Totals],[Mars]],Vacances[[#Totals],[Mars]],Santé[[#Totals],[Mars]],Loisirs[[#Totals],[Mars]],Transports[[#Totals],[Mars]],Quotidien[[#Totals],[Mars]],Foyer[[#Totals],[Mars]])</f>
        <v>2718</v>
      </c>
      <c r="G106" s="66">
        <f>SUM(Divers[[#Totals],[Avril]],Finances[[#Totals],[Avril]],Personnel[[#Totals],[Avril]],CotisationsEtAbonnements[[#Totals],[Avril]],Détente[[#Totals],[Avril]],Vacances[[#Totals],[Avril]],Santé[[#Totals],[Avril]],Loisirs[[#Totals],[Avril]],Transports[[#Totals],[Avril]],Quotidien[[#Totals],[Avril]],Foyer[[#Totals],[Avril]])</f>
        <v>0</v>
      </c>
      <c r="H106" s="65">
        <f>SUM(Divers[[#Totals],[Mai]],Finances[[#Totals],[Mai]],Personnel[[#Totals],[Mai]],CotisationsEtAbonnements[[#Totals],[Mai]],Détente[[#Totals],[Mai]],Vacances[[#Totals],[Mai]],Santé[[#Totals],[Mai]],Loisirs[[#Totals],[Mai]],Transports[[#Totals],[Mai]],Quotidien[[#Totals],[Mai]],Foyer[[#Totals],[Mai]])</f>
        <v>0</v>
      </c>
      <c r="I106" s="66">
        <f>SUM(Divers[[#Totals],[Juin]],Finances[[#Totals],[Juin]],Personnel[[#Totals],[Juin]],CotisationsEtAbonnements[[#Totals],[Juin]],Détente[[#Totals],[Juin]],Vacances[[#Totals],[Juin]],Santé[[#Totals],[Juin]],Loisirs[[#Totals],[Juin]],Transports[[#Totals],[Juin]],Quotidien[[#Totals],[Juin]],Foyer[[#Totals],[Juin]])</f>
        <v>0</v>
      </c>
      <c r="J106" s="65">
        <f>SUM(Divers[[#Totals],[Juillet]],Finances[[#Totals],[Juillet]],Personnel[[#Totals],[Juillet]],CotisationsEtAbonnements[[#Totals],[Juillet]],Détente[[#Totals],[Juillet]],Vacances[[#Totals],[Juillet]],Santé[[#Totals],[Juillet]],Loisirs[[#Totals],[Juillet]],Transports[[#Totals],[Juillet]],Quotidien[[#Totals],[Juillet]],Foyer[[#Totals],[Juillet]])</f>
        <v>0</v>
      </c>
      <c r="K106" s="66">
        <f>SUM(Divers[[#Totals],[Août]],Finances[[#Totals],[Août]],Personnel[[#Totals],[Août]],CotisationsEtAbonnements[[#Totals],[Août]],Détente[[#Totals],[Août]],Vacances[[#Totals],[Août]],Santé[[#Totals],[Août]],Loisirs[[#Totals],[Août]],Transports[[#Totals],[Août]],Quotidien[[#Totals],[Août]],Foyer[[#Totals],[Août]])</f>
        <v>0</v>
      </c>
      <c r="L106" s="65">
        <f>SUM(Divers[[#Totals],[Septembre]],Finances[[#Totals],[Septembre]],Personnel[[#Totals],[Septembre]],CotisationsEtAbonnements[[#Totals],[Septembre]],Détente[[#Totals],[Septembre]],Vacances[[#Totals],[Septembre]],Santé[[#Totals],[Septembre]],Loisirs[[#Totals],[Septembre]],Transports[[#Totals],[Septembre]],Quotidien[[#Totals],[Septembre]],Foyer[[#Totals],[Septembre]])</f>
        <v>0</v>
      </c>
      <c r="M106" s="66">
        <f>SUM(Divers[[#Totals],[Octobre]],Finances[[#Totals],[Octobre]],Personnel[[#Totals],[Octobre]],CotisationsEtAbonnements[[#Totals],[Octobre]],Détente[[#Totals],[Octobre]],Vacances[[#Totals],[Octobre]],Santé[[#Totals],[Octobre]],Loisirs[[#Totals],[Octobre]],Transports[[#Totals],[Octobre]],Quotidien[[#Totals],[Octobre]],Foyer[[#Totals],[Octobre]])</f>
        <v>0</v>
      </c>
      <c r="N106" s="65">
        <f>SUM(Divers[[#Totals],[Novembre]],Finances[[#Totals],[Novembre]],Personnel[[#Totals],[Novembre]],CotisationsEtAbonnements[[#Totals],[Novembre]],Détente[[#Totals],[Novembre]],Vacances[[#Totals],[Novembre]],Santé[[#Totals],[Novembre]],Loisirs[[#Totals],[Novembre]],Transports[[#Totals],[Novembre]],Quotidien[[#Totals],[Novembre]],Foyer[[#Totals],[Novembre]])</f>
        <v>0</v>
      </c>
      <c r="O106" s="66">
        <f>SUM(Divers[[#Totals],[Décembre]],Finances[[#Totals],[Décembre]],Personnel[[#Totals],[Décembre]],CotisationsEtAbonnements[[#Totals],[Décembre]],Détente[[#Totals],[Décembre]],Vacances[[#Totals],[Décembre]],Santé[[#Totals],[Décembre]],Loisirs[[#Totals],[Décembre]],Transports[[#Totals],[Décembre]],Quotidien[[#Totals],[Décembre]],Foyer[[#Totals],[Décembre]])</f>
        <v>0</v>
      </c>
      <c r="P106" s="65">
        <f>SUM(Divers[[#Totals],[Année]],Finances[[#Totals],[Année]],Personnel[[#Totals],[Année]],CotisationsEtAbonnements[[#Totals],[Année]],Détente[[#Totals],[Année]],Vacances[[#Totals],[Année]],Santé[[#Totals],[Année]],Loisirs[[#Totals],[Année]],Transports[[#Totals],[Année]],Quotidien[[#Totals],[Année]],Foyer[[#Totals],[Année]])</f>
        <v>8834</v>
      </c>
      <c r="Q106" s="66"/>
    </row>
    <row r="107" spans="1:17" ht="15.95" customHeight="1" x14ac:dyDescent="0.2">
      <c r="B107" s="14"/>
      <c r="C107" s="18" t="s">
        <v>93</v>
      </c>
      <c r="D107" s="65">
        <f>Revenus[[#Totals],[Janvier]]-D106</f>
        <v>1036</v>
      </c>
      <c r="E107" s="66">
        <f>Revenus[[#Totals],[Février]]-E106</f>
        <v>127</v>
      </c>
      <c r="F107" s="65">
        <f>Revenus[[#Totals],[Mars]]-F106</f>
        <v>926</v>
      </c>
      <c r="G107" s="66">
        <f>Revenus[[#Totals],[Avril]]-G106</f>
        <v>0</v>
      </c>
      <c r="H107" s="65">
        <f>Revenus[[#Totals],[Mai]]-H106</f>
        <v>0</v>
      </c>
      <c r="I107" s="66">
        <f>Revenus[[#Totals],[Juin]]-I106</f>
        <v>0</v>
      </c>
      <c r="J107" s="65">
        <f>Revenus[[#Totals],[Juillet]]-J106</f>
        <v>0</v>
      </c>
      <c r="K107" s="66">
        <f>Revenus[[#Totals],[Août]]-K106</f>
        <v>0</v>
      </c>
      <c r="L107" s="65">
        <f>Revenus[[#Totals],[Septembre]]-L106</f>
        <v>0</v>
      </c>
      <c r="M107" s="66">
        <f>Revenus[[#Totals],[Octobre]]-M106</f>
        <v>0</v>
      </c>
      <c r="N107" s="65">
        <f>Revenus[[#Totals],[Novembre]]-N106</f>
        <v>0</v>
      </c>
      <c r="O107" s="66">
        <f>Revenus[[#Totals],[Décembre]]-O106</f>
        <v>0</v>
      </c>
      <c r="P107" s="65">
        <f>Revenus[[#Totals],[Année]]-P106</f>
        <v>2089</v>
      </c>
      <c r="Q107" s="66"/>
    </row>
    <row r="108" spans="1:17" ht="8.1" customHeight="1" x14ac:dyDescent="0.2">
      <c r="B108" s="14"/>
      <c r="C108" s="19"/>
      <c r="D108" s="21"/>
      <c r="E108" s="19"/>
      <c r="F108" s="21"/>
      <c r="G108" s="19"/>
      <c r="H108" s="21"/>
      <c r="I108" s="19"/>
      <c r="J108" s="21"/>
      <c r="K108" s="19"/>
      <c r="L108" s="21"/>
      <c r="M108" s="19"/>
      <c r="N108" s="21"/>
      <c r="O108" s="19"/>
      <c r="P108" s="21"/>
      <c r="Q108" s="19"/>
    </row>
  </sheetData>
  <mergeCells count="12">
    <mergeCell ref="B2:D2"/>
    <mergeCell ref="E2:P2"/>
    <mergeCell ref="C28:Q28"/>
    <mergeCell ref="C104:Q104"/>
    <mergeCell ref="C96:Q96"/>
    <mergeCell ref="C88:Q88"/>
    <mergeCell ref="C80:Q80"/>
    <mergeCell ref="C70:Q70"/>
    <mergeCell ref="C63:Q63"/>
    <mergeCell ref="C54:Q54"/>
    <mergeCell ref="C44:Q44"/>
    <mergeCell ref="C37:Q37"/>
  </mergeCells>
  <conditionalFormatting sqref="D107:P107">
    <cfRule type="cellIs" dxfId="406" priority="1" operator="lessThan">
      <formula>0</formula>
    </cfRule>
  </conditionalFormatting>
  <printOptions horizontalCentered="1"/>
  <pageMargins left="0.4" right="0.4" top="0.4" bottom="0.4" header="0.3" footer="0.3"/>
  <pageSetup paperSize="9" fitToHeight="0" orientation="landscape" r:id="rId1"/>
  <headerFooter differentFirst="1">
    <oddFooter>Page &amp;P of &amp;N</oddFooter>
  </headerFooter>
  <ignoredErrors>
    <ignoredError sqref="D106:P106" calculatedColumn="1"/>
    <ignoredError sqref="P6:P8 P13:P17 P21:P26 P30:P35 P39:P42 P46:P52 P56:P61 P65:P68 P72:P78 P82:P86 P90:P94 P98:P102" emptyCellReference="1"/>
  </ignoredErrors>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extLst>
    <ext xmlns:x14="http://schemas.microsoft.com/office/spreadsheetml/2009/9/main" uri="{05C60535-1F16-4fd2-B633-F4F36F0B64E0}">
      <x14:sparklineGroups xmlns:xm="http://schemas.microsoft.com/office/excel/2006/main">
        <x14:sparklineGroup displayEmptyCellsAs="gap" high="1" low="1" xr2:uid="{00000000-0003-0000-0100-00000D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PERSONNEL'!D98:O98</xm:f>
              <xm:sqref>Q98</xm:sqref>
            </x14:sparkline>
            <x14:sparkline>
              <xm:f>'BUDGET PERSONNEL'!D99:O99</xm:f>
              <xm:sqref>Q99</xm:sqref>
            </x14:sparkline>
            <x14:sparkline>
              <xm:f>'BUDGET PERSONNEL'!D100:O100</xm:f>
              <xm:sqref>Q100</xm:sqref>
            </x14:sparkline>
            <x14:sparkline>
              <xm:f>'BUDGET PERSONNEL'!D101:O101</xm:f>
              <xm:sqref>Q101</xm:sqref>
            </x14:sparkline>
            <x14:sparkline>
              <xm:f>'BUDGET PERSONNEL'!D102:O102</xm:f>
              <xm:sqref>Q102</xm:sqref>
            </x14:sparkline>
            <x14:sparkline>
              <xm:f>'BUDGET PERSONNEL'!D103:O103</xm:f>
              <xm:sqref>Q103</xm:sqref>
            </x14:sparkline>
          </x14:sparklines>
        </x14:sparklineGroup>
        <x14:sparklineGroup displayEmptyCellsAs="gap" high="1" low="1" xr2:uid="{00000000-0003-0000-0100-00000C000000}">
          <x14:colorSeries theme="0"/>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PERSONNEL'!D106:O106</xm:f>
              <xm:sqref>Q106</xm:sqref>
            </x14:sparkline>
            <x14:sparkline>
              <xm:f>'BUDGET PERSONNEL'!D107:O107</xm:f>
              <xm:sqref>Q107</xm:sqref>
            </x14:sparkline>
          </x14:sparklines>
        </x14:sparklineGroup>
        <x14:sparklineGroup displayEmptyCellsAs="gap" high="1" low="1" xr2:uid="{00000000-0003-0000-0100-00000B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PERSONNEL'!D90:O90</xm:f>
              <xm:sqref>Q90</xm:sqref>
            </x14:sparkline>
            <x14:sparkline>
              <xm:f>'BUDGET PERSONNEL'!D91:O91</xm:f>
              <xm:sqref>Q91</xm:sqref>
            </x14:sparkline>
            <x14:sparkline>
              <xm:f>'BUDGET PERSONNEL'!D92:O92</xm:f>
              <xm:sqref>Q92</xm:sqref>
            </x14:sparkline>
            <x14:sparkline>
              <xm:f>'BUDGET PERSONNEL'!D93:O93</xm:f>
              <xm:sqref>Q93</xm:sqref>
            </x14:sparkline>
            <x14:sparkline>
              <xm:f>'BUDGET PERSONNEL'!D94:O94</xm:f>
              <xm:sqref>Q94</xm:sqref>
            </x14:sparkline>
            <x14:sparkline>
              <xm:f>'BUDGET PERSONNEL'!D95:O95</xm:f>
              <xm:sqref>Q95</xm:sqref>
            </x14:sparkline>
          </x14:sparklines>
        </x14:sparklineGroup>
        <x14:sparklineGroup displayEmptyCellsAs="gap" high="1" low="1" xr2:uid="{00000000-0003-0000-0100-00000A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PERSONNEL'!D82:O82</xm:f>
              <xm:sqref>Q82</xm:sqref>
            </x14:sparkline>
            <x14:sparkline>
              <xm:f>'BUDGET PERSONNEL'!D83:O83</xm:f>
              <xm:sqref>Q83</xm:sqref>
            </x14:sparkline>
            <x14:sparkline>
              <xm:f>'BUDGET PERSONNEL'!D84:O84</xm:f>
              <xm:sqref>Q84</xm:sqref>
            </x14:sparkline>
            <x14:sparkline>
              <xm:f>'BUDGET PERSONNEL'!D85:O85</xm:f>
              <xm:sqref>Q85</xm:sqref>
            </x14:sparkline>
            <x14:sparkline>
              <xm:f>'BUDGET PERSONNEL'!D86:O86</xm:f>
              <xm:sqref>Q86</xm:sqref>
            </x14:sparkline>
            <x14:sparkline>
              <xm:f>'BUDGET PERSONNEL'!D87:O87</xm:f>
              <xm:sqref>Q87</xm:sqref>
            </x14:sparkline>
          </x14:sparklines>
        </x14:sparklineGroup>
        <x14:sparklineGroup displayEmptyCellsAs="gap" high="1" low="1" xr2:uid="{00000000-0003-0000-0100-000009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PERSONNEL'!D72:O72</xm:f>
              <xm:sqref>Q72</xm:sqref>
            </x14:sparkline>
            <x14:sparkline>
              <xm:f>'BUDGET PERSONNEL'!D73:O73</xm:f>
              <xm:sqref>Q73</xm:sqref>
            </x14:sparkline>
            <x14:sparkline>
              <xm:f>'BUDGET PERSONNEL'!D74:O74</xm:f>
              <xm:sqref>Q74</xm:sqref>
            </x14:sparkline>
            <x14:sparkline>
              <xm:f>'BUDGET PERSONNEL'!D75:O75</xm:f>
              <xm:sqref>Q75</xm:sqref>
            </x14:sparkline>
            <x14:sparkline>
              <xm:f>'BUDGET PERSONNEL'!D76:O76</xm:f>
              <xm:sqref>Q76</xm:sqref>
            </x14:sparkline>
            <x14:sparkline>
              <xm:f>'BUDGET PERSONNEL'!D77:O77</xm:f>
              <xm:sqref>Q77</xm:sqref>
            </x14:sparkline>
            <x14:sparkline>
              <xm:f>'BUDGET PERSONNEL'!D78:O78</xm:f>
              <xm:sqref>Q78</xm:sqref>
            </x14:sparkline>
            <x14:sparkline>
              <xm:f>'BUDGET PERSONNEL'!D79:O79</xm:f>
              <xm:sqref>Q79</xm:sqref>
            </x14:sparkline>
          </x14:sparklines>
        </x14:sparklineGroup>
        <x14:sparklineGroup displayEmptyCellsAs="gap" high="1" low="1" xr2:uid="{00000000-0003-0000-0100-000008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PERSONNEL'!D65:O65</xm:f>
              <xm:sqref>Q65</xm:sqref>
            </x14:sparkline>
            <x14:sparkline>
              <xm:f>'BUDGET PERSONNEL'!D66:O66</xm:f>
              <xm:sqref>Q66</xm:sqref>
            </x14:sparkline>
            <x14:sparkline>
              <xm:f>'BUDGET PERSONNEL'!D67:O67</xm:f>
              <xm:sqref>Q67</xm:sqref>
            </x14:sparkline>
            <x14:sparkline>
              <xm:f>'BUDGET PERSONNEL'!D68:O68</xm:f>
              <xm:sqref>Q68</xm:sqref>
            </x14:sparkline>
            <x14:sparkline>
              <xm:f>'BUDGET PERSONNEL'!D69:O69</xm:f>
              <xm:sqref>Q69</xm:sqref>
            </x14:sparkline>
          </x14:sparklines>
        </x14:sparklineGroup>
        <x14:sparklineGroup displayEmptyCellsAs="gap" high="1" low="1" xr2:uid="{00000000-0003-0000-0100-000007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PERSONNEL'!D56:O56</xm:f>
              <xm:sqref>Q56</xm:sqref>
            </x14:sparkline>
            <x14:sparkline>
              <xm:f>'BUDGET PERSONNEL'!D57:O57</xm:f>
              <xm:sqref>Q57</xm:sqref>
            </x14:sparkline>
            <x14:sparkline>
              <xm:f>'BUDGET PERSONNEL'!D58:O58</xm:f>
              <xm:sqref>Q58</xm:sqref>
            </x14:sparkline>
            <x14:sparkline>
              <xm:f>'BUDGET PERSONNEL'!D59:O59</xm:f>
              <xm:sqref>Q59</xm:sqref>
            </x14:sparkline>
            <x14:sparkline>
              <xm:f>'BUDGET PERSONNEL'!D60:O60</xm:f>
              <xm:sqref>Q60</xm:sqref>
            </x14:sparkline>
            <x14:sparkline>
              <xm:f>'BUDGET PERSONNEL'!D61:O61</xm:f>
              <xm:sqref>Q61</xm:sqref>
            </x14:sparkline>
            <x14:sparkline>
              <xm:f>'BUDGET PERSONNEL'!D62:O62</xm:f>
              <xm:sqref>Q62</xm:sqref>
            </x14:sparkline>
          </x14:sparklines>
        </x14:sparklineGroup>
        <x14:sparklineGroup displayEmptyCellsAs="gap" high="1" low="1" xr2:uid="{00000000-0003-0000-0100-000006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PERSONNEL'!D46:O46</xm:f>
              <xm:sqref>Q46</xm:sqref>
            </x14:sparkline>
            <x14:sparkline>
              <xm:f>'BUDGET PERSONNEL'!D47:O47</xm:f>
              <xm:sqref>Q47</xm:sqref>
            </x14:sparkline>
            <x14:sparkline>
              <xm:f>'BUDGET PERSONNEL'!D48:O48</xm:f>
              <xm:sqref>Q48</xm:sqref>
            </x14:sparkline>
            <x14:sparkline>
              <xm:f>'BUDGET PERSONNEL'!D49:O49</xm:f>
              <xm:sqref>Q49</xm:sqref>
            </x14:sparkline>
            <x14:sparkline>
              <xm:f>'BUDGET PERSONNEL'!D50:O50</xm:f>
              <xm:sqref>Q50</xm:sqref>
            </x14:sparkline>
            <x14:sparkline>
              <xm:f>'BUDGET PERSONNEL'!D51:O51</xm:f>
              <xm:sqref>Q51</xm:sqref>
            </x14:sparkline>
            <x14:sparkline>
              <xm:f>'BUDGET PERSONNEL'!D52:O52</xm:f>
              <xm:sqref>Q52</xm:sqref>
            </x14:sparkline>
            <x14:sparkline>
              <xm:f>'BUDGET PERSONNEL'!D53:O53</xm:f>
              <xm:sqref>Q53</xm:sqref>
            </x14:sparkline>
          </x14:sparklines>
        </x14:sparklineGroup>
        <x14:sparklineGroup displayEmptyCellsAs="gap" high="1" low="1" xr2:uid="{00000000-0003-0000-0100-000005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PERSONNEL'!D39:O39</xm:f>
              <xm:sqref>Q39</xm:sqref>
            </x14:sparkline>
            <x14:sparkline>
              <xm:f>'BUDGET PERSONNEL'!D40:O40</xm:f>
              <xm:sqref>Q40</xm:sqref>
            </x14:sparkline>
            <x14:sparkline>
              <xm:f>'BUDGET PERSONNEL'!D41:O41</xm:f>
              <xm:sqref>Q41</xm:sqref>
            </x14:sparkline>
            <x14:sparkline>
              <xm:f>'BUDGET PERSONNEL'!D42:O42</xm:f>
              <xm:sqref>Q42</xm:sqref>
            </x14:sparkline>
            <x14:sparkline>
              <xm:f>'BUDGET PERSONNEL'!D43:O43</xm:f>
              <xm:sqref>Q43</xm:sqref>
            </x14:sparkline>
          </x14:sparklines>
        </x14:sparklineGroup>
        <x14:sparklineGroup displayEmptyCellsAs="gap" high="1" low="1" xr2:uid="{00000000-0003-0000-0100-000004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PERSONNEL'!D30:O30</xm:f>
              <xm:sqref>Q30</xm:sqref>
            </x14:sparkline>
            <x14:sparkline>
              <xm:f>'BUDGET PERSONNEL'!D31:O31</xm:f>
              <xm:sqref>Q31</xm:sqref>
            </x14:sparkline>
            <x14:sparkline>
              <xm:f>'BUDGET PERSONNEL'!D32:O32</xm:f>
              <xm:sqref>Q32</xm:sqref>
            </x14:sparkline>
            <x14:sparkline>
              <xm:f>'BUDGET PERSONNEL'!D33:O33</xm:f>
              <xm:sqref>Q33</xm:sqref>
            </x14:sparkline>
            <x14:sparkline>
              <xm:f>'BUDGET PERSONNEL'!D34:O34</xm:f>
              <xm:sqref>Q34</xm:sqref>
            </x14:sparkline>
            <x14:sparkline>
              <xm:f>'BUDGET PERSONNEL'!D35:O35</xm:f>
              <xm:sqref>Q35</xm:sqref>
            </x14:sparkline>
            <x14:sparkline>
              <xm:f>'BUDGET PERSONNEL'!D36:O36</xm:f>
              <xm:sqref>Q36</xm:sqref>
            </x14:sparkline>
          </x14:sparklines>
        </x14:sparklineGroup>
        <x14:sparklineGroup displayEmptyCellsAs="gap" high="1" low="1" xr2:uid="{00000000-0003-0000-0100-000003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PERSONNEL'!D21:O21</xm:f>
              <xm:sqref>Q21</xm:sqref>
            </x14:sparkline>
            <x14:sparkline>
              <xm:f>'BUDGET PERSONNEL'!D22:O22</xm:f>
              <xm:sqref>Q22</xm:sqref>
            </x14:sparkline>
            <x14:sparkline>
              <xm:f>'BUDGET PERSONNEL'!D23:O23</xm:f>
              <xm:sqref>Q23</xm:sqref>
            </x14:sparkline>
            <x14:sparkline>
              <xm:f>'BUDGET PERSONNEL'!D24:O24</xm:f>
              <xm:sqref>Q24</xm:sqref>
            </x14:sparkline>
            <x14:sparkline>
              <xm:f>'BUDGET PERSONNEL'!D25:O25</xm:f>
              <xm:sqref>Q25</xm:sqref>
            </x14:sparkline>
            <x14:sparkline>
              <xm:f>'BUDGET PERSONNEL'!D26:O26</xm:f>
              <xm:sqref>Q26</xm:sqref>
            </x14:sparkline>
            <x14:sparkline>
              <xm:f>'BUDGET PERSONNEL'!D27:O27</xm:f>
              <xm:sqref>Q27</xm:sqref>
            </x14:sparkline>
          </x14:sparklines>
        </x14:sparklineGroup>
        <x14:sparklineGroup displayEmptyCellsAs="gap" high="1" low="1" xr2:uid="{00000000-0003-0000-0100-000002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PERSONNEL'!D13:O13</xm:f>
              <xm:sqref>Q13</xm:sqref>
            </x14:sparkline>
          </x14:sparklines>
        </x14:sparklineGroup>
        <x14:sparklineGroup displayEmptyCellsAs="gap" high="1" low="1" xr2:uid="{00000000-0003-0000-0100-000001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PERSONNEL'!D6:O6</xm:f>
              <xm:sqref>Q6</xm:sqref>
            </x14:sparkline>
            <x14:sparkline>
              <xm:f>'BUDGET PERSONNEL'!D7:O7</xm:f>
              <xm:sqref>Q7</xm:sqref>
            </x14:sparkline>
            <x14:sparkline>
              <xm:f>'BUDGET PERSONNEL'!D8:O8</xm:f>
              <xm:sqref>Q8</xm:sqref>
            </x14:sparkline>
            <x14:sparkline>
              <xm:f>'BUDGET PERSONNEL'!D9:O9</xm:f>
              <xm:sqref>Q9</xm:sqref>
            </x14:sparkline>
          </x14:sparklines>
        </x14:sparklineGroup>
        <x14:sparklineGroup displayEmptyCellsAs="gap" high="1" low="1" xr2:uid="{00000000-0003-0000-0100-000000000000}">
          <x14:colorSeries theme="4" tint="-0.249977111117893"/>
          <x14:colorNegative theme="5"/>
          <x14:colorAxis rgb="FF000000"/>
          <x14:colorMarkers theme="5" tint="-0.249977111117893"/>
          <x14:colorFirst theme="5" tint="-0.249977111117893"/>
          <x14:colorLast theme="5" tint="-0.249977111117893"/>
          <x14:colorHigh theme="5" tint="-0.249977111117893"/>
          <x14:colorLow theme="5" tint="-0.249977111117893"/>
          <x14:sparklines>
            <x14:sparkline>
              <xm:f>'BUDGET PERSONNEL'!D14:O14</xm:f>
              <xm:sqref>Q14</xm:sqref>
            </x14:sparkline>
            <x14:sparkline>
              <xm:f>'BUDGET PERSONNEL'!D15:O15</xm:f>
              <xm:sqref>Q15</xm:sqref>
            </x14:sparkline>
            <x14:sparkline>
              <xm:f>'BUDGET PERSONNEL'!D16:O16</xm:f>
              <xm:sqref>Q16</xm:sqref>
            </x14:sparkline>
            <x14:sparkline>
              <xm:f>'BUDGET PERSONNEL'!D17:O17</xm:f>
              <xm:sqref>Q17</xm:sqref>
            </x14:sparkline>
            <x14:sparkline>
              <xm:f>'BUDGET PERSONNEL'!D18:O18</xm:f>
              <xm:sqref>Q18</xm:sqref>
            </x14:sparkline>
          </x14:sparklines>
        </x14:sparklineGroup>
      </x14:sparklineGroups>
    </ext>
  </extLst>
</worksheet>
</file>

<file path=docProps/app.xml><?xml version="1.0" encoding="utf-8"?>
<ap:Properties xmlns:vt="http://schemas.openxmlformats.org/officeDocument/2006/docPropsVTypes" xmlns:ap="http://schemas.openxmlformats.org/officeDocument/2006/extended-properties">
  <ap:Application>Microsoft Excel</ap:Application>
  <ap:Template>TM04035483</ap:Template>
  <ap:DocSecurity>0</ap:DocSecurity>
  <ap:ScaleCrop>false</ap:ScaleCrop>
  <ap:HeadingPairs>
    <vt:vector baseType="variant" size="2">
      <vt:variant>
        <vt:lpstr>Feuilles de calcul</vt:lpstr>
      </vt:variant>
      <vt:variant>
        <vt:i4>2</vt:i4>
      </vt:variant>
    </vt:vector>
  </ap:HeadingPairs>
  <ap:TitlesOfParts>
    <vt:vector baseType="lpstr" size="2">
      <vt:lpstr>DÉBUT</vt:lpstr>
      <vt:lpstr>BUDGET PERSONNEL</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admin</cp:lastModifiedBy>
  <dcterms:created xsi:type="dcterms:W3CDTF">2018-06-21T11:23:21Z</dcterms:created>
  <dcterms:modified xsi:type="dcterms:W3CDTF">2019-05-10T06:24:49Z</dcterms:modified>
</cp:coreProperties>
</file>

<file path=docProps/custom.xml><?xml version="1.0" encoding="utf-8"?>
<Properties xmlns="http://schemas.openxmlformats.org/officeDocument/2006/custom-properties" xmlns:vt="http://schemas.openxmlformats.org/officeDocument/2006/docPropsVTypes"/>
</file>