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15600" windowHeight="11640" tabRatio="690"/>
  </bookViews>
  <sheets>
    <sheet name="Janvier" sheetId="1" r:id="rId1"/>
    <sheet name="Février" sheetId="6" r:id="rId2"/>
    <sheet name="Mars" sheetId="7" r:id="rId3"/>
    <sheet name="Avril" sheetId="8" r:id="rId4"/>
    <sheet name="Mai" sheetId="9" r:id="rId5"/>
    <sheet name="Juin" sheetId="10" r:id="rId6"/>
    <sheet name="Juillet" sheetId="11" r:id="rId7"/>
    <sheet name="Août" sheetId="12" r:id="rId8"/>
    <sheet name="Septembre" sheetId="13" r:id="rId9"/>
    <sheet name="Octobre" sheetId="14" r:id="rId10"/>
    <sheet name="Novembre" sheetId="15" r:id="rId11"/>
    <sheet name="Décembre" sheetId="16" r:id="rId12"/>
  </sheets>
  <definedNames>
    <definedName name="Année_Calendaire">Janvier!$N$2</definedName>
    <definedName name="Aoû_Dim1">DATE(Année_Calendaire,8,1)-WEEKDAY(DATE(Année_Calendaire,8,1))+1</definedName>
    <definedName name="Avr_Dim1">DATE(Année_Calendaire,4,1)-WEEKDAY(DATE(Année_Calendaire,4,1))+1</definedName>
    <definedName name="Déc_Dim1">DATE(Année_Calendaire,12,1)-WEEKDAY(DATE(Année_Calendaire,12,1))+1</definedName>
    <definedName name="Fév_Dim1">DATE(Année_Calendaire,2,1)-WEEKDAY(DATE(Année_Calendaire,2,1))+1</definedName>
    <definedName name="Jan_Dim1">DATE(Année_Calendaire,1,1)-WEEKDAY(DATE(Année_Calendaire,1,1))+1</definedName>
    <definedName name="Jours_affectation" localSheetId="7">Août!$L$4:$L$33</definedName>
    <definedName name="Jours_affectation" localSheetId="3">Avril!$L$4:$L$33</definedName>
    <definedName name="Jours_affectation" localSheetId="11">Décembre!$L$4:$L$33</definedName>
    <definedName name="Jours_affectation" localSheetId="1">Février!$L$4:$L$33</definedName>
    <definedName name="Jours_affectation" localSheetId="6">Juillet!$L$4:$L$33</definedName>
    <definedName name="Jours_affectation" localSheetId="5">Juin!$L$4:$L$33</definedName>
    <definedName name="Jours_affectation" localSheetId="4">Mai!$L$4:$L$33</definedName>
    <definedName name="Jours_affectation" localSheetId="2">Mars!$L$4:$L$33</definedName>
    <definedName name="Jours_affectation" localSheetId="10">Novembre!$L$4:$L$33</definedName>
    <definedName name="Jours_affectation" localSheetId="9">Octobre!$L$4:$L$33</definedName>
    <definedName name="Jours_affectation" localSheetId="8">Septembre!$L$4:$L$33</definedName>
    <definedName name="Jours_affectation">Janvier!$L$4:$L$33</definedName>
    <definedName name="Juil_Dim1">DATE(Année_Calendaire,7,1)-WEEKDAY(DATE(Année_Calendaire,7,1))+1</definedName>
    <definedName name="Juin_Dim1">DATE(Année_Calendaire,6,1)-WEEKDAY(DATE(Année_Calendaire,6,1))+1</definedName>
    <definedName name="Mai_Dim1">DATE(Année_Calendaire,5,1)-WEEKDAY(DATE(Année_Calendaire,5,1))+1</definedName>
    <definedName name="Mar_Dim1">DATE(Année_Calendaire,3,1)-WEEKDAY(DATE(Année_Calendaire,3,1))+1</definedName>
    <definedName name="Nov_Dim1">DATE(Année_Calendaire,11,1)-WEEKDAY(DATE(Année_Calendaire,11,1))+1</definedName>
    <definedName name="Oct_Dim1">DATE(Année_Calendaire,10,1)-WEEKDAY(DATE(Année_Calendaire,10,1))+1</definedName>
    <definedName name="_xlnm.Print_Area" localSheetId="7">Août!$A$1:$M$50</definedName>
    <definedName name="_xlnm.Print_Area" localSheetId="3">Avril!$A$1:$M$50</definedName>
    <definedName name="_xlnm.Print_Area" localSheetId="11">Décembre!$A$1:$M$50</definedName>
    <definedName name="_xlnm.Print_Area" localSheetId="1">Février!$A$1:$M$50</definedName>
    <definedName name="_xlnm.Print_Area" localSheetId="0">Janvier!$A$1:$M$50</definedName>
    <definedName name="_xlnm.Print_Area" localSheetId="6">Juillet!$A$1:$M$50</definedName>
    <definedName name="_xlnm.Print_Area" localSheetId="5">Juin!$A$1:$M$50</definedName>
    <definedName name="_xlnm.Print_Area" localSheetId="4">Mai!$A$1:$M$50</definedName>
    <definedName name="_xlnm.Print_Area" localSheetId="2">Mars!$A$1:$M$50</definedName>
    <definedName name="_xlnm.Print_Area" localSheetId="10">Novembre!$A$1:$M$50</definedName>
    <definedName name="_xlnm.Print_Area" localSheetId="9">Octobre!$A$1:$M$50</definedName>
    <definedName name="_xlnm.Print_Area" localSheetId="8">Septembre!$A$1:$M$50</definedName>
    <definedName name="Sep_Dim1">DATE(Année_Calendaire,9,1)-WEEKDAY(DATE(Année_Calendaire,9,1))+1</definedName>
    <definedName name="Table_Dates_Importantes" localSheetId="7">Août!$L$4:$M$8</definedName>
    <definedName name="Table_Dates_Importantes" localSheetId="3">Avril!$L$4:$M$8</definedName>
    <definedName name="Table_Dates_Importantes" localSheetId="11">Décembre!$L$4:$M$8</definedName>
    <definedName name="Table_Dates_Importantes" localSheetId="1">Février!$L$4:$M$8</definedName>
    <definedName name="Table_Dates_Importantes" localSheetId="6">Juillet!$L$4:$M$8</definedName>
    <definedName name="Table_Dates_Importantes" localSheetId="5">Juin!$L$4:$M$8</definedName>
    <definedName name="Table_Dates_Importantes" localSheetId="4">Mai!$L$4:$M$8</definedName>
    <definedName name="Table_Dates_Importantes" localSheetId="2">Mars!$L$4:$M$8</definedName>
    <definedName name="Table_Dates_Importantes" localSheetId="10">Novembre!$L$4:$M$8</definedName>
    <definedName name="Table_Dates_Importantes" localSheetId="9">Octobre!$L$4:$M$8</definedName>
    <definedName name="Table_Dates_Importantes" localSheetId="8">Septembre!$L$4:$M$8</definedName>
    <definedName name="Table_Dates_Importantes">Janvier!$L$4:$M$8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<sst xmlns="http://schemas.openxmlformats.org/spreadsheetml/2006/main" count="554" uniqueCount="39">
  <si>
    <t>S</t>
  </si>
  <si>
    <t>M</t>
  </si>
  <si>
    <t>8:00</t>
  </si>
  <si>
    <t>9:00</t>
  </si>
  <si>
    <t>2:00</t>
  </si>
  <si>
    <t>10:00</t>
  </si>
  <si>
    <t>4:00</t>
  </si>
  <si>
    <t>AFFECTATIONS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</si>
  <si>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</si>
  <si>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</si>
  <si>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</si>
  <si>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</si>
  <si>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</si>
  <si>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</si>
  <si>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</si>
  <si>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</si>
  <si>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</si>
  <si>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</si>
  <si>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</si>
  <si>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</si>
  <si>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JEUDI</t>
  </si>
  <si>
    <t>Français</t>
  </si>
  <si>
    <t>Histoire de l’art</t>
  </si>
  <si>
    <t>Mathématique</t>
  </si>
  <si>
    <t>LUNDI</t>
  </si>
  <si>
    <t>MARDI</t>
  </si>
  <si>
    <t>MERCREDI</t>
  </si>
  <si>
    <t>VENDREDI</t>
  </si>
  <si>
    <t>Anglais</t>
  </si>
  <si>
    <t>Programmation</t>
  </si>
  <si>
    <t>PLANIFICATION HEBDOMADAIRE</t>
  </si>
  <si>
    <t>VENDR</t>
  </si>
  <si>
    <t>MERCR</t>
  </si>
  <si>
    <t>Français : premier devoir à rendre</t>
  </si>
  <si>
    <t>Mathématique : Test</t>
  </si>
  <si>
    <t>L</t>
  </si>
  <si>
    <t>J</t>
  </si>
  <si>
    <t>V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</si>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</sst>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3</xdr:row>
      <xdr:rowOff>142875</xdr:rowOff>
    </xdr:to>
    <xdr:sp macro="" textlink="">
      <xdr:nvSpPr>
        <xdr:cNvPr id="3" name="TextBox 2"/>
        <xdr:cNvSpPr txBox="1"/>
      </xdr:nvSpPr>
      <xdr:spPr>
        <a:xfrm>
          <a:off x="9658350" y="171450"/>
          <a:ext cx="22860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Pour changer</a:t>
          </a:r>
          <a:r>
            <a:rPr lang="en-US" sz="1000" b="1" baseline="0">
              <a:solidFill>
                <a:schemeClr val="accent1"/>
              </a:solidFill>
            </a:rPr>
            <a:t> l’année du calendrier, cliquez sur le compteur.</a:t>
          </a:r>
          <a:endParaRPr lang="en-US" sz="1000" b="1">
            <a:solidFill>
              <a:schemeClr val="accent1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8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47">
        <v>2011</v>
      </c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48"/>
    </row>
    <row r="4" spans="1:14" ht="18" customHeight="1" x14ac:dyDescent="0.2">
      <c r="A4" s="4"/>
      <c r="B4" s="67"/>
      <c r="C4" s="10">
        <f>IF(DAY(Jan_Dim1)=1,Jan_Dim1-6,Jan_Dim1+1)</f>
        <v>40539</v>
      </c>
      <c r="D4" s="10">
        <f>IF(DAY(Jan_Dim1)=1,Jan_Dim1-5,Jan_Dim1+2)</f>
        <v>40540</v>
      </c>
      <c r="E4" s="10">
        <f>IF(DAY(Jan_Dim1)=1,Jan_Dim1-4,Jan_Dim1+3)</f>
        <v>40541</v>
      </c>
      <c r="F4" s="10">
        <f>IF(DAY(Jan_Dim1)=1,Jan_Dim1-3,Jan_Dim1+4)</f>
        <v>40542</v>
      </c>
      <c r="G4" s="10">
        <f>IF(DAY(Jan_Dim1)=1,Jan_Dim1-2,Jan_Dim1+5)</f>
        <v>40543</v>
      </c>
      <c r="H4" s="10">
        <f>IF(DAY(Jan_Dim1)=1,Jan_Dim1-1,Jan_Dim1+6)</f>
        <v>40544</v>
      </c>
      <c r="I4" s="10">
        <f>IF(DAY(Jan_Dim1)=1,Jan_Dim1,Jan_Dim1+7)</f>
        <v>40545</v>
      </c>
      <c r="J4" s="5"/>
      <c r="K4" s="44" t="s">
        <v>24</v>
      </c>
      <c r="L4" s="16">
        <v>3</v>
      </c>
      <c r="M4" s="45" t="s">
        <v>33</v>
      </c>
      <c r="N4" s="46"/>
    </row>
    <row r="5" spans="1:14" ht="18" customHeight="1" x14ac:dyDescent="0.2">
      <c r="A5" s="4"/>
      <c r="B5" s="67"/>
      <c r="C5" s="10">
        <f>IF(DAY(Jan_Dim1)=1,Jan_Dim1+1,Jan_Dim1+8)</f>
        <v>40546</v>
      </c>
      <c r="D5" s="10">
        <f>IF(DAY(Jan_Dim1)=1,Jan_Dim1+2,Jan_Dim1+9)</f>
        <v>40547</v>
      </c>
      <c r="E5" s="10">
        <f>IF(DAY(Jan_Dim1)=1,Jan_Dim1+3,Jan_Dim1+10)</f>
        <v>40548</v>
      </c>
      <c r="F5" s="10">
        <f>IF(DAY(Jan_Dim1)=1,Jan_Dim1+4,Jan_Dim1+11)</f>
        <v>40549</v>
      </c>
      <c r="G5" s="10">
        <f>IF(DAY(Jan_Dim1)=1,Jan_Dim1+5,Jan_Dim1+12)</f>
        <v>40550</v>
      </c>
      <c r="H5" s="10">
        <f>IF(DAY(Jan_Dim1)=1,Jan_Dim1+6,Jan_Dim1+13)</f>
        <v>40551</v>
      </c>
      <c r="I5" s="10">
        <f>IF(DAY(Jan_Dim1)=1,Jan_Dim1+7,Jan_Dim1+14)</f>
        <v>40552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IF(DAY(Jan_Dim1)=1,Jan_Dim1+8,Jan_Dim1+15)</f>
        <v>40553</v>
      </c>
      <c r="D6" s="10">
        <f>IF(DAY(Jan_Dim1)=1,Jan_Dim1+9,Jan_Dim1+16)</f>
        <v>40554</v>
      </c>
      <c r="E6" s="10">
        <f>IF(DAY(Jan_Dim1)=1,Jan_Dim1+10,Jan_Dim1+17)</f>
        <v>40555</v>
      </c>
      <c r="F6" s="10">
        <f>IF(DAY(Jan_Dim1)=1,Jan_Dim1+11,Jan_Dim1+18)</f>
        <v>40556</v>
      </c>
      <c r="G6" s="10">
        <f>IF(DAY(Jan_Dim1)=1,Jan_Dim1+12,Jan_Dim1+19)</f>
        <v>40557</v>
      </c>
      <c r="H6" s="10">
        <f>IF(DAY(Jan_Dim1)=1,Jan_Dim1+13,Jan_Dim1+20)</f>
        <v>40558</v>
      </c>
      <c r="I6" s="10">
        <f>IF(DAY(Jan_Dim1)=1,Jan_Dim1+14,Jan_Dim1+21)</f>
        <v>40559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IF(DAY(Jan_Dim1)=1,Jan_Dim1+15,Jan_Dim1+22)</f>
        <v>40560</v>
      </c>
      <c r="D7" s="10">
        <f>IF(DAY(Jan_Dim1)=1,Jan_Dim1+16,Jan_Dim1+23)</f>
        <v>40561</v>
      </c>
      <c r="E7" s="10">
        <f>IF(DAY(Jan_Dim1)=1,Jan_Dim1+17,Jan_Dim1+24)</f>
        <v>40562</v>
      </c>
      <c r="F7" s="10">
        <f>IF(DAY(Jan_Dim1)=1,Jan_Dim1+18,Jan_Dim1+25)</f>
        <v>40563</v>
      </c>
      <c r="G7" s="10">
        <f>IF(DAY(Jan_Dim1)=1,Jan_Dim1+19,Jan_Dim1+26)</f>
        <v>40564</v>
      </c>
      <c r="H7" s="10">
        <f>IF(DAY(Jan_Dim1)=1,Jan_Dim1+20,Jan_Dim1+27)</f>
        <v>40565</v>
      </c>
      <c r="I7" s="10">
        <f>IF(DAY(Jan_Dim1)=1,Jan_Dim1+21,Jan_Dim1+28)</f>
        <v>40566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IF(DAY(Jan_Dim1)=1,Jan_Dim1+22,Jan_Dim1+29)</f>
        <v>40567</v>
      </c>
      <c r="D8" s="10">
        <f>IF(DAY(Jan_Dim1)=1,Jan_Dim1+23,Jan_Dim1+30)</f>
        <v>40568</v>
      </c>
      <c r="E8" s="10">
        <f>IF(DAY(Jan_Dim1)=1,Jan_Dim1+24,Jan_Dim1+31)</f>
        <v>40569</v>
      </c>
      <c r="F8" s="10">
        <f>IF(DAY(Jan_Dim1)=1,Jan_Dim1+25,Jan_Dim1+32)</f>
        <v>40570</v>
      </c>
      <c r="G8" s="10">
        <f>IF(DAY(Jan_Dim1)=1,Jan_Dim1+26,Jan_Dim1+33)</f>
        <v>40571</v>
      </c>
      <c r="H8" s="10">
        <f>IF(DAY(Jan_Dim1)=1,Jan_Dim1+27,Jan_Dim1+34)</f>
        <v>40572</v>
      </c>
      <c r="I8" s="10">
        <f>IF(DAY(Jan_Dim1)=1,Jan_Dim1+28,Jan_Dim1+35)</f>
        <v>40573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IF(DAY(Jan_Dim1)=1,Jan_Dim1+29,Jan_Dim1+36)</f>
        <v>40574</v>
      </c>
      <c r="D9" s="10">
        <f>IF(DAY(Jan_Dim1)=1,Jan_Dim1+30,Jan_Dim1+37)</f>
        <v>40575</v>
      </c>
      <c r="E9" s="10">
        <f>IF(DAY(Jan_Dim1)=1,Jan_Dim1+31,Jan_Dim1+38)</f>
        <v>40576</v>
      </c>
      <c r="F9" s="10">
        <f>IF(DAY(Jan_Dim1)=1,Jan_Dim1+32,Jan_Dim1+39)</f>
        <v>40577</v>
      </c>
      <c r="G9" s="10">
        <f>IF(DAY(Jan_Dim1)=1,Jan_Dim1+33,Jan_Dim1+40)</f>
        <v>40578</v>
      </c>
      <c r="H9" s="10">
        <f>IF(DAY(Jan_Dim1)=1,Jan_Dim1+34,Jan_Dim1+41)</f>
        <v>40579</v>
      </c>
      <c r="I9" s="10">
        <f>IF(DAY(Jan_Dim1)=1,Jan_Dim1+35,Jan_Dim1+42)</f>
        <v>40580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>
        <v>18</v>
      </c>
      <c r="M10" s="33" t="s">
        <v>34</v>
      </c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VLOOKUP(DAY(C4),Jours_affectation,1,FALSE)=DAY(C4)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17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IF(DAY(Oct_Dim1)=1,Oct_Dim1-6,Oct_Dim1+1)</f>
        <v>40812</v>
      </c>
      <c r="D4" s="10">
        <f>IF(DAY(Oct_Dim1)=1,Oct_Dim1-5,Oct_Dim1+2)</f>
        <v>40813</v>
      </c>
      <c r="E4" s="10">
        <f>IF(DAY(Oct_Dim1)=1,Oct_Dim1-4,Oct_Dim1+3)</f>
        <v>40814</v>
      </c>
      <c r="F4" s="10">
        <f>IF(DAY(Oct_Dim1)=1,Oct_Dim1-3,Oct_Dim1+4)</f>
        <v>40815</v>
      </c>
      <c r="G4" s="10">
        <f>IF(DAY(Oct_Dim1)=1,Oct_Dim1-2,Oct_Dim1+5)</f>
        <v>40816</v>
      </c>
      <c r="H4" s="10">
        <f>IF(DAY(Oct_Dim1)=1,Oct_Dim1-1,Oct_Dim1+6)</f>
        <v>40817</v>
      </c>
      <c r="I4" s="10">
        <f>IF(DAY(Oct_Dim1)=1,Oct_Dim1,Oct_Dim1+7)</f>
        <v>40818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IF(DAY(Oct_Dim1)=1,Oct_Dim1+1,Oct_Dim1+8)</f>
        <v>40819</v>
      </c>
      <c r="D5" s="10">
        <f>IF(DAY(Oct_Dim1)=1,Oct_Dim1+2,Oct_Dim1+9)</f>
        <v>40820</v>
      </c>
      <c r="E5" s="10">
        <f>IF(DAY(Oct_Dim1)=1,Oct_Dim1+3,Oct_Dim1+10)</f>
        <v>40821</v>
      </c>
      <c r="F5" s="10">
        <f>IF(DAY(Oct_Dim1)=1,Oct_Dim1+4,Oct_Dim1+11)</f>
        <v>40822</v>
      </c>
      <c r="G5" s="10">
        <f>IF(DAY(Oct_Dim1)=1,Oct_Dim1+5,Oct_Dim1+12)</f>
        <v>40823</v>
      </c>
      <c r="H5" s="10">
        <f>IF(DAY(Oct_Dim1)=1,Oct_Dim1+6,Oct_Dim1+13)</f>
        <v>40824</v>
      </c>
      <c r="I5" s="10">
        <f>IF(DAY(Oct_Dim1)=1,Oct_Dim1+7,Oct_Dim1+14)</f>
        <v>40825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IF(DAY(Oct_Dim1)=1,Oct_Dim1+8,Oct_Dim1+15)</f>
        <v>40826</v>
      </c>
      <c r="D6" s="10">
        <f>IF(DAY(Oct_Dim1)=1,Oct_Dim1+9,Oct_Dim1+16)</f>
        <v>40827</v>
      </c>
      <c r="E6" s="10">
        <f>IF(DAY(Oct_Dim1)=1,Oct_Dim1+10,Oct_Dim1+17)</f>
        <v>40828</v>
      </c>
      <c r="F6" s="10">
        <f>IF(DAY(Oct_Dim1)=1,Oct_Dim1+11,Oct_Dim1+18)</f>
        <v>40829</v>
      </c>
      <c r="G6" s="10">
        <f>IF(DAY(Oct_Dim1)=1,Oct_Dim1+12,Oct_Dim1+19)</f>
        <v>40830</v>
      </c>
      <c r="H6" s="10">
        <f>IF(DAY(Oct_Dim1)=1,Oct_Dim1+13,Oct_Dim1+20)</f>
        <v>40831</v>
      </c>
      <c r="I6" s="10">
        <f>IF(DAY(Oct_Dim1)=1,Oct_Dim1+14,Oct_Dim1+21)</f>
        <v>40832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IF(DAY(Oct_Dim1)=1,Oct_Dim1+15,Oct_Dim1+22)</f>
        <v>40833</v>
      </c>
      <c r="D7" s="10">
        <f>IF(DAY(Oct_Dim1)=1,Oct_Dim1+16,Oct_Dim1+23)</f>
        <v>40834</v>
      </c>
      <c r="E7" s="10">
        <f>IF(DAY(Oct_Dim1)=1,Oct_Dim1+17,Oct_Dim1+24)</f>
        <v>40835</v>
      </c>
      <c r="F7" s="10">
        <f>IF(DAY(Oct_Dim1)=1,Oct_Dim1+18,Oct_Dim1+25)</f>
        <v>40836</v>
      </c>
      <c r="G7" s="10">
        <f>IF(DAY(Oct_Dim1)=1,Oct_Dim1+19,Oct_Dim1+26)</f>
        <v>40837</v>
      </c>
      <c r="H7" s="10">
        <f>IF(DAY(Oct_Dim1)=1,Oct_Dim1+20,Oct_Dim1+27)</f>
        <v>40838</v>
      </c>
      <c r="I7" s="10">
        <f>IF(DAY(Oct_Dim1)=1,Oct_Dim1+21,Oct_Dim1+28)</f>
        <v>40839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IF(DAY(Oct_Dim1)=1,Oct_Dim1+22,Oct_Dim1+29)</f>
        <v>40840</v>
      </c>
      <c r="D8" s="10">
        <f>IF(DAY(Oct_Dim1)=1,Oct_Dim1+23,Oct_Dim1+30)</f>
        <v>40841</v>
      </c>
      <c r="E8" s="10">
        <f>IF(DAY(Oct_Dim1)=1,Oct_Dim1+24,Oct_Dim1+31)</f>
        <v>40842</v>
      </c>
      <c r="F8" s="10">
        <f>IF(DAY(Oct_Dim1)=1,Oct_Dim1+25,Oct_Dim1+32)</f>
        <v>40843</v>
      </c>
      <c r="G8" s="10">
        <f>IF(DAY(Oct_Dim1)=1,Oct_Dim1+26,Oct_Dim1+33)</f>
        <v>40844</v>
      </c>
      <c r="H8" s="10">
        <f>IF(DAY(Oct_Dim1)=1,Oct_Dim1+27,Oct_Dim1+34)</f>
        <v>40845</v>
      </c>
      <c r="I8" s="10">
        <f>IF(DAY(Oct_Dim1)=1,Oct_Dim1+28,Oct_Dim1+35)</f>
        <v>40846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IF(DAY(Oct_Dim1)=1,Oct_Dim1+29,Oct_Dim1+36)</f>
        <v>40847</v>
      </c>
      <c r="D9" s="10">
        <f>IF(DAY(Oct_Dim1)=1,Oct_Dim1+30,Oct_Dim1+37)</f>
        <v>40848</v>
      </c>
      <c r="E9" s="10">
        <f>IF(DAY(Oct_Dim1)=1,Oct_Dim1+31,Oct_Dim1+38)</f>
        <v>40849</v>
      </c>
      <c r="F9" s="10">
        <f>IF(DAY(Oct_Dim1)=1,Oct_Dim1+32,Oct_Dim1+39)</f>
        <v>40850</v>
      </c>
      <c r="G9" s="10">
        <f>IF(DAY(Oct_Dim1)=1,Oct_Dim1+33,Oct_Dim1+40)</f>
        <v>40851</v>
      </c>
      <c r="H9" s="10">
        <f>IF(DAY(Oct_Dim1)=1,Oct_Dim1+34,Oct_Dim1+41)</f>
        <v>40852</v>
      </c>
      <c r="I9" s="10">
        <f>IF(DAY(Oct_Dim1)=1,Oct_Dim1+35,Oct_Dim1+42)</f>
        <v>40853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VLOOKUP(DAY(C4),Jours_affectation,1,FALSE)=DAY(C4)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18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IF(DAY(Nov_Dim1)=1,Nov_Dim1-6,Nov_Dim1+1)</f>
        <v>40847</v>
      </c>
      <c r="D4" s="10">
        <f>IF(DAY(Nov_Dim1)=1,Nov_Dim1-5,Nov_Dim1+2)</f>
        <v>40848</v>
      </c>
      <c r="E4" s="10">
        <f>IF(DAY(Nov_Dim1)=1,Nov_Dim1-4,Nov_Dim1+3)</f>
        <v>40849</v>
      </c>
      <c r="F4" s="10">
        <f>IF(DAY(Nov_Dim1)=1,Nov_Dim1-3,Nov_Dim1+4)</f>
        <v>40850</v>
      </c>
      <c r="G4" s="10">
        <f>IF(DAY(Nov_Dim1)=1,Nov_Dim1-2,Nov_Dim1+5)</f>
        <v>40851</v>
      </c>
      <c r="H4" s="10">
        <f>IF(DAY(Nov_Dim1)=1,Nov_Dim1-1,Nov_Dim1+6)</f>
        <v>40852</v>
      </c>
      <c r="I4" s="10">
        <f>IF(DAY(Nov_Dim1)=1,Nov_Dim1,Nov_Dim1+7)</f>
        <v>40853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IF(DAY(Nov_Dim1)=1,Nov_Dim1+1,Nov_Dim1+8)</f>
        <v>40854</v>
      </c>
      <c r="D5" s="10">
        <f>IF(DAY(Nov_Dim1)=1,Nov_Dim1+2,Nov_Dim1+9)</f>
        <v>40855</v>
      </c>
      <c r="E5" s="10">
        <f>IF(DAY(Nov_Dim1)=1,Nov_Dim1+3,Nov_Dim1+10)</f>
        <v>40856</v>
      </c>
      <c r="F5" s="10">
        <f>IF(DAY(Nov_Dim1)=1,Nov_Dim1+4,Nov_Dim1+11)</f>
        <v>40857</v>
      </c>
      <c r="G5" s="10">
        <f>IF(DAY(Nov_Dim1)=1,Nov_Dim1+5,Nov_Dim1+12)</f>
        <v>40858</v>
      </c>
      <c r="H5" s="10">
        <f>IF(DAY(Nov_Dim1)=1,Nov_Dim1+6,Nov_Dim1+13)</f>
        <v>40859</v>
      </c>
      <c r="I5" s="10">
        <f>IF(DAY(Nov_Dim1)=1,Nov_Dim1+7,Nov_Dim1+14)</f>
        <v>40860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IF(DAY(Nov_Dim1)=1,Nov_Dim1+8,Nov_Dim1+15)</f>
        <v>40861</v>
      </c>
      <c r="D6" s="10">
        <f>IF(DAY(Nov_Dim1)=1,Nov_Dim1+9,Nov_Dim1+16)</f>
        <v>40862</v>
      </c>
      <c r="E6" s="10">
        <f>IF(DAY(Nov_Dim1)=1,Nov_Dim1+10,Nov_Dim1+17)</f>
        <v>40863</v>
      </c>
      <c r="F6" s="10">
        <f>IF(DAY(Nov_Dim1)=1,Nov_Dim1+11,Nov_Dim1+18)</f>
        <v>40864</v>
      </c>
      <c r="G6" s="10">
        <f>IF(DAY(Nov_Dim1)=1,Nov_Dim1+12,Nov_Dim1+19)</f>
        <v>40865</v>
      </c>
      <c r="H6" s="10">
        <f>IF(DAY(Nov_Dim1)=1,Nov_Dim1+13,Nov_Dim1+20)</f>
        <v>40866</v>
      </c>
      <c r="I6" s="10">
        <f>IF(DAY(Nov_Dim1)=1,Nov_Dim1+14,Nov_Dim1+21)</f>
        <v>40867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IF(DAY(Nov_Dim1)=1,Nov_Dim1+15,Nov_Dim1+22)</f>
        <v>40868</v>
      </c>
      <c r="D7" s="10">
        <f>IF(DAY(Nov_Dim1)=1,Nov_Dim1+16,Nov_Dim1+23)</f>
        <v>40869</v>
      </c>
      <c r="E7" s="10">
        <f>IF(DAY(Nov_Dim1)=1,Nov_Dim1+17,Nov_Dim1+24)</f>
        <v>40870</v>
      </c>
      <c r="F7" s="10">
        <f>IF(DAY(Nov_Dim1)=1,Nov_Dim1+18,Nov_Dim1+25)</f>
        <v>40871</v>
      </c>
      <c r="G7" s="10">
        <f>IF(DAY(Nov_Dim1)=1,Nov_Dim1+19,Nov_Dim1+26)</f>
        <v>40872</v>
      </c>
      <c r="H7" s="10">
        <f>IF(DAY(Nov_Dim1)=1,Nov_Dim1+20,Nov_Dim1+27)</f>
        <v>40873</v>
      </c>
      <c r="I7" s="10">
        <f>IF(DAY(Nov_Dim1)=1,Nov_Dim1+21,Nov_Dim1+28)</f>
        <v>40874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IF(DAY(Nov_Dim1)=1,Nov_Dim1+22,Nov_Dim1+29)</f>
        <v>40875</v>
      </c>
      <c r="D8" s="10">
        <f>IF(DAY(Nov_Dim1)=1,Nov_Dim1+23,Nov_Dim1+30)</f>
        <v>40876</v>
      </c>
      <c r="E8" s="10">
        <f>IF(DAY(Nov_Dim1)=1,Nov_Dim1+24,Nov_Dim1+31)</f>
        <v>40877</v>
      </c>
      <c r="F8" s="10">
        <f>IF(DAY(Nov_Dim1)=1,Nov_Dim1+25,Nov_Dim1+32)</f>
        <v>40878</v>
      </c>
      <c r="G8" s="10">
        <f>IF(DAY(Nov_Dim1)=1,Nov_Dim1+26,Nov_Dim1+33)</f>
        <v>40879</v>
      </c>
      <c r="H8" s="10">
        <f>IF(DAY(Nov_Dim1)=1,Nov_Dim1+27,Nov_Dim1+34)</f>
        <v>40880</v>
      </c>
      <c r="I8" s="10">
        <f>IF(DAY(Nov_Dim1)=1,Nov_Dim1+28,Nov_Dim1+35)</f>
        <v>40881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IF(DAY(Nov_Dim1)=1,Nov_Dim1+29,Nov_Dim1+36)</f>
        <v>40882</v>
      </c>
      <c r="D9" s="10">
        <f>IF(DAY(Nov_Dim1)=1,Nov_Dim1+30,Nov_Dim1+37)</f>
        <v>40883</v>
      </c>
      <c r="E9" s="10">
        <f>IF(DAY(Nov_Dim1)=1,Nov_Dim1+31,Nov_Dim1+38)</f>
        <v>40884</v>
      </c>
      <c r="F9" s="10">
        <f>IF(DAY(Nov_Dim1)=1,Nov_Dim1+32,Nov_Dim1+39)</f>
        <v>40885</v>
      </c>
      <c r="G9" s="10">
        <f>IF(DAY(Nov_Dim1)=1,Nov_Dim1+33,Nov_Dim1+40)</f>
        <v>40886</v>
      </c>
      <c r="H9" s="10">
        <f>IF(DAY(Nov_Dim1)=1,Nov_Dim1+34,Nov_Dim1+41)</f>
        <v>40887</v>
      </c>
      <c r="I9" s="10">
        <f>IF(DAY(Nov_Dim1)=1,Nov_Dim1+35,Nov_Dim1+42)</f>
        <v>40888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VLOOKUP(DAY(C4),Jours_affectation,1,FALSE)=DAY(C4)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19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IF(DAY(Déc_Dim1)=1,Déc_Dim1-6,Déc_Dim1+1)</f>
        <v>40875</v>
      </c>
      <c r="D4" s="10">
        <f>IF(DAY(Déc_Dim1)=1,Déc_Dim1-5,Déc_Dim1+2)</f>
        <v>40876</v>
      </c>
      <c r="E4" s="10">
        <f>IF(DAY(Déc_Dim1)=1,Déc_Dim1-4,Déc_Dim1+3)</f>
        <v>40877</v>
      </c>
      <c r="F4" s="10">
        <f>IF(DAY(Déc_Dim1)=1,Déc_Dim1-3,Déc_Dim1+4)</f>
        <v>40878</v>
      </c>
      <c r="G4" s="10">
        <f>IF(DAY(Déc_Dim1)=1,Déc_Dim1-2,Déc_Dim1+5)</f>
        <v>40879</v>
      </c>
      <c r="H4" s="10">
        <f>IF(DAY(Déc_Dim1)=1,Déc_Dim1-1,Déc_Dim1+6)</f>
        <v>40880</v>
      </c>
      <c r="I4" s="10">
        <f>IF(DAY(Déc_Dim1)=1,Déc_Dim1,Déc_Dim1+7)</f>
        <v>40881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IF(DAY(Déc_Dim1)=1,Déc_Dim1+1,Déc_Dim1+8)</f>
        <v>40882</v>
      </c>
      <c r="D5" s="10">
        <f>IF(DAY(Déc_Dim1)=1,Déc_Dim1+2,Déc_Dim1+9)</f>
        <v>40883</v>
      </c>
      <c r="E5" s="10">
        <f>IF(DAY(Déc_Dim1)=1,Déc_Dim1+3,Déc_Dim1+10)</f>
        <v>40884</v>
      </c>
      <c r="F5" s="10">
        <f>IF(DAY(Déc_Dim1)=1,Déc_Dim1+4,Déc_Dim1+11)</f>
        <v>40885</v>
      </c>
      <c r="G5" s="10">
        <f>IF(DAY(Déc_Dim1)=1,Déc_Dim1+5,Déc_Dim1+12)</f>
        <v>40886</v>
      </c>
      <c r="H5" s="10">
        <f>IF(DAY(Déc_Dim1)=1,Déc_Dim1+6,Déc_Dim1+13)</f>
        <v>40887</v>
      </c>
      <c r="I5" s="10">
        <f>IF(DAY(Déc_Dim1)=1,Déc_Dim1+7,Déc_Dim1+14)</f>
        <v>40888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IF(DAY(Déc_Dim1)=1,Déc_Dim1+8,Déc_Dim1+15)</f>
        <v>40889</v>
      </c>
      <c r="D6" s="10">
        <f>IF(DAY(Déc_Dim1)=1,Déc_Dim1+9,Déc_Dim1+16)</f>
        <v>40890</v>
      </c>
      <c r="E6" s="10">
        <f>IF(DAY(Déc_Dim1)=1,Déc_Dim1+10,Déc_Dim1+17)</f>
        <v>40891</v>
      </c>
      <c r="F6" s="10">
        <f>IF(DAY(Déc_Dim1)=1,Déc_Dim1+11,Déc_Dim1+18)</f>
        <v>40892</v>
      </c>
      <c r="G6" s="10">
        <f>IF(DAY(Déc_Dim1)=1,Déc_Dim1+12,Déc_Dim1+19)</f>
        <v>40893</v>
      </c>
      <c r="H6" s="10">
        <f>IF(DAY(Déc_Dim1)=1,Déc_Dim1+13,Déc_Dim1+20)</f>
        <v>40894</v>
      </c>
      <c r="I6" s="10">
        <f>IF(DAY(Déc_Dim1)=1,Déc_Dim1+14,Déc_Dim1+21)</f>
        <v>40895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IF(DAY(Déc_Dim1)=1,Déc_Dim1+15,Déc_Dim1+22)</f>
        <v>40896</v>
      </c>
      <c r="D7" s="10">
        <f>IF(DAY(Déc_Dim1)=1,Déc_Dim1+16,Déc_Dim1+23)</f>
        <v>40897</v>
      </c>
      <c r="E7" s="10">
        <f>IF(DAY(Déc_Dim1)=1,Déc_Dim1+17,Déc_Dim1+24)</f>
        <v>40898</v>
      </c>
      <c r="F7" s="10">
        <f>IF(DAY(Déc_Dim1)=1,Déc_Dim1+18,Déc_Dim1+25)</f>
        <v>40899</v>
      </c>
      <c r="G7" s="10">
        <f>IF(DAY(Déc_Dim1)=1,Déc_Dim1+19,Déc_Dim1+26)</f>
        <v>40900</v>
      </c>
      <c r="H7" s="10">
        <f>IF(DAY(Déc_Dim1)=1,Déc_Dim1+20,Déc_Dim1+27)</f>
        <v>40901</v>
      </c>
      <c r="I7" s="10">
        <f>IF(DAY(Déc_Dim1)=1,Déc_Dim1+21,Déc_Dim1+28)</f>
        <v>40902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IF(DAY(Déc_Dim1)=1,Déc_Dim1+22,Déc_Dim1+29)</f>
        <v>40903</v>
      </c>
      <c r="D8" s="10">
        <f>IF(DAY(Déc_Dim1)=1,Déc_Dim1+23,Déc_Dim1+30)</f>
        <v>40904</v>
      </c>
      <c r="E8" s="10">
        <f>IF(DAY(Déc_Dim1)=1,Déc_Dim1+24,Déc_Dim1+31)</f>
        <v>40905</v>
      </c>
      <c r="F8" s="10">
        <f>IF(DAY(Déc_Dim1)=1,Déc_Dim1+25,Déc_Dim1+32)</f>
        <v>40906</v>
      </c>
      <c r="G8" s="10">
        <f>IF(DAY(Déc_Dim1)=1,Déc_Dim1+26,Déc_Dim1+33)</f>
        <v>40907</v>
      </c>
      <c r="H8" s="10">
        <f>IF(DAY(Déc_Dim1)=1,Déc_Dim1+27,Déc_Dim1+34)</f>
        <v>40908</v>
      </c>
      <c r="I8" s="10">
        <f>IF(DAY(Déc_Dim1)=1,Déc_Dim1+28,Déc_Dim1+35)</f>
        <v>40909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IF(DAY(Déc_Dim1)=1,Déc_Dim1+29,Déc_Dim1+36)</f>
        <v>40910</v>
      </c>
      <c r="D9" s="10">
        <f>IF(DAY(Déc_Dim1)=1,Déc_Dim1+30,Déc_Dim1+37)</f>
        <v>40911</v>
      </c>
      <c r="E9" s="10">
        <f>IF(DAY(Déc_Dim1)=1,Déc_Dim1+31,Déc_Dim1+38)</f>
        <v>40912</v>
      </c>
      <c r="F9" s="10">
        <f>IF(DAY(Déc_Dim1)=1,Déc_Dim1+32,Déc_Dim1+39)</f>
        <v>40913</v>
      </c>
      <c r="G9" s="10">
        <f>IF(DAY(Déc_Dim1)=1,Déc_Dim1+33,Déc_Dim1+40)</f>
        <v>40914</v>
      </c>
      <c r="H9" s="10">
        <f>IF(DAY(Déc_Dim1)=1,Déc_Dim1+34,Déc_Dim1+41)</f>
        <v>40915</v>
      </c>
      <c r="I9" s="10">
        <f>IF(DAY(Déc_Dim1)=1,Déc_Dim1+35,Déc_Dim1+42)</f>
        <v>40916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VLOOKUP(DAY(C4),Jours_affectation,1,FALSE)=DAY(C4)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9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IF(DAY(Fév_Dim1)=1,Fév_Dim1-6,Fév_Dim1+1)</f>
        <v>40574</v>
      </c>
      <c r="D4" s="10">
        <f>IF(DAY(Fév_Dim1)=1,Fév_Dim1-5,Fév_Dim1+2)</f>
        <v>40575</v>
      </c>
      <c r="E4" s="10">
        <f>IF(DAY(Fév_Dim1)=1,Fév_Dim1-4,Fév_Dim1+3)</f>
        <v>40576</v>
      </c>
      <c r="F4" s="10">
        <f>IF(DAY(Fév_Dim1)=1,Fév_Dim1-3,Fév_Dim1+4)</f>
        <v>40577</v>
      </c>
      <c r="G4" s="10">
        <f>IF(DAY(Fév_Dim1)=1,Fév_Dim1-2,Fév_Dim1+5)</f>
        <v>40578</v>
      </c>
      <c r="H4" s="10">
        <f>IF(DAY(Fév_Dim1)=1,Fév_Dim1-1,Fév_Dim1+6)</f>
        <v>40579</v>
      </c>
      <c r="I4" s="10">
        <f>IF(DAY(Fév_Dim1)=1,Fév_Dim1,Fév_Dim1+7)</f>
        <v>40580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IF(DAY(Fév_Dim1)=1,Fév_Dim1+1,Fév_Dim1+8)</f>
        <v>40581</v>
      </c>
      <c r="D5" s="10">
        <f>IF(DAY(Fév_Dim1)=1,Fév_Dim1+2,Fév_Dim1+9)</f>
        <v>40582</v>
      </c>
      <c r="E5" s="10">
        <f>IF(DAY(Fév_Dim1)=1,Fév_Dim1+3,Fév_Dim1+10)</f>
        <v>40583</v>
      </c>
      <c r="F5" s="10">
        <f>IF(DAY(Fév_Dim1)=1,Fév_Dim1+4,Fév_Dim1+11)</f>
        <v>40584</v>
      </c>
      <c r="G5" s="10">
        <f>IF(DAY(Fév_Dim1)=1,Fév_Dim1+5,Fév_Dim1+12)</f>
        <v>40585</v>
      </c>
      <c r="H5" s="10">
        <f>IF(DAY(Fév_Dim1)=1,Fév_Dim1+6,Fév_Dim1+13)</f>
        <v>40586</v>
      </c>
      <c r="I5" s="10">
        <f>IF(DAY(Fév_Dim1)=1,Fév_Dim1+7,Fév_Dim1+14)</f>
        <v>40587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IF(DAY(Fév_Dim1)=1,Fév_Dim1+8,Fév_Dim1+15)</f>
        <v>40588</v>
      </c>
      <c r="D6" s="10">
        <f>IF(DAY(Fév_Dim1)=1,Fév_Dim1+9,Fév_Dim1+16)</f>
        <v>40589</v>
      </c>
      <c r="E6" s="10">
        <f>IF(DAY(Fév_Dim1)=1,Fév_Dim1+10,Fév_Dim1+17)</f>
        <v>40590</v>
      </c>
      <c r="F6" s="10">
        <f>IF(DAY(Fév_Dim1)=1,Fév_Dim1+11,Fév_Dim1+18)</f>
        <v>40591</v>
      </c>
      <c r="G6" s="10">
        <f>IF(DAY(Fév_Dim1)=1,Fév_Dim1+12,Fév_Dim1+19)</f>
        <v>40592</v>
      </c>
      <c r="H6" s="10">
        <f>IF(DAY(Fév_Dim1)=1,Fév_Dim1+13,Fév_Dim1+20)</f>
        <v>40593</v>
      </c>
      <c r="I6" s="10">
        <f>IF(DAY(Fév_Dim1)=1,Fév_Dim1+14,Fév_Dim1+21)</f>
        <v>40594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IF(DAY(Fév_Dim1)=1,Fév_Dim1+15,Fév_Dim1+22)</f>
        <v>40595</v>
      </c>
      <c r="D7" s="10">
        <f>IF(DAY(Fév_Dim1)=1,Fév_Dim1+16,Fév_Dim1+23)</f>
        <v>40596</v>
      </c>
      <c r="E7" s="10">
        <f>IF(DAY(Fév_Dim1)=1,Fév_Dim1+17,Fév_Dim1+24)</f>
        <v>40597</v>
      </c>
      <c r="F7" s="10">
        <f>IF(DAY(Fév_Dim1)=1,Fév_Dim1+18,Fév_Dim1+25)</f>
        <v>40598</v>
      </c>
      <c r="G7" s="10">
        <f>IF(DAY(Fév_Dim1)=1,Fév_Dim1+19,Fév_Dim1+26)</f>
        <v>40599</v>
      </c>
      <c r="H7" s="10">
        <f>IF(DAY(Fév_Dim1)=1,Fév_Dim1+20,Fév_Dim1+27)</f>
        <v>40600</v>
      </c>
      <c r="I7" s="10">
        <f>IF(DAY(Fév_Dim1)=1,Fév_Dim1+21,Fév_Dim1+28)</f>
        <v>40601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IF(DAY(Fév_Dim1)=1,Fév_Dim1+22,Fév_Dim1+29)</f>
        <v>40602</v>
      </c>
      <c r="D8" s="10">
        <f>IF(DAY(Fév_Dim1)=1,Fév_Dim1+23,Fév_Dim1+30)</f>
        <v>40603</v>
      </c>
      <c r="E8" s="10">
        <f>IF(DAY(Fév_Dim1)=1,Fév_Dim1+24,Fév_Dim1+31)</f>
        <v>40604</v>
      </c>
      <c r="F8" s="10">
        <f>IF(DAY(Fév_Dim1)=1,Fév_Dim1+25,Fév_Dim1+32)</f>
        <v>40605</v>
      </c>
      <c r="G8" s="10">
        <f>IF(DAY(Fév_Dim1)=1,Fév_Dim1+26,Fév_Dim1+33)</f>
        <v>40606</v>
      </c>
      <c r="H8" s="10">
        <f>IF(DAY(Fév_Dim1)=1,Fév_Dim1+27,Fév_Dim1+34)</f>
        <v>40607</v>
      </c>
      <c r="I8" s="10">
        <f>IF(DAY(Fév_Dim1)=1,Fév_Dim1+28,Fév_Dim1+35)</f>
        <v>40608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IF(DAY(Fév_Dim1)=1,Fév_Dim1+29,Fév_Dim1+36)</f>
        <v>40609</v>
      </c>
      <c r="D9" s="10">
        <f>IF(DAY(Fév_Dim1)=1,Fév_Dim1+30,Fév_Dim1+37)</f>
        <v>40610</v>
      </c>
      <c r="E9" s="10">
        <f>IF(DAY(Fév_Dim1)=1,Fév_Dim1+31,Fév_Dim1+38)</f>
        <v>40611</v>
      </c>
      <c r="F9" s="10">
        <f>IF(DAY(Fév_Dim1)=1,Fév_Dim1+32,Fév_Dim1+39)</f>
        <v>40612</v>
      </c>
      <c r="G9" s="10">
        <f>IF(DAY(Fév_Dim1)=1,Fév_Dim1+33,Fév_Dim1+40)</f>
        <v>40613</v>
      </c>
      <c r="H9" s="10">
        <f>IF(DAY(Fév_Dim1)=1,Fév_Dim1+34,Fév_Dim1+41)</f>
        <v>40614</v>
      </c>
      <c r="I9" s="10">
        <f>IF(DAY(Fév_Dim1)=1,Fév_Dim1+35,Fév_Dim1+42)</f>
        <v>40615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VLOOKUP(DAY(C4),Jours_affectation,1,FALSE)=DAY(C4)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10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IF(DAY(Mar_Dim1)=1,Mar_Dim1-6,Mar_Dim1+1)</f>
        <v>40602</v>
      </c>
      <c r="D4" s="10">
        <f>IF(DAY(Mar_Dim1)=1,Mar_Dim1-5,Mar_Dim1+2)</f>
        <v>40603</v>
      </c>
      <c r="E4" s="10">
        <f>IF(DAY(Mar_Dim1)=1,Mar_Dim1-4,Mar_Dim1+3)</f>
        <v>40604</v>
      </c>
      <c r="F4" s="10">
        <f>IF(DAY(Mar_Dim1)=1,Mar_Dim1-3,Mar_Dim1+4)</f>
        <v>40605</v>
      </c>
      <c r="G4" s="10">
        <f>IF(DAY(Mar_Dim1)=1,Mar_Dim1-2,Mar_Dim1+5)</f>
        <v>40606</v>
      </c>
      <c r="H4" s="10">
        <f>IF(DAY(Mar_Dim1)=1,Mar_Dim1-1,Mar_Dim1+6)</f>
        <v>40607</v>
      </c>
      <c r="I4" s="10">
        <f>IF(DAY(Mar_Dim1)=1,Mar_Dim1,Mar_Dim1+7)</f>
        <v>40608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IF(DAY(Mar_Dim1)=1,Mar_Dim1+1,Mar_Dim1+8)</f>
        <v>40609</v>
      </c>
      <c r="D5" s="10">
        <f>IF(DAY(Mar_Dim1)=1,Mar_Dim1+2,Mar_Dim1+9)</f>
        <v>40610</v>
      </c>
      <c r="E5" s="10">
        <f>IF(DAY(Mar_Dim1)=1,Mar_Dim1+3,Mar_Dim1+10)</f>
        <v>40611</v>
      </c>
      <c r="F5" s="10">
        <f>IF(DAY(Mar_Dim1)=1,Mar_Dim1+4,Mar_Dim1+11)</f>
        <v>40612</v>
      </c>
      <c r="G5" s="10">
        <f>IF(DAY(Mar_Dim1)=1,Mar_Dim1+5,Mar_Dim1+12)</f>
        <v>40613</v>
      </c>
      <c r="H5" s="10">
        <f>IF(DAY(Mar_Dim1)=1,Mar_Dim1+6,Mar_Dim1+13)</f>
        <v>40614</v>
      </c>
      <c r="I5" s="10">
        <f>IF(DAY(Mar_Dim1)=1,Mar_Dim1+7,Mar_Dim1+14)</f>
        <v>40615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IF(DAY(Mar_Dim1)=1,Mar_Dim1+8,Mar_Dim1+15)</f>
        <v>40616</v>
      </c>
      <c r="D6" s="10">
        <f>IF(DAY(Mar_Dim1)=1,Mar_Dim1+9,Mar_Dim1+16)</f>
        <v>40617</v>
      </c>
      <c r="E6" s="10">
        <f>IF(DAY(Mar_Dim1)=1,Mar_Dim1+10,Mar_Dim1+17)</f>
        <v>40618</v>
      </c>
      <c r="F6" s="10">
        <f>IF(DAY(Mar_Dim1)=1,Mar_Dim1+11,Mar_Dim1+18)</f>
        <v>40619</v>
      </c>
      <c r="G6" s="10">
        <f>IF(DAY(Mar_Dim1)=1,Mar_Dim1+12,Mar_Dim1+19)</f>
        <v>40620</v>
      </c>
      <c r="H6" s="10">
        <f>IF(DAY(Mar_Dim1)=1,Mar_Dim1+13,Mar_Dim1+20)</f>
        <v>40621</v>
      </c>
      <c r="I6" s="10">
        <f>IF(DAY(Mar_Dim1)=1,Mar_Dim1+14,Mar_Dim1+21)</f>
        <v>40622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IF(DAY(Mar_Dim1)=1,Mar_Dim1+15,Mar_Dim1+22)</f>
        <v>40623</v>
      </c>
      <c r="D7" s="10">
        <f>IF(DAY(Mar_Dim1)=1,Mar_Dim1+16,Mar_Dim1+23)</f>
        <v>40624</v>
      </c>
      <c r="E7" s="10">
        <f>IF(DAY(Mar_Dim1)=1,Mar_Dim1+17,Mar_Dim1+24)</f>
        <v>40625</v>
      </c>
      <c r="F7" s="10">
        <f>IF(DAY(Mar_Dim1)=1,Mar_Dim1+18,Mar_Dim1+25)</f>
        <v>40626</v>
      </c>
      <c r="G7" s="10">
        <f>IF(DAY(Mar_Dim1)=1,Mar_Dim1+19,Mar_Dim1+26)</f>
        <v>40627</v>
      </c>
      <c r="H7" s="10">
        <f>IF(DAY(Mar_Dim1)=1,Mar_Dim1+20,Mar_Dim1+27)</f>
        <v>40628</v>
      </c>
      <c r="I7" s="10">
        <f>IF(DAY(Mar_Dim1)=1,Mar_Dim1+21,Mar_Dim1+28)</f>
        <v>40629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IF(DAY(Mar_Dim1)=1,Mar_Dim1+22,Mar_Dim1+29)</f>
        <v>40630</v>
      </c>
      <c r="D8" s="10">
        <f>IF(DAY(Mar_Dim1)=1,Mar_Dim1+23,Mar_Dim1+30)</f>
        <v>40631</v>
      </c>
      <c r="E8" s="10">
        <f>IF(DAY(Mar_Dim1)=1,Mar_Dim1+24,Mar_Dim1+31)</f>
        <v>40632</v>
      </c>
      <c r="F8" s="10">
        <f>IF(DAY(Mar_Dim1)=1,Mar_Dim1+25,Mar_Dim1+32)</f>
        <v>40633</v>
      </c>
      <c r="G8" s="10">
        <f>IF(DAY(Mar_Dim1)=1,Mar_Dim1+26,Mar_Dim1+33)</f>
        <v>40634</v>
      </c>
      <c r="H8" s="10">
        <f>IF(DAY(Mar_Dim1)=1,Mar_Dim1+27,Mar_Dim1+34)</f>
        <v>40635</v>
      </c>
      <c r="I8" s="10">
        <f>IF(DAY(Mar_Dim1)=1,Mar_Dim1+28,Mar_Dim1+35)</f>
        <v>40636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IF(DAY(Mar_Dim1)=1,Mar_Dim1+29,Mar_Dim1+36)</f>
        <v>40637</v>
      </c>
      <c r="D9" s="10">
        <f>IF(DAY(Mar_Dim1)=1,Mar_Dim1+30,Mar_Dim1+37)</f>
        <v>40638</v>
      </c>
      <c r="E9" s="10">
        <f>IF(DAY(Mar_Dim1)=1,Mar_Dim1+31,Mar_Dim1+38)</f>
        <v>40639</v>
      </c>
      <c r="F9" s="10">
        <f>IF(DAY(Mar_Dim1)=1,Mar_Dim1+32,Mar_Dim1+39)</f>
        <v>40640</v>
      </c>
      <c r="G9" s="10">
        <f>IF(DAY(Mar_Dim1)=1,Mar_Dim1+33,Mar_Dim1+40)</f>
        <v>40641</v>
      </c>
      <c r="H9" s="10">
        <f>IF(DAY(Mar_Dim1)=1,Mar_Dim1+34,Mar_Dim1+41)</f>
        <v>40642</v>
      </c>
      <c r="I9" s="10">
        <f>IF(DAY(Mar_Dim1)=1,Mar_Dim1+35,Mar_Dim1+42)</f>
        <v>40643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VLOOKUP(DAY(C4),Jours_affectation,1,FALSE)=DAY(C4)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11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IF(DAY(Avr_Dim1)=1,Avr_Dim1-6,Avr_Dim1+1)</f>
        <v>40630</v>
      </c>
      <c r="D4" s="10">
        <f>IF(DAY(Avr_Dim1)=1,Avr_Dim1-5,Avr_Dim1+2)</f>
        <v>40631</v>
      </c>
      <c r="E4" s="10">
        <f>IF(DAY(Avr_Dim1)=1,Avr_Dim1-4,Avr_Dim1+3)</f>
        <v>40632</v>
      </c>
      <c r="F4" s="10">
        <f>IF(DAY(Avr_Dim1)=1,Avr_Dim1-3,Avr_Dim1+4)</f>
        <v>40633</v>
      </c>
      <c r="G4" s="10">
        <f>IF(DAY(Avr_Dim1)=1,Avr_Dim1-2,Avr_Dim1+5)</f>
        <v>40634</v>
      </c>
      <c r="H4" s="10">
        <f>IF(DAY(Avr_Dim1)=1,Avr_Dim1-1,Avr_Dim1+6)</f>
        <v>40635</v>
      </c>
      <c r="I4" s="10">
        <f>IF(DAY(Avr_Dim1)=1,Avr_Dim1,Avr_Dim1+7)</f>
        <v>40636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IF(DAY(Avr_Dim1)=1,Avr_Dim1+1,Avr_Dim1+8)</f>
        <v>40637</v>
      </c>
      <c r="D5" s="10">
        <f>IF(DAY(Avr_Dim1)=1,Avr_Dim1+2,Avr_Dim1+9)</f>
        <v>40638</v>
      </c>
      <c r="E5" s="10">
        <f>IF(DAY(Avr_Dim1)=1,Avr_Dim1+3,Avr_Dim1+10)</f>
        <v>40639</v>
      </c>
      <c r="F5" s="10">
        <f>IF(DAY(Avr_Dim1)=1,Avr_Dim1+4,Avr_Dim1+11)</f>
        <v>40640</v>
      </c>
      <c r="G5" s="10">
        <f>IF(DAY(Avr_Dim1)=1,Avr_Dim1+5,Avr_Dim1+12)</f>
        <v>40641</v>
      </c>
      <c r="H5" s="10">
        <f>IF(DAY(Avr_Dim1)=1,Avr_Dim1+6,Avr_Dim1+13)</f>
        <v>40642</v>
      </c>
      <c r="I5" s="10">
        <f>IF(DAY(Avr_Dim1)=1,Avr_Dim1+7,Avr_Dim1+14)</f>
        <v>40643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IF(DAY(Avr_Dim1)=1,Avr_Dim1+8,Avr_Dim1+15)</f>
        <v>40644</v>
      </c>
      <c r="D6" s="10">
        <f>IF(DAY(Avr_Dim1)=1,Avr_Dim1+9,Avr_Dim1+16)</f>
        <v>40645</v>
      </c>
      <c r="E6" s="10">
        <f>IF(DAY(Avr_Dim1)=1,Avr_Dim1+10,Avr_Dim1+17)</f>
        <v>40646</v>
      </c>
      <c r="F6" s="10">
        <f>IF(DAY(Avr_Dim1)=1,Avr_Dim1+11,Avr_Dim1+18)</f>
        <v>40647</v>
      </c>
      <c r="G6" s="10">
        <f>IF(DAY(Avr_Dim1)=1,Avr_Dim1+12,Avr_Dim1+19)</f>
        <v>40648</v>
      </c>
      <c r="H6" s="10">
        <f>IF(DAY(Avr_Dim1)=1,Avr_Dim1+13,Avr_Dim1+20)</f>
        <v>40649</v>
      </c>
      <c r="I6" s="10">
        <f>IF(DAY(Avr_Dim1)=1,Avr_Dim1+14,Avr_Dim1+21)</f>
        <v>40650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IF(DAY(Avr_Dim1)=1,Avr_Dim1+15,Avr_Dim1+22)</f>
        <v>40651</v>
      </c>
      <c r="D7" s="10">
        <f>IF(DAY(Avr_Dim1)=1,Avr_Dim1+16,Avr_Dim1+23)</f>
        <v>40652</v>
      </c>
      <c r="E7" s="10">
        <f>IF(DAY(Avr_Dim1)=1,Avr_Dim1+17,Avr_Dim1+24)</f>
        <v>40653</v>
      </c>
      <c r="F7" s="10">
        <f>IF(DAY(Avr_Dim1)=1,Avr_Dim1+18,Avr_Dim1+25)</f>
        <v>40654</v>
      </c>
      <c r="G7" s="10">
        <f>IF(DAY(Avr_Dim1)=1,Avr_Dim1+19,Avr_Dim1+26)</f>
        <v>40655</v>
      </c>
      <c r="H7" s="10">
        <f>IF(DAY(Avr_Dim1)=1,Avr_Dim1+20,Avr_Dim1+27)</f>
        <v>40656</v>
      </c>
      <c r="I7" s="10">
        <f>IF(DAY(Avr_Dim1)=1,Avr_Dim1+21,Avr_Dim1+28)</f>
        <v>40657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IF(DAY(Avr_Dim1)=1,Avr_Dim1+22,Avr_Dim1+29)</f>
        <v>40658</v>
      </c>
      <c r="D8" s="10">
        <f>IF(DAY(Avr_Dim1)=1,Avr_Dim1+23,Avr_Dim1+30)</f>
        <v>40659</v>
      </c>
      <c r="E8" s="10">
        <f>IF(DAY(Avr_Dim1)=1,Avr_Dim1+24,Avr_Dim1+31)</f>
        <v>40660</v>
      </c>
      <c r="F8" s="10">
        <f>IF(DAY(Avr_Dim1)=1,Avr_Dim1+25,Avr_Dim1+32)</f>
        <v>40661</v>
      </c>
      <c r="G8" s="10">
        <f>IF(DAY(Avr_Dim1)=1,Avr_Dim1+26,Avr_Dim1+33)</f>
        <v>40662</v>
      </c>
      <c r="H8" s="10">
        <f>IF(DAY(Avr_Dim1)=1,Avr_Dim1+27,Avr_Dim1+34)</f>
        <v>40663</v>
      </c>
      <c r="I8" s="10">
        <f>IF(DAY(Avr_Dim1)=1,Avr_Dim1+28,Avr_Dim1+35)</f>
        <v>40664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IF(DAY(Avr_Dim1)=1,Avr_Dim1+29,Avr_Dim1+36)</f>
        <v>40665</v>
      </c>
      <c r="D9" s="10">
        <f>IF(DAY(Avr_Dim1)=1,Avr_Dim1+30,Avr_Dim1+37)</f>
        <v>40666</v>
      </c>
      <c r="E9" s="10">
        <f>IF(DAY(Avr_Dim1)=1,Avr_Dim1+31,Avr_Dim1+38)</f>
        <v>40667</v>
      </c>
      <c r="F9" s="10">
        <f>IF(DAY(Avr_Dim1)=1,Avr_Dim1+32,Avr_Dim1+39)</f>
        <v>40668</v>
      </c>
      <c r="G9" s="10">
        <f>IF(DAY(Avr_Dim1)=1,Avr_Dim1+33,Avr_Dim1+40)</f>
        <v>40669</v>
      </c>
      <c r="H9" s="10">
        <f>IF(DAY(Avr_Dim1)=1,Avr_Dim1+34,Avr_Dim1+41)</f>
        <v>40670</v>
      </c>
      <c r="I9" s="10">
        <f>IF(DAY(Avr_Dim1)=1,Avr_Dim1+35,Avr_Dim1+42)</f>
        <v>40671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VLOOKUP(DAY(C4),Jours_affectation,1,FALSE)=DAY(C4)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12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IF(DAY(Mai_Dim1)=1,Mai_Dim1-6,Mai_Dim1+1)</f>
        <v>40658</v>
      </c>
      <c r="D4" s="10">
        <f>IF(DAY(Mai_Dim1)=1,Mai_Dim1-5,Mai_Dim1+2)</f>
        <v>40659</v>
      </c>
      <c r="E4" s="10">
        <f>IF(DAY(Mai_Dim1)=1,Mai_Dim1-4,Mai_Dim1+3)</f>
        <v>40660</v>
      </c>
      <c r="F4" s="10">
        <f>IF(DAY(Mai_Dim1)=1,Mai_Dim1-3,Mai_Dim1+4)</f>
        <v>40661</v>
      </c>
      <c r="G4" s="10">
        <f>IF(DAY(Mai_Dim1)=1,Mai_Dim1-2,Mai_Dim1+5)</f>
        <v>40662</v>
      </c>
      <c r="H4" s="10">
        <f>IF(DAY(Mai_Dim1)=1,Mai_Dim1-1,Mai_Dim1+6)</f>
        <v>40663</v>
      </c>
      <c r="I4" s="10">
        <f>IF(DAY(Mai_Dim1)=1,Mai_Dim1,Mai_Dim1+7)</f>
        <v>40664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IF(DAY(Mai_Dim1)=1,Mai_Dim1+1,Mai_Dim1+8)</f>
        <v>40665</v>
      </c>
      <c r="D5" s="10">
        <f>IF(DAY(Mai_Dim1)=1,Mai_Dim1+2,Mai_Dim1+9)</f>
        <v>40666</v>
      </c>
      <c r="E5" s="10">
        <f>IF(DAY(Mai_Dim1)=1,Mai_Dim1+3,Mai_Dim1+10)</f>
        <v>40667</v>
      </c>
      <c r="F5" s="10">
        <f>IF(DAY(Mai_Dim1)=1,Mai_Dim1+4,Mai_Dim1+11)</f>
        <v>40668</v>
      </c>
      <c r="G5" s="10">
        <f>IF(DAY(Mai_Dim1)=1,Mai_Dim1+5,Mai_Dim1+12)</f>
        <v>40669</v>
      </c>
      <c r="H5" s="10">
        <f>IF(DAY(Mai_Dim1)=1,Mai_Dim1+6,Mai_Dim1+13)</f>
        <v>40670</v>
      </c>
      <c r="I5" s="10">
        <f>IF(DAY(Mai_Dim1)=1,Mai_Dim1+7,Mai_Dim1+14)</f>
        <v>40671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IF(DAY(Mai_Dim1)=1,Mai_Dim1+8,Mai_Dim1+15)</f>
        <v>40672</v>
      </c>
      <c r="D6" s="10">
        <f>IF(DAY(Mai_Dim1)=1,Mai_Dim1+9,Mai_Dim1+16)</f>
        <v>40673</v>
      </c>
      <c r="E6" s="10">
        <f>IF(DAY(Mai_Dim1)=1,Mai_Dim1+10,Mai_Dim1+17)</f>
        <v>40674</v>
      </c>
      <c r="F6" s="10">
        <f>IF(DAY(Mai_Dim1)=1,Mai_Dim1+11,Mai_Dim1+18)</f>
        <v>40675</v>
      </c>
      <c r="G6" s="10">
        <f>IF(DAY(Mai_Dim1)=1,Mai_Dim1+12,Mai_Dim1+19)</f>
        <v>40676</v>
      </c>
      <c r="H6" s="10">
        <f>IF(DAY(Mai_Dim1)=1,Mai_Dim1+13,Mai_Dim1+20)</f>
        <v>40677</v>
      </c>
      <c r="I6" s="10">
        <f>IF(DAY(Mai_Dim1)=1,Mai_Dim1+14,Mai_Dim1+21)</f>
        <v>40678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IF(DAY(Mai_Dim1)=1,Mai_Dim1+15,Mai_Dim1+22)</f>
        <v>40679</v>
      </c>
      <c r="D7" s="10">
        <f>IF(DAY(Mai_Dim1)=1,Mai_Dim1+16,Mai_Dim1+23)</f>
        <v>40680</v>
      </c>
      <c r="E7" s="10">
        <f>IF(DAY(Mai_Dim1)=1,Mai_Dim1+17,Mai_Dim1+24)</f>
        <v>40681</v>
      </c>
      <c r="F7" s="10">
        <f>IF(DAY(Mai_Dim1)=1,Mai_Dim1+18,Mai_Dim1+25)</f>
        <v>40682</v>
      </c>
      <c r="G7" s="10">
        <f>IF(DAY(Mai_Dim1)=1,Mai_Dim1+19,Mai_Dim1+26)</f>
        <v>40683</v>
      </c>
      <c r="H7" s="10">
        <f>IF(DAY(Mai_Dim1)=1,Mai_Dim1+20,Mai_Dim1+27)</f>
        <v>40684</v>
      </c>
      <c r="I7" s="10">
        <f>IF(DAY(Mai_Dim1)=1,Mai_Dim1+21,Mai_Dim1+28)</f>
        <v>40685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IF(DAY(Mai_Dim1)=1,Mai_Dim1+22,Mai_Dim1+29)</f>
        <v>40686</v>
      </c>
      <c r="D8" s="10">
        <f>IF(DAY(Mai_Dim1)=1,Mai_Dim1+23,Mai_Dim1+30)</f>
        <v>40687</v>
      </c>
      <c r="E8" s="10">
        <f>IF(DAY(Mai_Dim1)=1,Mai_Dim1+24,Mai_Dim1+31)</f>
        <v>40688</v>
      </c>
      <c r="F8" s="10">
        <f>IF(DAY(Mai_Dim1)=1,Mai_Dim1+25,Mai_Dim1+32)</f>
        <v>40689</v>
      </c>
      <c r="G8" s="10">
        <f>IF(DAY(Mai_Dim1)=1,Mai_Dim1+26,Mai_Dim1+33)</f>
        <v>40690</v>
      </c>
      <c r="H8" s="10">
        <f>IF(DAY(Mai_Dim1)=1,Mai_Dim1+27,Mai_Dim1+34)</f>
        <v>40691</v>
      </c>
      <c r="I8" s="10">
        <f>IF(DAY(Mai_Dim1)=1,Mai_Dim1+28,Mai_Dim1+35)</f>
        <v>40692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IF(DAY(Mai_Dim1)=1,Mai_Dim1+29,Mai_Dim1+36)</f>
        <v>40693</v>
      </c>
      <c r="D9" s="10">
        <f>IF(DAY(Mai_Dim1)=1,Mai_Dim1+30,Mai_Dim1+37)</f>
        <v>40694</v>
      </c>
      <c r="E9" s="10">
        <f>IF(DAY(Mai_Dim1)=1,Mai_Dim1+31,Mai_Dim1+38)</f>
        <v>40695</v>
      </c>
      <c r="F9" s="10">
        <f>IF(DAY(Mai_Dim1)=1,Mai_Dim1+32,Mai_Dim1+39)</f>
        <v>40696</v>
      </c>
      <c r="G9" s="10">
        <f>IF(DAY(Mai_Dim1)=1,Mai_Dim1+33,Mai_Dim1+40)</f>
        <v>40697</v>
      </c>
      <c r="H9" s="10">
        <f>IF(DAY(Mai_Dim1)=1,Mai_Dim1+34,Mai_Dim1+41)</f>
        <v>40698</v>
      </c>
      <c r="I9" s="10">
        <f>IF(DAY(Mai_Dim1)=1,Mai_Dim1+35,Mai_Dim1+42)</f>
        <v>40699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VLOOKUP(DAY(C4),Jours_affectation,1,FALSE)=DAY(C4)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13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IF(DAY(Juin_Dim1)=1,Juin_Dim1-6,Juin_Dim1+1)</f>
        <v>40693</v>
      </c>
      <c r="D4" s="10">
        <f>IF(DAY(Juin_Dim1)=1,Juin_Dim1-5,Juin_Dim1+2)</f>
        <v>40694</v>
      </c>
      <c r="E4" s="10">
        <f>IF(DAY(Juin_Dim1)=1,Juin_Dim1-4,Juin_Dim1+3)</f>
        <v>40695</v>
      </c>
      <c r="F4" s="10">
        <f>IF(DAY(Juin_Dim1)=1,Juin_Dim1-3,Juin_Dim1+4)</f>
        <v>40696</v>
      </c>
      <c r="G4" s="10">
        <f>IF(DAY(Juin_Dim1)=1,Juin_Dim1-2,Juin_Dim1+5)</f>
        <v>40697</v>
      </c>
      <c r="H4" s="10">
        <f>IF(DAY(Juin_Dim1)=1,Juin_Dim1-1,Juin_Dim1+6)</f>
        <v>40698</v>
      </c>
      <c r="I4" s="10">
        <f>IF(DAY(Juin_Dim1)=1,Juin_Dim1,Juin_Dim1+7)</f>
        <v>40699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IF(DAY(Juin_Dim1)=1,Juin_Dim1+1,Juin_Dim1+8)</f>
        <v>40700</v>
      </c>
      <c r="D5" s="10">
        <f>IF(DAY(Juin_Dim1)=1,Juin_Dim1+2,Juin_Dim1+9)</f>
        <v>40701</v>
      </c>
      <c r="E5" s="10">
        <f>IF(DAY(Juin_Dim1)=1,Juin_Dim1+3,Juin_Dim1+10)</f>
        <v>40702</v>
      </c>
      <c r="F5" s="10">
        <f>IF(DAY(Juin_Dim1)=1,Juin_Dim1+4,Juin_Dim1+11)</f>
        <v>40703</v>
      </c>
      <c r="G5" s="10">
        <f>IF(DAY(Juin_Dim1)=1,Juin_Dim1+5,Juin_Dim1+12)</f>
        <v>40704</v>
      </c>
      <c r="H5" s="10">
        <f>IF(DAY(Juin_Dim1)=1,Juin_Dim1+6,Juin_Dim1+13)</f>
        <v>40705</v>
      </c>
      <c r="I5" s="10">
        <f>IF(DAY(Juin_Dim1)=1,Juin_Dim1+7,Juin_Dim1+14)</f>
        <v>40706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IF(DAY(Juin_Dim1)=1,Juin_Dim1+8,Juin_Dim1+15)</f>
        <v>40707</v>
      </c>
      <c r="D6" s="10">
        <f>IF(DAY(Juin_Dim1)=1,Juin_Dim1+9,Juin_Dim1+16)</f>
        <v>40708</v>
      </c>
      <c r="E6" s="10">
        <f>IF(DAY(Juin_Dim1)=1,Juin_Dim1+10,Juin_Dim1+17)</f>
        <v>40709</v>
      </c>
      <c r="F6" s="10">
        <f>IF(DAY(Juin_Dim1)=1,Juin_Dim1+11,Juin_Dim1+18)</f>
        <v>40710</v>
      </c>
      <c r="G6" s="10">
        <f>IF(DAY(Juin_Dim1)=1,Juin_Dim1+12,Juin_Dim1+19)</f>
        <v>40711</v>
      </c>
      <c r="H6" s="10">
        <f>IF(DAY(Juin_Dim1)=1,Juin_Dim1+13,Juin_Dim1+20)</f>
        <v>40712</v>
      </c>
      <c r="I6" s="10">
        <f>IF(DAY(Juin_Dim1)=1,Juin_Dim1+14,Juin_Dim1+21)</f>
        <v>40713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IF(DAY(Juin_Dim1)=1,Juin_Dim1+15,Juin_Dim1+22)</f>
        <v>40714</v>
      </c>
      <c r="D7" s="10">
        <f>IF(DAY(Juin_Dim1)=1,Juin_Dim1+16,Juin_Dim1+23)</f>
        <v>40715</v>
      </c>
      <c r="E7" s="10">
        <f>IF(DAY(Juin_Dim1)=1,Juin_Dim1+17,Juin_Dim1+24)</f>
        <v>40716</v>
      </c>
      <c r="F7" s="10">
        <f>IF(DAY(Juin_Dim1)=1,Juin_Dim1+18,Juin_Dim1+25)</f>
        <v>40717</v>
      </c>
      <c r="G7" s="10">
        <f>IF(DAY(Juin_Dim1)=1,Juin_Dim1+19,Juin_Dim1+26)</f>
        <v>40718</v>
      </c>
      <c r="H7" s="10">
        <f>IF(DAY(Juin_Dim1)=1,Juin_Dim1+20,Juin_Dim1+27)</f>
        <v>40719</v>
      </c>
      <c r="I7" s="10">
        <f>IF(DAY(Juin_Dim1)=1,Juin_Dim1+21,Juin_Dim1+28)</f>
        <v>40720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IF(DAY(Juin_Dim1)=1,Juin_Dim1+22,Juin_Dim1+29)</f>
        <v>40721</v>
      </c>
      <c r="D8" s="10">
        <f>IF(DAY(Juin_Dim1)=1,Juin_Dim1+23,Juin_Dim1+30)</f>
        <v>40722</v>
      </c>
      <c r="E8" s="10">
        <f>IF(DAY(Juin_Dim1)=1,Juin_Dim1+24,Juin_Dim1+31)</f>
        <v>40723</v>
      </c>
      <c r="F8" s="10">
        <f>IF(DAY(Juin_Dim1)=1,Juin_Dim1+25,Juin_Dim1+32)</f>
        <v>40724</v>
      </c>
      <c r="G8" s="10">
        <f>IF(DAY(Juin_Dim1)=1,Juin_Dim1+26,Juin_Dim1+33)</f>
        <v>40725</v>
      </c>
      <c r="H8" s="10">
        <f>IF(DAY(Juin_Dim1)=1,Juin_Dim1+27,Juin_Dim1+34)</f>
        <v>40726</v>
      </c>
      <c r="I8" s="10">
        <f>IF(DAY(Juin_Dim1)=1,Juin_Dim1+28,Juin_Dim1+35)</f>
        <v>40727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IF(DAY(Juin_Dim1)=1,Juin_Dim1+29,Juin_Dim1+36)</f>
        <v>40728</v>
      </c>
      <c r="D9" s="10">
        <f>IF(DAY(Juin_Dim1)=1,Juin_Dim1+30,Juin_Dim1+37)</f>
        <v>40729</v>
      </c>
      <c r="E9" s="10">
        <f>IF(DAY(Juin_Dim1)=1,Juin_Dim1+31,Juin_Dim1+38)</f>
        <v>40730</v>
      </c>
      <c r="F9" s="10">
        <f>IF(DAY(Juin_Dim1)=1,Juin_Dim1+32,Juin_Dim1+39)</f>
        <v>40731</v>
      </c>
      <c r="G9" s="10">
        <f>IF(DAY(Juin_Dim1)=1,Juin_Dim1+33,Juin_Dim1+40)</f>
        <v>40732</v>
      </c>
      <c r="H9" s="10">
        <f>IF(DAY(Juin_Dim1)=1,Juin_Dim1+34,Juin_Dim1+41)</f>
        <v>40733</v>
      </c>
      <c r="I9" s="10">
        <f>IF(DAY(Juin_Dim1)=1,Juin_Dim1+35,Juin_Dim1+42)</f>
        <v>40734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VLOOKUP(DAY(C4),Jours_affectation,1,FALSE)=DAY(C4)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14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IF(DAY(Juil_Dim1)=1,Juil_Dim1-6,Juil_Dim1+1)</f>
        <v>40721</v>
      </c>
      <c r="D4" s="10">
        <f>IF(DAY(Juil_Dim1)=1,Juil_Dim1-5,Juil_Dim1+2)</f>
        <v>40722</v>
      </c>
      <c r="E4" s="10">
        <f>IF(DAY(Juil_Dim1)=1,Juil_Dim1-4,Juil_Dim1+3)</f>
        <v>40723</v>
      </c>
      <c r="F4" s="10">
        <f>IF(DAY(Juil_Dim1)=1,Juil_Dim1-3,Juil_Dim1+4)</f>
        <v>40724</v>
      </c>
      <c r="G4" s="10">
        <f>IF(DAY(Juil_Dim1)=1,Juil_Dim1-2,Juil_Dim1+5)</f>
        <v>40725</v>
      </c>
      <c r="H4" s="10">
        <f>IF(DAY(Juil_Dim1)=1,Juil_Dim1-1,Juil_Dim1+6)</f>
        <v>40726</v>
      </c>
      <c r="I4" s="10">
        <f>IF(DAY(Juil_Dim1)=1,Juil_Dim1,Juil_Dim1+7)</f>
        <v>40727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IF(DAY(Juil_Dim1)=1,Juil_Dim1+1,Juil_Dim1+8)</f>
        <v>40728</v>
      </c>
      <c r="D5" s="10">
        <f>IF(DAY(Juil_Dim1)=1,Juil_Dim1+2,Juil_Dim1+9)</f>
        <v>40729</v>
      </c>
      <c r="E5" s="10">
        <f>IF(DAY(Juil_Dim1)=1,Juil_Dim1+3,Juil_Dim1+10)</f>
        <v>40730</v>
      </c>
      <c r="F5" s="10">
        <f>IF(DAY(Juil_Dim1)=1,Juil_Dim1+4,Juil_Dim1+11)</f>
        <v>40731</v>
      </c>
      <c r="G5" s="10">
        <f>IF(DAY(Juil_Dim1)=1,Juil_Dim1+5,Juil_Dim1+12)</f>
        <v>40732</v>
      </c>
      <c r="H5" s="10">
        <f>IF(DAY(Juil_Dim1)=1,Juil_Dim1+6,Juil_Dim1+13)</f>
        <v>40733</v>
      </c>
      <c r="I5" s="10">
        <f>IF(DAY(Juil_Dim1)=1,Juil_Dim1+7,Juil_Dim1+14)</f>
        <v>40734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IF(DAY(Juil_Dim1)=1,Juil_Dim1+8,Juil_Dim1+15)</f>
        <v>40735</v>
      </c>
      <c r="D6" s="10">
        <f>IF(DAY(Juil_Dim1)=1,Juil_Dim1+9,Juil_Dim1+16)</f>
        <v>40736</v>
      </c>
      <c r="E6" s="10">
        <f>IF(DAY(Juil_Dim1)=1,Juil_Dim1+10,Juil_Dim1+17)</f>
        <v>40737</v>
      </c>
      <c r="F6" s="10">
        <f>IF(DAY(Juil_Dim1)=1,Juil_Dim1+11,Juil_Dim1+18)</f>
        <v>40738</v>
      </c>
      <c r="G6" s="10">
        <f>IF(DAY(Juil_Dim1)=1,Juil_Dim1+12,Juil_Dim1+19)</f>
        <v>40739</v>
      </c>
      <c r="H6" s="10">
        <f>IF(DAY(Juil_Dim1)=1,Juil_Dim1+13,Juil_Dim1+20)</f>
        <v>40740</v>
      </c>
      <c r="I6" s="10">
        <f>IF(DAY(Juil_Dim1)=1,Juil_Dim1+14,Juil_Dim1+21)</f>
        <v>40741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IF(DAY(Juil_Dim1)=1,Juil_Dim1+15,Juil_Dim1+22)</f>
        <v>40742</v>
      </c>
      <c r="D7" s="10">
        <f>IF(DAY(Juil_Dim1)=1,Juil_Dim1+16,Juil_Dim1+23)</f>
        <v>40743</v>
      </c>
      <c r="E7" s="10">
        <f>IF(DAY(Juil_Dim1)=1,Juil_Dim1+17,Juil_Dim1+24)</f>
        <v>40744</v>
      </c>
      <c r="F7" s="10">
        <f>IF(DAY(Juil_Dim1)=1,Juil_Dim1+18,Juil_Dim1+25)</f>
        <v>40745</v>
      </c>
      <c r="G7" s="10">
        <f>IF(DAY(Juil_Dim1)=1,Juil_Dim1+19,Juil_Dim1+26)</f>
        <v>40746</v>
      </c>
      <c r="H7" s="10">
        <f>IF(DAY(Juil_Dim1)=1,Juil_Dim1+20,Juil_Dim1+27)</f>
        <v>40747</v>
      </c>
      <c r="I7" s="10">
        <f>IF(DAY(Juil_Dim1)=1,Juil_Dim1+21,Juil_Dim1+28)</f>
        <v>40748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IF(DAY(Juil_Dim1)=1,Juil_Dim1+22,Juil_Dim1+29)</f>
        <v>40749</v>
      </c>
      <c r="D8" s="10">
        <f>IF(DAY(Juil_Dim1)=1,Juil_Dim1+23,Juil_Dim1+30)</f>
        <v>40750</v>
      </c>
      <c r="E8" s="10">
        <f>IF(DAY(Juil_Dim1)=1,Juil_Dim1+24,Juil_Dim1+31)</f>
        <v>40751</v>
      </c>
      <c r="F8" s="10">
        <f>IF(DAY(Juil_Dim1)=1,Juil_Dim1+25,Juil_Dim1+32)</f>
        <v>40752</v>
      </c>
      <c r="G8" s="10">
        <f>IF(DAY(Juil_Dim1)=1,Juil_Dim1+26,Juil_Dim1+33)</f>
        <v>40753</v>
      </c>
      <c r="H8" s="10">
        <f>IF(DAY(Juil_Dim1)=1,Juil_Dim1+27,Juil_Dim1+34)</f>
        <v>40754</v>
      </c>
      <c r="I8" s="10">
        <f>IF(DAY(Juil_Dim1)=1,Juil_Dim1+28,Juil_Dim1+35)</f>
        <v>40755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IF(DAY(Juil_Dim1)=1,Juil_Dim1+29,Juil_Dim1+36)</f>
        <v>40756</v>
      </c>
      <c r="D9" s="10">
        <f>IF(DAY(Juil_Dim1)=1,Juil_Dim1+30,Juil_Dim1+37)</f>
        <v>40757</v>
      </c>
      <c r="E9" s="10">
        <f>IF(DAY(Juil_Dim1)=1,Juil_Dim1+31,Juil_Dim1+38)</f>
        <v>40758</v>
      </c>
      <c r="F9" s="10">
        <f>IF(DAY(Juil_Dim1)=1,Juil_Dim1+32,Juil_Dim1+39)</f>
        <v>40759</v>
      </c>
      <c r="G9" s="10">
        <f>IF(DAY(Juil_Dim1)=1,Juil_Dim1+33,Juil_Dim1+40)</f>
        <v>40760</v>
      </c>
      <c r="H9" s="10">
        <f>IF(DAY(Juil_Dim1)=1,Juil_Dim1+34,Juil_Dim1+41)</f>
        <v>40761</v>
      </c>
      <c r="I9" s="10">
        <f>IF(DAY(Juil_Dim1)=1,Juil_Dim1+35,Juil_Dim1+42)</f>
        <v>40762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VLOOKUP(DAY(C4),Jours_affectation,1,FALSE)=DAY(C4)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15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IF(DAY(Aoû_Dim1)=1,Aoû_Dim1-6,Aoû_Dim1+1)</f>
        <v>40756</v>
      </c>
      <c r="D4" s="10">
        <f>IF(DAY(Aoû_Dim1)=1,Aoû_Dim1-5,Aoû_Dim1+2)</f>
        <v>40757</v>
      </c>
      <c r="E4" s="10">
        <f>IF(DAY(Aoû_Dim1)=1,Aoû_Dim1-4,Aoû_Dim1+3)</f>
        <v>40758</v>
      </c>
      <c r="F4" s="10">
        <f>IF(DAY(Aoû_Dim1)=1,Aoû_Dim1-3,Aoû_Dim1+4)</f>
        <v>40759</v>
      </c>
      <c r="G4" s="10">
        <f>IF(DAY(Aoû_Dim1)=1,Aoû_Dim1-2,Aoû_Dim1+5)</f>
        <v>40760</v>
      </c>
      <c r="H4" s="10">
        <f>IF(DAY(Aoû_Dim1)=1,Aoû_Dim1-1,Aoû_Dim1+6)</f>
        <v>40761</v>
      </c>
      <c r="I4" s="10">
        <f>IF(DAY(Aoû_Dim1)=1,Aoû_Dim1,Aoû_Dim1+7)</f>
        <v>40762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IF(DAY(Aoû_Dim1)=1,Aoû_Dim1+1,Aoû_Dim1+8)</f>
        <v>40763</v>
      </c>
      <c r="D5" s="10">
        <f>IF(DAY(Aoû_Dim1)=1,Aoû_Dim1+2,Aoû_Dim1+9)</f>
        <v>40764</v>
      </c>
      <c r="E5" s="10">
        <f>IF(DAY(Aoû_Dim1)=1,Aoû_Dim1+3,Aoû_Dim1+10)</f>
        <v>40765</v>
      </c>
      <c r="F5" s="10">
        <f>IF(DAY(Aoû_Dim1)=1,Aoû_Dim1+4,Aoû_Dim1+11)</f>
        <v>40766</v>
      </c>
      <c r="G5" s="10">
        <f>IF(DAY(Aoû_Dim1)=1,Aoû_Dim1+5,Aoû_Dim1+12)</f>
        <v>40767</v>
      </c>
      <c r="H5" s="10">
        <f>IF(DAY(Aoû_Dim1)=1,Aoû_Dim1+6,Aoû_Dim1+13)</f>
        <v>40768</v>
      </c>
      <c r="I5" s="10">
        <f>IF(DAY(Aoû_Dim1)=1,Aoû_Dim1+7,Aoû_Dim1+14)</f>
        <v>40769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IF(DAY(Aoû_Dim1)=1,Aoû_Dim1+8,Aoû_Dim1+15)</f>
        <v>40770</v>
      </c>
      <c r="D6" s="10">
        <f>IF(DAY(Aoû_Dim1)=1,Aoû_Dim1+9,Aoû_Dim1+16)</f>
        <v>40771</v>
      </c>
      <c r="E6" s="10">
        <f>IF(DAY(Aoû_Dim1)=1,Aoû_Dim1+10,Aoû_Dim1+17)</f>
        <v>40772</v>
      </c>
      <c r="F6" s="10">
        <f>IF(DAY(Aoû_Dim1)=1,Aoû_Dim1+11,Aoû_Dim1+18)</f>
        <v>40773</v>
      </c>
      <c r="G6" s="10">
        <f>IF(DAY(Aoû_Dim1)=1,Aoû_Dim1+12,Aoû_Dim1+19)</f>
        <v>40774</v>
      </c>
      <c r="H6" s="10">
        <f>IF(DAY(Aoû_Dim1)=1,Aoû_Dim1+13,Aoû_Dim1+20)</f>
        <v>40775</v>
      </c>
      <c r="I6" s="10">
        <f>IF(DAY(Aoû_Dim1)=1,Aoû_Dim1+14,Aoû_Dim1+21)</f>
        <v>40776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IF(DAY(Aoû_Dim1)=1,Aoû_Dim1+15,Aoû_Dim1+22)</f>
        <v>40777</v>
      </c>
      <c r="D7" s="10">
        <f>IF(DAY(Aoû_Dim1)=1,Aoû_Dim1+16,Aoû_Dim1+23)</f>
        <v>40778</v>
      </c>
      <c r="E7" s="10">
        <f>IF(DAY(Aoû_Dim1)=1,Aoû_Dim1+17,Aoû_Dim1+24)</f>
        <v>40779</v>
      </c>
      <c r="F7" s="10">
        <f>IF(DAY(Aoû_Dim1)=1,Aoû_Dim1+18,Aoû_Dim1+25)</f>
        <v>40780</v>
      </c>
      <c r="G7" s="10">
        <f>IF(DAY(Aoû_Dim1)=1,Aoû_Dim1+19,Aoû_Dim1+26)</f>
        <v>40781</v>
      </c>
      <c r="H7" s="10">
        <f>IF(DAY(Aoû_Dim1)=1,Aoû_Dim1+20,Aoû_Dim1+27)</f>
        <v>40782</v>
      </c>
      <c r="I7" s="10">
        <f>IF(DAY(Aoû_Dim1)=1,Aoû_Dim1+21,Aoû_Dim1+28)</f>
        <v>40783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IF(DAY(Aoû_Dim1)=1,Aoû_Dim1+22,Aoû_Dim1+29)</f>
        <v>40784</v>
      </c>
      <c r="D8" s="10">
        <f>IF(DAY(Aoû_Dim1)=1,Aoû_Dim1+23,Aoû_Dim1+30)</f>
        <v>40785</v>
      </c>
      <c r="E8" s="10">
        <f>IF(DAY(Aoû_Dim1)=1,Aoû_Dim1+24,Aoû_Dim1+31)</f>
        <v>40786</v>
      </c>
      <c r="F8" s="10">
        <f>IF(DAY(Aoû_Dim1)=1,Aoû_Dim1+25,Aoû_Dim1+32)</f>
        <v>40787</v>
      </c>
      <c r="G8" s="10">
        <f>IF(DAY(Aoû_Dim1)=1,Aoû_Dim1+26,Aoû_Dim1+33)</f>
        <v>40788</v>
      </c>
      <c r="H8" s="10">
        <f>IF(DAY(Aoû_Dim1)=1,Aoû_Dim1+27,Aoû_Dim1+34)</f>
        <v>40789</v>
      </c>
      <c r="I8" s="10">
        <f>IF(DAY(Aoû_Dim1)=1,Aoû_Dim1+28,Aoû_Dim1+35)</f>
        <v>40790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IF(DAY(Aoû_Dim1)=1,Aoû_Dim1+29,Aoû_Dim1+36)</f>
        <v>40791</v>
      </c>
      <c r="D9" s="10">
        <f>IF(DAY(Aoû_Dim1)=1,Aoû_Dim1+30,Aoû_Dim1+37)</f>
        <v>40792</v>
      </c>
      <c r="E9" s="10">
        <f>IF(DAY(Aoû_Dim1)=1,Aoû_Dim1+31,Aoû_Dim1+38)</f>
        <v>40793</v>
      </c>
      <c r="F9" s="10">
        <f>IF(DAY(Aoû_Dim1)=1,Aoû_Dim1+32,Aoû_Dim1+39)</f>
        <v>40794</v>
      </c>
      <c r="G9" s="10">
        <f>IF(DAY(Aoû_Dim1)=1,Aoû_Dim1+33,Aoû_Dim1+40)</f>
        <v>40795</v>
      </c>
      <c r="H9" s="10">
        <f>IF(DAY(Aoû_Dim1)=1,Aoû_Dim1+34,Aoû_Dim1+41)</f>
        <v>40796</v>
      </c>
      <c r="I9" s="10">
        <f>IF(DAY(Aoû_Dim1)=1,Aoû_Dim1+35,Aoû_Dim1+42)</f>
        <v>40797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VLOOKUP(DAY(C4),Jours_affectation,1,FALSE)=DAY(C4)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16</v>
      </c>
      <c r="C2" s="21"/>
      <c r="D2" s="21"/>
      <c r="E2" s="21"/>
      <c r="F2" s="21"/>
      <c r="G2" s="21"/>
      <c r="H2" s="21"/>
      <c r="I2" s="21"/>
      <c r="J2" s="22"/>
      <c r="K2" s="40" t="s">
        <v>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35</v>
      </c>
      <c r="D3" s="2" t="s">
        <v>1</v>
      </c>
      <c r="E3" s="2" t="s">
        <v>1</v>
      </c>
      <c r="F3" s="2" t="s">
        <v>36</v>
      </c>
      <c r="G3" s="2" t="s">
        <v>37</v>
      </c>
      <c r="H3" s="2" t="s">
        <v>0</v>
      </c>
      <c r="I3" s="2" t="s">
        <v>38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IF(DAY(Sep_Dim1)=1,Sep_Dim1-6,Sep_Dim1+1)</f>
        <v>40784</v>
      </c>
      <c r="D4" s="10">
        <f>IF(DAY(Sep_Dim1)=1,Sep_Dim1-5,Sep_Dim1+2)</f>
        <v>40785</v>
      </c>
      <c r="E4" s="10">
        <f>IF(DAY(Sep_Dim1)=1,Sep_Dim1-4,Sep_Dim1+3)</f>
        <v>40786</v>
      </c>
      <c r="F4" s="10">
        <f>IF(DAY(Sep_Dim1)=1,Sep_Dim1-3,Sep_Dim1+4)</f>
        <v>40787</v>
      </c>
      <c r="G4" s="10">
        <f>IF(DAY(Sep_Dim1)=1,Sep_Dim1-2,Sep_Dim1+5)</f>
        <v>40788</v>
      </c>
      <c r="H4" s="10">
        <f>IF(DAY(Sep_Dim1)=1,Sep_Dim1-1,Sep_Dim1+6)</f>
        <v>40789</v>
      </c>
      <c r="I4" s="10">
        <f>IF(DAY(Sep_Dim1)=1,Sep_Dim1,Sep_Dim1+7)</f>
        <v>40790</v>
      </c>
      <c r="J4" s="5"/>
      <c r="K4" s="44" t="s">
        <v>24</v>
      </c>
      <c r="L4" s="16"/>
      <c r="M4" s="45"/>
      <c r="N4" s="46"/>
    </row>
    <row r="5" spans="1:14" ht="18" customHeight="1" x14ac:dyDescent="0.2">
      <c r="A5" s="4"/>
      <c r="B5" s="67"/>
      <c r="C5" s="10">
        <f>IF(DAY(Sep_Dim1)=1,Sep_Dim1+1,Sep_Dim1+8)</f>
        <v>40791</v>
      </c>
      <c r="D5" s="10">
        <f>IF(DAY(Sep_Dim1)=1,Sep_Dim1+2,Sep_Dim1+9)</f>
        <v>40792</v>
      </c>
      <c r="E5" s="10">
        <f>IF(DAY(Sep_Dim1)=1,Sep_Dim1+3,Sep_Dim1+10)</f>
        <v>40793</v>
      </c>
      <c r="F5" s="10">
        <f>IF(DAY(Sep_Dim1)=1,Sep_Dim1+4,Sep_Dim1+11)</f>
        <v>40794</v>
      </c>
      <c r="G5" s="10">
        <f>IF(DAY(Sep_Dim1)=1,Sep_Dim1+5,Sep_Dim1+12)</f>
        <v>40795</v>
      </c>
      <c r="H5" s="10">
        <f>IF(DAY(Sep_Dim1)=1,Sep_Dim1+6,Sep_Dim1+13)</f>
        <v>40796</v>
      </c>
      <c r="I5" s="10">
        <f>IF(DAY(Sep_Dim1)=1,Sep_Dim1+7,Sep_Dim1+14)</f>
        <v>40797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IF(DAY(Sep_Dim1)=1,Sep_Dim1+8,Sep_Dim1+15)</f>
        <v>40798</v>
      </c>
      <c r="D6" s="10">
        <f>IF(DAY(Sep_Dim1)=1,Sep_Dim1+9,Sep_Dim1+16)</f>
        <v>40799</v>
      </c>
      <c r="E6" s="10">
        <f>IF(DAY(Sep_Dim1)=1,Sep_Dim1+10,Sep_Dim1+17)</f>
        <v>40800</v>
      </c>
      <c r="F6" s="10">
        <f>IF(DAY(Sep_Dim1)=1,Sep_Dim1+11,Sep_Dim1+18)</f>
        <v>40801</v>
      </c>
      <c r="G6" s="10">
        <f>IF(DAY(Sep_Dim1)=1,Sep_Dim1+12,Sep_Dim1+19)</f>
        <v>40802</v>
      </c>
      <c r="H6" s="10">
        <f>IF(DAY(Sep_Dim1)=1,Sep_Dim1+13,Sep_Dim1+20)</f>
        <v>40803</v>
      </c>
      <c r="I6" s="10">
        <f>IF(DAY(Sep_Dim1)=1,Sep_Dim1+14,Sep_Dim1+21)</f>
        <v>40804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IF(DAY(Sep_Dim1)=1,Sep_Dim1+15,Sep_Dim1+22)</f>
        <v>40805</v>
      </c>
      <c r="D7" s="10">
        <f>IF(DAY(Sep_Dim1)=1,Sep_Dim1+16,Sep_Dim1+23)</f>
        <v>40806</v>
      </c>
      <c r="E7" s="10">
        <f>IF(DAY(Sep_Dim1)=1,Sep_Dim1+17,Sep_Dim1+24)</f>
        <v>40807</v>
      </c>
      <c r="F7" s="10">
        <f>IF(DAY(Sep_Dim1)=1,Sep_Dim1+18,Sep_Dim1+25)</f>
        <v>40808</v>
      </c>
      <c r="G7" s="10">
        <f>IF(DAY(Sep_Dim1)=1,Sep_Dim1+19,Sep_Dim1+26)</f>
        <v>40809</v>
      </c>
      <c r="H7" s="10">
        <f>IF(DAY(Sep_Dim1)=1,Sep_Dim1+20,Sep_Dim1+27)</f>
        <v>40810</v>
      </c>
      <c r="I7" s="10">
        <f>IF(DAY(Sep_Dim1)=1,Sep_Dim1+21,Sep_Dim1+28)</f>
        <v>40811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IF(DAY(Sep_Dim1)=1,Sep_Dim1+22,Sep_Dim1+29)</f>
        <v>40812</v>
      </c>
      <c r="D8" s="10">
        <f>IF(DAY(Sep_Dim1)=1,Sep_Dim1+23,Sep_Dim1+30)</f>
        <v>40813</v>
      </c>
      <c r="E8" s="10">
        <f>IF(DAY(Sep_Dim1)=1,Sep_Dim1+24,Sep_Dim1+31)</f>
        <v>40814</v>
      </c>
      <c r="F8" s="10">
        <f>IF(DAY(Sep_Dim1)=1,Sep_Dim1+25,Sep_Dim1+32)</f>
        <v>40815</v>
      </c>
      <c r="G8" s="10">
        <f>IF(DAY(Sep_Dim1)=1,Sep_Dim1+26,Sep_Dim1+33)</f>
        <v>40816</v>
      </c>
      <c r="H8" s="10">
        <f>IF(DAY(Sep_Dim1)=1,Sep_Dim1+27,Sep_Dim1+34)</f>
        <v>40817</v>
      </c>
      <c r="I8" s="10">
        <f>IF(DAY(Sep_Dim1)=1,Sep_Dim1+28,Sep_Dim1+35)</f>
        <v>40818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IF(DAY(Sep_Dim1)=1,Sep_Dim1+29,Sep_Dim1+36)</f>
        <v>40819</v>
      </c>
      <c r="D9" s="10">
        <f>IF(DAY(Sep_Dim1)=1,Sep_Dim1+30,Sep_Dim1+37)</f>
        <v>40820</v>
      </c>
      <c r="E9" s="10">
        <f>IF(DAY(Sep_Dim1)=1,Sep_Dim1+31,Sep_Dim1+38)</f>
        <v>40821</v>
      </c>
      <c r="F9" s="10">
        <f>IF(DAY(Sep_Dim1)=1,Sep_Dim1+32,Sep_Dim1+39)</f>
        <v>40822</v>
      </c>
      <c r="G9" s="10">
        <f>IF(DAY(Sep_Dim1)=1,Sep_Dim1+33,Sep_Dim1+40)</f>
        <v>40823</v>
      </c>
      <c r="H9" s="10">
        <f>IF(DAY(Sep_Dim1)=1,Sep_Dim1+34,Sep_Dim1+41)</f>
        <v>40824</v>
      </c>
      <c r="I9" s="10">
        <f>IF(DAY(Sep_Dim1)=1,Sep_Dim1+35,Sep_Dim1+42)</f>
        <v>40825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25</v>
      </c>
      <c r="L10" s="16"/>
      <c r="M10" s="33"/>
      <c r="N10" s="34"/>
    </row>
    <row r="11" spans="1:14" ht="18" customHeight="1" x14ac:dyDescent="0.2">
      <c r="A11" s="4"/>
      <c r="B11" s="69" t="s">
        <v>30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24</v>
      </c>
      <c r="C13" s="37" t="s">
        <v>25</v>
      </c>
      <c r="D13" s="39"/>
      <c r="E13" s="37" t="s">
        <v>26</v>
      </c>
      <c r="F13" s="39"/>
      <c r="G13" s="37" t="s">
        <v>20</v>
      </c>
      <c r="H13" s="39"/>
      <c r="I13" s="37" t="s">
        <v>27</v>
      </c>
      <c r="J13" s="38"/>
      <c r="K13" s="11"/>
      <c r="L13" s="17"/>
      <c r="M13" s="29"/>
      <c r="N13" s="30"/>
    </row>
    <row r="14" spans="1:14" ht="18" customHeight="1" x14ac:dyDescent="0.2">
      <c r="B14" s="8" t="s">
        <v>2</v>
      </c>
      <c r="C14" s="51"/>
      <c r="D14" s="52"/>
      <c r="E14" s="51" t="s">
        <v>2</v>
      </c>
      <c r="F14" s="52"/>
      <c r="G14" s="51"/>
      <c r="H14" s="52"/>
      <c r="I14" s="51" t="s">
        <v>2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</v>
      </c>
      <c r="D16" s="52"/>
      <c r="E16" s="51"/>
      <c r="F16" s="52"/>
      <c r="G16" s="51" t="s">
        <v>3</v>
      </c>
      <c r="H16" s="52"/>
      <c r="I16" s="61"/>
      <c r="J16" s="62"/>
      <c r="K16" s="27" t="s">
        <v>32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20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4</v>
      </c>
      <c r="C26" s="51"/>
      <c r="D26" s="52"/>
      <c r="E26" s="51" t="s">
        <v>4</v>
      </c>
      <c r="F26" s="52"/>
      <c r="G26" s="51"/>
      <c r="H26" s="52"/>
      <c r="I26" s="51" t="s">
        <v>4</v>
      </c>
      <c r="J26" s="60"/>
      <c r="K26" s="11"/>
      <c r="L26" s="17"/>
      <c r="M26" s="29"/>
      <c r="N26" s="30"/>
    </row>
    <row r="27" spans="2:14" ht="18" customHeight="1" x14ac:dyDescent="0.2">
      <c r="B27" s="6" t="s">
        <v>28</v>
      </c>
      <c r="C27" s="49"/>
      <c r="D27" s="50"/>
      <c r="E27" s="49" t="s">
        <v>28</v>
      </c>
      <c r="F27" s="50"/>
      <c r="G27" s="49"/>
      <c r="H27" s="50"/>
      <c r="I27" s="57" t="s">
        <v>28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31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6</v>
      </c>
      <c r="D30" s="52"/>
      <c r="E30" s="51"/>
      <c r="F30" s="52"/>
      <c r="G30" s="51" t="s">
        <v>6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29</v>
      </c>
      <c r="D31" s="50"/>
      <c r="E31" s="49"/>
      <c r="F31" s="50"/>
      <c r="G31" s="49" t="s">
        <v>29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VLOOKUP(DAY(C4),Jours_affectation,1,FALSE)=DAY(C4)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d93d202-47fc-4405-873a-cab67cc5f1b2" xsi:nil="true"/>
    <AssetExpire xmlns="6d93d202-47fc-4405-873a-cab67cc5f1b2">2029-05-12T07:00:00+00:00</AssetExpire>
    <IntlLangReviewDate xmlns="6d93d202-47fc-4405-873a-cab67cc5f1b2" xsi:nil="true"/>
    <TPFriendlyName xmlns="6d93d202-47fc-4405-873a-cab67cc5f1b2" xsi:nil="true"/>
    <IntlLangReview xmlns="6d93d202-47fc-4405-873a-cab67cc5f1b2" xsi:nil="true"/>
    <PolicheckWords xmlns="6d93d202-47fc-4405-873a-cab67cc5f1b2" xsi:nil="true"/>
    <SubmitterId xmlns="6d93d202-47fc-4405-873a-cab67cc5f1b2" xsi:nil="true"/>
    <AcquiredFrom xmlns="6d93d202-47fc-4405-873a-cab67cc5f1b2">Internal MS</AcquiredFrom>
    <EditorialStatus xmlns="6d93d202-47fc-4405-873a-cab67cc5f1b2" xsi:nil="true"/>
    <Markets xmlns="6d93d202-47fc-4405-873a-cab67cc5f1b2"/>
    <OriginAsset xmlns="6d93d202-47fc-4405-873a-cab67cc5f1b2" xsi:nil="true"/>
    <AssetStart xmlns="6d93d202-47fc-4405-873a-cab67cc5f1b2">2011-02-21T14:14:00+00:00</AssetStart>
    <FriendlyTitle xmlns="6d93d202-47fc-4405-873a-cab67cc5f1b2" xsi:nil="true"/>
    <MarketSpecific xmlns="6d93d202-47fc-4405-873a-cab67cc5f1b2">false</MarketSpecific>
    <TPNamespace xmlns="6d93d202-47fc-4405-873a-cab67cc5f1b2" xsi:nil="true"/>
    <PublishStatusLookup xmlns="6d93d202-47fc-4405-873a-cab67cc5f1b2">
      <Value>360236</Value>
      <Value>453897</Value>
    </PublishStatusLookup>
    <APAuthor xmlns="6d93d202-47fc-4405-873a-cab67cc5f1b2">
      <UserInfo>
        <DisplayName/>
        <AccountId>2098</AccountId>
        <AccountType/>
      </UserInfo>
    </APAuthor>
    <TPCommandLine xmlns="6d93d202-47fc-4405-873a-cab67cc5f1b2" xsi:nil="true"/>
    <IntlLangReviewer xmlns="6d93d202-47fc-4405-873a-cab67cc5f1b2" xsi:nil="true"/>
    <OpenTemplate xmlns="6d93d202-47fc-4405-873a-cab67cc5f1b2">true</OpenTemplate>
    <CSXSubmissionDate xmlns="6d93d202-47fc-4405-873a-cab67cc5f1b2" xsi:nil="true"/>
    <Manager xmlns="6d93d202-47fc-4405-873a-cab67cc5f1b2" xsi:nil="true"/>
    <NumericId xmlns="6d93d202-47fc-4405-873a-cab67cc5f1b2" xsi:nil="true"/>
    <ParentAssetId xmlns="6d93d202-47fc-4405-873a-cab67cc5f1b2" xsi:nil="true"/>
    <OriginalSourceMarket xmlns="6d93d202-47fc-4405-873a-cab67cc5f1b2">english</OriginalSourceMarket>
    <ApprovalStatus xmlns="6d93d202-47fc-4405-873a-cab67cc5f1b2">InProgress</ApprovalStatus>
    <TPComponent xmlns="6d93d202-47fc-4405-873a-cab67cc5f1b2" xsi:nil="true"/>
    <EditorialTags xmlns="6d93d202-47fc-4405-873a-cab67cc5f1b2" xsi:nil="true"/>
    <TPExecutable xmlns="6d93d202-47fc-4405-873a-cab67cc5f1b2" xsi:nil="true"/>
    <TPLaunchHelpLink xmlns="6d93d202-47fc-4405-873a-cab67cc5f1b2" xsi:nil="true"/>
    <SourceTitle xmlns="6d93d202-47fc-4405-873a-cab67cc5f1b2" xsi:nil="true"/>
    <CSXUpdate xmlns="6d93d202-47fc-4405-873a-cab67cc5f1b2">false</CSXUpdate>
    <IntlLocPriority xmlns="6d93d202-47fc-4405-873a-cab67cc5f1b2" xsi:nil="true"/>
    <UAProjectedTotalWords xmlns="6d93d202-47fc-4405-873a-cab67cc5f1b2" xsi:nil="true"/>
    <AssetType xmlns="6d93d202-47fc-4405-873a-cab67cc5f1b2">TP</AssetType>
    <MachineTranslated xmlns="6d93d202-47fc-4405-873a-cab67cc5f1b2">false</MachineTranslated>
    <OutputCachingOn xmlns="6d93d202-47fc-4405-873a-cab67cc5f1b2">false</OutputCachingOn>
    <TemplateStatus xmlns="6d93d202-47fc-4405-873a-cab67cc5f1b2" xsi:nil="true"/>
    <IsSearchable xmlns="6d93d202-47fc-4405-873a-cab67cc5f1b2">true</IsSearchable>
    <ContentItem xmlns="6d93d202-47fc-4405-873a-cab67cc5f1b2" xsi:nil="true"/>
    <HandoffToMSDN xmlns="6d93d202-47fc-4405-873a-cab67cc5f1b2" xsi:nil="true"/>
    <ShowIn xmlns="6d93d202-47fc-4405-873a-cab67cc5f1b2">Show everywhere</ShowIn>
    <ThumbnailAssetId xmlns="6d93d202-47fc-4405-873a-cab67cc5f1b2" xsi:nil="true"/>
    <UALocComments xmlns="6d93d202-47fc-4405-873a-cab67cc5f1b2" xsi:nil="true"/>
    <UALocRecommendation xmlns="6d93d202-47fc-4405-873a-cab67cc5f1b2">Localize</UALocRecommendation>
    <LastModifiedDateTime xmlns="6d93d202-47fc-4405-873a-cab67cc5f1b2" xsi:nil="true"/>
    <LastPublishResultLookup xmlns="6d93d202-47fc-4405-873a-cab67cc5f1b2" xsi:nil="true"/>
    <LegacyData xmlns="6d93d202-47fc-4405-873a-cab67cc5f1b2" xsi:nil="true"/>
    <ClipArtFilename xmlns="6d93d202-47fc-4405-873a-cab67cc5f1b2" xsi:nil="true"/>
    <TPApplication xmlns="6d93d202-47fc-4405-873a-cab67cc5f1b2" xsi:nil="true"/>
    <CSXHash xmlns="6d93d202-47fc-4405-873a-cab67cc5f1b2" xsi:nil="true"/>
    <DirectSourceMarket xmlns="6d93d202-47fc-4405-873a-cab67cc5f1b2">english</DirectSourceMarket>
    <PrimaryImageGen xmlns="6d93d202-47fc-4405-873a-cab67cc5f1b2">true</PrimaryImageGen>
    <PlannedPubDate xmlns="6d93d202-47fc-4405-873a-cab67cc5f1b2" xsi:nil="true"/>
    <CSXSubmissionMarket xmlns="6d93d202-47fc-4405-873a-cab67cc5f1b2" xsi:nil="true"/>
    <Downloads xmlns="6d93d202-47fc-4405-873a-cab67cc5f1b2">0</Downloads>
    <ArtSampleDocs xmlns="6d93d202-47fc-4405-873a-cab67cc5f1b2" xsi:nil="true"/>
    <TrustLevel xmlns="6d93d202-47fc-4405-873a-cab67cc5f1b2">1 Microsoft Managed Content</TrustLevel>
    <BlockPublish xmlns="6d93d202-47fc-4405-873a-cab67cc5f1b2">false</BlockPublish>
    <TPLaunchHelpLinkType xmlns="6d93d202-47fc-4405-873a-cab67cc5f1b2">Template</TPLaunchHelpLinkType>
    <BusinessGroup xmlns="6d93d202-47fc-4405-873a-cab67cc5f1b2" xsi:nil="true"/>
    <Providers xmlns="6d93d202-47fc-4405-873a-cab67cc5f1b2" xsi:nil="true"/>
    <TemplateTemplateType xmlns="6d93d202-47fc-4405-873a-cab67cc5f1b2">Excel Chart Template</TemplateTemplateType>
    <TimesCloned xmlns="6d93d202-47fc-4405-873a-cab67cc5f1b2" xsi:nil="true"/>
    <TPAppVersion xmlns="6d93d202-47fc-4405-873a-cab67cc5f1b2" xsi:nil="true"/>
    <VoteCount xmlns="6d93d202-47fc-4405-873a-cab67cc5f1b2" xsi:nil="true"/>
    <AverageRating xmlns="6d93d202-47fc-4405-873a-cab67cc5f1b2" xsi:nil="true"/>
    <Provider xmlns="6d93d202-47fc-4405-873a-cab67cc5f1b2" xsi:nil="true"/>
    <UACurrentWords xmlns="6d93d202-47fc-4405-873a-cab67cc5f1b2" xsi:nil="true"/>
    <AssetId xmlns="6d93d202-47fc-4405-873a-cab67cc5f1b2">TP102551273</AssetId>
    <TPClientViewer xmlns="6d93d202-47fc-4405-873a-cab67cc5f1b2" xsi:nil="true"/>
    <DSATActionTaken xmlns="6d93d202-47fc-4405-873a-cab67cc5f1b2" xsi:nil="true"/>
    <APEditor xmlns="6d93d202-47fc-4405-873a-cab67cc5f1b2">
      <UserInfo>
        <DisplayName/>
        <AccountId xsi:nil="true"/>
        <AccountType/>
      </UserInfo>
    </APEditor>
    <TPInstallLocation xmlns="6d93d202-47fc-4405-873a-cab67cc5f1b2" xsi:nil="true"/>
    <OOCacheId xmlns="6d93d202-47fc-4405-873a-cab67cc5f1b2" xsi:nil="true"/>
    <IsDeleted xmlns="6d93d202-47fc-4405-873a-cab67cc5f1b2">false</IsDeleted>
    <PublishTargets xmlns="6d93d202-47fc-4405-873a-cab67cc5f1b2">OfficeOnline</PublishTargets>
    <ApprovalLog xmlns="6d93d202-47fc-4405-873a-cab67cc5f1b2" xsi:nil="true"/>
    <BugNumber xmlns="6d93d202-47fc-4405-873a-cab67cc5f1b2" xsi:nil="true"/>
    <CrawlForDependencies xmlns="6d93d202-47fc-4405-873a-cab67cc5f1b2">false</CrawlForDependencies>
    <LastHandOff xmlns="6d93d202-47fc-4405-873a-cab67cc5f1b2" xsi:nil="true"/>
    <Milestone xmlns="6d93d202-47fc-4405-873a-cab67cc5f1b2" xsi:nil="true"/>
    <UANotes xmlns="6d93d202-47fc-4405-873a-cab67cc5f1b2" xsi:nil="true"/>
    <LocManualTestRequired xmlns="6d93d202-47fc-4405-873a-cab67cc5f1b2" xsi:nil="true"/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2613</LocLastLocAttemptVersionLookup>
    <InternalTagsTaxHTField0 xmlns="6d93d202-47fc-4405-873a-cab67cc5f1b2">
      <Terms xmlns="http://schemas.microsoft.com/office/infopath/2007/PartnerControls"/>
    </InternalTagsTaxHTField0>
    <LocProcessedForMarketsLookup xmlns="6d93d202-47fc-4405-873a-cab67cc5f1b2" xsi:nil="true"/>
    <LocRecommendedHandoff xmlns="6d93d202-47fc-4405-873a-cab67cc5f1b2" xsi:nil="true"/>
    <LocOverallPreviewStatusLookup xmlns="6d93d202-47fc-4405-873a-cab67cc5f1b2" xsi:nil="true"/>
    <LocOverallPublishStatusLookup xmlns="6d93d202-47fc-4405-873a-cab67cc5f1b2" xsi:nil="true"/>
    <Component xmlns="64acb2c5-0a2b-4bda-bd34-58e36cbb80d2" xsi:nil="true"/>
    <LocProcessedForHandoffsLookup xmlns="6d93d202-47fc-4405-873a-cab67cc5f1b2" xsi:nil="true"/>
    <LocLastLocAttemptVersionTypeLookup xmlns="6d93d202-47fc-4405-873a-cab67cc5f1b2" xsi:nil="true"/>
    <LocOverallHandbackStatusLookup xmlns="6d93d202-47fc-4405-873a-cab67cc5f1b2" xsi:nil="true"/>
    <LocComments xmlns="6d93d202-47fc-4405-873a-cab67cc5f1b2" xsi:nil="true"/>
    <TaxCatchAll xmlns="6d93d202-47fc-4405-873a-cab67cc5f1b2"/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Description0 xmlns="64acb2c5-0a2b-4bda-bd34-58e36cbb80d2" xsi:nil="true"/>
    <FeatureTagsTaxHTField0 xmlns="6d93d202-47fc-4405-873a-cab67cc5f1b2">
      <Terms xmlns="http://schemas.microsoft.com/office/infopath/2007/PartnerControls"/>
    </FeatureTagsTaxHTField0>
    <LocOverallLocStatusLookup xmlns="6d93d202-47fc-4405-873a-cab67cc5f1b2" xsi:nil="true"/>
    <LocPublishedLinkedAssetsLookup xmlns="6d93d202-47fc-4405-873a-cab67cc5f1b2" xsi:nil="true"/>
    <LocNewPublishedVersionLookup xmlns="6d93d202-47fc-4405-873a-cab67cc5f1b2" xsi:nil="true"/>
    <LocPublishedDependentAssetsLookup xmlns="6d93d202-47fc-4405-873a-cab67cc5f1b2" xsi:nil="true"/>
    <OriginalRelease xmlns="6d93d202-47fc-4405-873a-cab67cc5f1b2">14</OriginalRelease>
    <LocMarketGroupTiers2 xmlns="6d93d202-47fc-4405-873a-cab67cc5f1b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E3B75E-D7F3-4602-9E84-CC855053F540}"/>
</file>

<file path=customXml/itemProps2.xml><?xml version="1.0" encoding="utf-8"?>
<ds:datastoreItem xmlns:ds="http://schemas.openxmlformats.org/officeDocument/2006/customXml" ds:itemID="{642A2AB2-C96A-4F1D-A896-B2666E5A28B2}"/>
</file>

<file path=customXml/itemProps3.xml><?xml version="1.0" encoding="utf-8"?>
<ds:datastoreItem xmlns:ds="http://schemas.openxmlformats.org/officeDocument/2006/customXml" ds:itemID="{C8953B45-2075-442B-8D3B-9ADEA886205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Année_Calendaire</vt:lpstr>
      <vt:lpstr>Août!Jours_affectation</vt:lpstr>
      <vt:lpstr>Avril!Jours_affectation</vt:lpstr>
      <vt:lpstr>Décembre!Jours_affectation</vt:lpstr>
      <vt:lpstr>Février!Jours_affectation</vt:lpstr>
      <vt:lpstr>Juillet!Jours_affectation</vt:lpstr>
      <vt:lpstr>Juin!Jours_affectation</vt:lpstr>
      <vt:lpstr>Mai!Jours_affectation</vt:lpstr>
      <vt:lpstr>Mars!Jours_affectation</vt:lpstr>
      <vt:lpstr>Novembre!Jours_affectation</vt:lpstr>
      <vt:lpstr>Octobre!Jours_affectation</vt:lpstr>
      <vt:lpstr>Septembre!Jours_affectation</vt:lpstr>
      <vt:lpstr>Jours_affectation</vt:lpstr>
      <vt:lpstr>Août!Print_Area</vt:lpstr>
      <vt:lpstr>Avril!Print_Area</vt:lpstr>
      <vt:lpstr>Décembre!Print_Area</vt:lpstr>
      <vt:lpstr>Février!Print_Area</vt:lpstr>
      <vt:lpstr>Janvier!Print_Area</vt:lpstr>
      <vt:lpstr>Juillet!Print_Area</vt:lpstr>
      <vt:lpstr>Juin!Print_Area</vt:lpstr>
      <vt:lpstr>Mai!Print_Area</vt:lpstr>
      <vt:lpstr>Mars!Print_Area</vt:lpstr>
      <vt:lpstr>Novembre!Print_Area</vt:lpstr>
      <vt:lpstr>Octobre!Print_Area</vt:lpstr>
      <vt:lpstr>Septembre!Print_Area</vt:lpstr>
      <vt:lpstr>Août!Table_Dates_Importantes</vt:lpstr>
      <vt:lpstr>Avril!Table_Dates_Importantes</vt:lpstr>
      <vt:lpstr>Décembre!Table_Dates_Importantes</vt:lpstr>
      <vt:lpstr>Février!Table_Dates_Importantes</vt:lpstr>
      <vt:lpstr>Juillet!Table_Dates_Importantes</vt:lpstr>
      <vt:lpstr>Juin!Table_Dates_Importantes</vt:lpstr>
      <vt:lpstr>Mai!Table_Dates_Importantes</vt:lpstr>
      <vt:lpstr>Mars!Table_Dates_Importantes</vt:lpstr>
      <vt:lpstr>Novembre!Table_Dates_Importantes</vt:lpstr>
      <vt:lpstr>Octobre!Table_Dates_Importantes</vt:lpstr>
      <vt:lpstr>Septembre!Table_Dates_Importantes</vt:lpstr>
      <vt:lpstr>Table_Dates_Importantes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Samyuktha Laxminarayana (Lionbridge)</dc:creator>
  <cp:lastModifiedBy>AWS CFM Account</cp:lastModifiedBy>
  <cp:lastPrinted>2011-05-10T08:48:09Z</cp:lastPrinted>
  <dcterms:created xsi:type="dcterms:W3CDTF">2010-04-07T20:16:53Z</dcterms:created>
  <dcterms:modified xsi:type="dcterms:W3CDTF">2012-05-30T11:15:17Z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Order">
    <vt:r8>9009500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