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31"/>
  <workbookPr codeName="ThisWorkbook"/>
  <mc:AlternateContent xmlns:mc="http://schemas.openxmlformats.org/markup-compatibility/2006">
    <mc:Choice Requires="x15">
      <x15ac:absPath xmlns:x15ac="http://schemas.microsoft.com/office/spreadsheetml/2010/11/ac" url="C:\Users\admin\Desktop\fr-CA\"/>
    </mc:Choice>
  </mc:AlternateContent>
  <bookViews>
    <workbookView xWindow="-120" yWindow="-120" windowWidth="28950" windowHeight="16110" xr2:uid="{00000000-000D-0000-FFFF-FFFF00000000}"/>
  </bookViews>
  <sheets>
    <sheet name="Début" sheetId="9" r:id="rId1"/>
    <sheet name="Calendrier des dépenses" sheetId="8" r:id="rId2"/>
  </sheets>
  <definedNames>
    <definedName name="AprSun1">DATE(CalendarYear,4,1)-WEEKDAY(DATE(CalendarYear,4,1))</definedName>
    <definedName name="AugSun1">DATE(CalendarYear,8,1)-WEEKDAY(DATE(CalendarYear,8,1))</definedName>
    <definedName name="CalendarYear">'Calendrier des dépenses'!Year1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Month1" localSheetId="1">'Calendrier des dépenses'!$B$3</definedName>
    <definedName name="NovSun1">DATE(CalendarYear,11,1)-WEEKDAY(DATE(CalendarYear,11,1))</definedName>
    <definedName name="OctSun1">DATE(CalendarYear,10,1)-WEEKDAY(DATE(CalendarYear,10,1))</definedName>
    <definedName name="SepSun1">DATE(CalendarYear,9,1)-WEEKDAY(DATE(CalendarYear,9,1))</definedName>
    <definedName name="StartMonth">'Calendrier des dépenses'!$B$4</definedName>
    <definedName name="Year1" localSheetId="1">VALUE(LEFT('Calendrier des dépenses'!$B$1,4))</definedName>
    <definedName name="_xlnm.Print_Area" localSheetId="1">'Calendrier des dépenses'!$B$2:$P$696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8" l="1"/>
  <c r="O643" i="8" l="1"/>
  <c r="K643" i="8"/>
  <c r="G643" i="8"/>
  <c r="M643" i="8"/>
  <c r="I643" i="8"/>
  <c r="O585" i="8"/>
  <c r="K585" i="8"/>
  <c r="G585" i="8"/>
  <c r="M585" i="8"/>
  <c r="I585" i="8"/>
  <c r="O527" i="8"/>
  <c r="K527" i="8"/>
  <c r="G527" i="8"/>
  <c r="M527" i="8"/>
  <c r="I527" i="8"/>
  <c r="O469" i="8"/>
  <c r="K469" i="8"/>
  <c r="G469" i="8"/>
  <c r="M469" i="8"/>
  <c r="I469" i="8"/>
  <c r="O411" i="8"/>
  <c r="K411" i="8"/>
  <c r="G411" i="8"/>
  <c r="M411" i="8"/>
  <c r="I411" i="8"/>
  <c r="O353" i="8"/>
  <c r="K353" i="8"/>
  <c r="G353" i="8"/>
  <c r="M353" i="8"/>
  <c r="I353" i="8"/>
  <c r="O295" i="8"/>
  <c r="K295" i="8"/>
  <c r="G295" i="8"/>
  <c r="M295" i="8"/>
  <c r="I295" i="8"/>
  <c r="O237" i="8"/>
  <c r="K237" i="8"/>
  <c r="G237" i="8"/>
  <c r="M237" i="8"/>
  <c r="I237" i="8"/>
  <c r="O179" i="8"/>
  <c r="K179" i="8"/>
  <c r="G179" i="8"/>
  <c r="M179" i="8"/>
  <c r="I179" i="8"/>
  <c r="O121" i="8"/>
  <c r="K121" i="8"/>
  <c r="G121" i="8"/>
  <c r="M121" i="8"/>
  <c r="I121" i="8"/>
  <c r="G5" i="8"/>
  <c r="O63" i="8"/>
  <c r="K63" i="8"/>
  <c r="G63" i="8"/>
  <c r="M63" i="8"/>
  <c r="I63" i="8"/>
  <c r="K5" i="8"/>
  <c r="I5" i="8"/>
  <c r="O5" i="8"/>
  <c r="M5" i="8"/>
  <c r="F3" i="8"/>
  <c r="F641" i="8" l="1"/>
  <c r="F583" i="8"/>
  <c r="F525" i="8"/>
  <c r="F467" i="8"/>
  <c r="F409" i="8"/>
  <c r="F61" i="8"/>
  <c r="F293" i="8" l="1"/>
  <c r="F351" i="8"/>
  <c r="F177" i="8"/>
  <c r="F235" i="8"/>
  <c r="F119" i="8"/>
  <c r="H274" i="8"/>
  <c r="N689" i="8"/>
  <c r="L689" i="8"/>
  <c r="J689" i="8"/>
  <c r="H689" i="8"/>
  <c r="F689" i="8"/>
  <c r="D689" i="8"/>
  <c r="B689" i="8"/>
  <c r="N680" i="8"/>
  <c r="L680" i="8"/>
  <c r="J680" i="8"/>
  <c r="H680" i="8"/>
  <c r="F680" i="8"/>
  <c r="D680" i="8"/>
  <c r="B680" i="8"/>
  <c r="N644" i="8"/>
  <c r="B653" i="8" s="1"/>
  <c r="D653" i="8" s="1"/>
  <c r="F653" i="8" s="1"/>
  <c r="H653" i="8" s="1"/>
  <c r="J653" i="8" s="1"/>
  <c r="L653" i="8" s="1"/>
  <c r="N653" i="8" s="1"/>
  <c r="B662" i="8" s="1"/>
  <c r="D662" i="8" s="1"/>
  <c r="F662" i="8" s="1"/>
  <c r="H662" i="8" s="1"/>
  <c r="J662" i="8" s="1"/>
  <c r="L662" i="8" s="1"/>
  <c r="N662" i="8" s="1"/>
  <c r="B671" i="8" s="1"/>
  <c r="D671" i="8" s="1"/>
  <c r="F671" i="8" s="1"/>
  <c r="H671" i="8" s="1"/>
  <c r="J671" i="8" s="1"/>
  <c r="L671" i="8" s="1"/>
  <c r="N671" i="8" s="1"/>
  <c r="L644" i="8"/>
  <c r="J644" i="8"/>
  <c r="H644" i="8"/>
  <c r="F644" i="8"/>
  <c r="D644" i="8"/>
  <c r="B644" i="8"/>
  <c r="O696" i="8"/>
  <c r="M696" i="8"/>
  <c r="K696" i="8"/>
  <c r="I696" i="8"/>
  <c r="G696" i="8"/>
  <c r="E696" i="8"/>
  <c r="C696" i="8"/>
  <c r="O687" i="8"/>
  <c r="M687" i="8"/>
  <c r="K687" i="8"/>
  <c r="I687" i="8"/>
  <c r="G687" i="8"/>
  <c r="E687" i="8"/>
  <c r="C687" i="8"/>
  <c r="O678" i="8"/>
  <c r="M678" i="8"/>
  <c r="K678" i="8"/>
  <c r="I678" i="8"/>
  <c r="G678" i="8"/>
  <c r="E678" i="8"/>
  <c r="C678" i="8"/>
  <c r="O669" i="8"/>
  <c r="M669" i="8"/>
  <c r="K669" i="8"/>
  <c r="I669" i="8"/>
  <c r="G669" i="8"/>
  <c r="E669" i="8"/>
  <c r="C669" i="8"/>
  <c r="O660" i="8"/>
  <c r="M660" i="8"/>
  <c r="K660" i="8"/>
  <c r="I660" i="8"/>
  <c r="G660" i="8"/>
  <c r="E660" i="8"/>
  <c r="C660" i="8"/>
  <c r="O651" i="8"/>
  <c r="M651" i="8"/>
  <c r="K651" i="8"/>
  <c r="I651" i="8"/>
  <c r="G651" i="8"/>
  <c r="E651" i="8"/>
  <c r="C651" i="8"/>
  <c r="N631" i="8"/>
  <c r="L631" i="8"/>
  <c r="J631" i="8"/>
  <c r="H631" i="8"/>
  <c r="F631" i="8"/>
  <c r="D631" i="8"/>
  <c r="B631" i="8"/>
  <c r="N622" i="8"/>
  <c r="L622" i="8"/>
  <c r="J622" i="8"/>
  <c r="H622" i="8"/>
  <c r="F622" i="8"/>
  <c r="D622" i="8"/>
  <c r="B622" i="8"/>
  <c r="N586" i="8"/>
  <c r="B595" i="8" s="1"/>
  <c r="D595" i="8" s="1"/>
  <c r="F595" i="8" s="1"/>
  <c r="H595" i="8" s="1"/>
  <c r="J595" i="8" s="1"/>
  <c r="L595" i="8" s="1"/>
  <c r="N595" i="8" s="1"/>
  <c r="B604" i="8" s="1"/>
  <c r="D604" i="8" s="1"/>
  <c r="F604" i="8" s="1"/>
  <c r="H604" i="8" s="1"/>
  <c r="J604" i="8" s="1"/>
  <c r="L604" i="8" s="1"/>
  <c r="N604" i="8" s="1"/>
  <c r="B613" i="8" s="1"/>
  <c r="D613" i="8" s="1"/>
  <c r="F613" i="8" s="1"/>
  <c r="H613" i="8" s="1"/>
  <c r="J613" i="8" s="1"/>
  <c r="L613" i="8" s="1"/>
  <c r="N613" i="8" s="1"/>
  <c r="L586" i="8"/>
  <c r="J586" i="8"/>
  <c r="H586" i="8"/>
  <c r="F586" i="8"/>
  <c r="D586" i="8"/>
  <c r="B586" i="8"/>
  <c r="O638" i="8"/>
  <c r="M638" i="8"/>
  <c r="K638" i="8"/>
  <c r="I638" i="8"/>
  <c r="G638" i="8"/>
  <c r="E638" i="8"/>
  <c r="C638" i="8"/>
  <c r="O629" i="8"/>
  <c r="M629" i="8"/>
  <c r="K629" i="8"/>
  <c r="I629" i="8"/>
  <c r="G629" i="8"/>
  <c r="E629" i="8"/>
  <c r="C629" i="8"/>
  <c r="O620" i="8"/>
  <c r="M620" i="8"/>
  <c r="K620" i="8"/>
  <c r="I620" i="8"/>
  <c r="G620" i="8"/>
  <c r="E620" i="8"/>
  <c r="C620" i="8"/>
  <c r="O611" i="8"/>
  <c r="M611" i="8"/>
  <c r="K611" i="8"/>
  <c r="I611" i="8"/>
  <c r="G611" i="8"/>
  <c r="E611" i="8"/>
  <c r="C611" i="8"/>
  <c r="O602" i="8"/>
  <c r="M602" i="8"/>
  <c r="K602" i="8"/>
  <c r="I602" i="8"/>
  <c r="G602" i="8"/>
  <c r="E602" i="8"/>
  <c r="C602" i="8"/>
  <c r="O593" i="8"/>
  <c r="M593" i="8"/>
  <c r="K593" i="8"/>
  <c r="I593" i="8"/>
  <c r="G593" i="8"/>
  <c r="E593" i="8"/>
  <c r="C593" i="8"/>
  <c r="N573" i="8"/>
  <c r="L573" i="8"/>
  <c r="J573" i="8"/>
  <c r="H573" i="8"/>
  <c r="F573" i="8"/>
  <c r="D573" i="8"/>
  <c r="B573" i="8"/>
  <c r="N564" i="8"/>
  <c r="L564" i="8"/>
  <c r="J564" i="8"/>
  <c r="H564" i="8"/>
  <c r="F564" i="8"/>
  <c r="D564" i="8"/>
  <c r="B564" i="8"/>
  <c r="N528" i="8"/>
  <c r="B537" i="8" s="1"/>
  <c r="D537" i="8" s="1"/>
  <c r="F537" i="8" s="1"/>
  <c r="H537" i="8" s="1"/>
  <c r="J537" i="8" s="1"/>
  <c r="L537" i="8" s="1"/>
  <c r="N537" i="8" s="1"/>
  <c r="B546" i="8" s="1"/>
  <c r="D546" i="8" s="1"/>
  <c r="F546" i="8" s="1"/>
  <c r="H546" i="8" s="1"/>
  <c r="J546" i="8" s="1"/>
  <c r="L546" i="8" s="1"/>
  <c r="N546" i="8" s="1"/>
  <c r="B555" i="8" s="1"/>
  <c r="D555" i="8" s="1"/>
  <c r="F555" i="8" s="1"/>
  <c r="H555" i="8" s="1"/>
  <c r="J555" i="8" s="1"/>
  <c r="L555" i="8" s="1"/>
  <c r="N555" i="8" s="1"/>
  <c r="L528" i="8"/>
  <c r="J528" i="8"/>
  <c r="H528" i="8"/>
  <c r="F528" i="8"/>
  <c r="D528" i="8"/>
  <c r="B528" i="8"/>
  <c r="O580" i="8"/>
  <c r="M580" i="8"/>
  <c r="K580" i="8"/>
  <c r="I580" i="8"/>
  <c r="G580" i="8"/>
  <c r="E580" i="8"/>
  <c r="C580" i="8"/>
  <c r="O571" i="8"/>
  <c r="M571" i="8"/>
  <c r="K571" i="8"/>
  <c r="I571" i="8"/>
  <c r="G571" i="8"/>
  <c r="E571" i="8"/>
  <c r="C571" i="8"/>
  <c r="O562" i="8"/>
  <c r="M562" i="8"/>
  <c r="K562" i="8"/>
  <c r="I562" i="8"/>
  <c r="G562" i="8"/>
  <c r="E562" i="8"/>
  <c r="C562" i="8"/>
  <c r="O553" i="8"/>
  <c r="M553" i="8"/>
  <c r="K553" i="8"/>
  <c r="I553" i="8"/>
  <c r="G553" i="8"/>
  <c r="E553" i="8"/>
  <c r="C553" i="8"/>
  <c r="O544" i="8"/>
  <c r="M544" i="8"/>
  <c r="K544" i="8"/>
  <c r="I544" i="8"/>
  <c r="G544" i="8"/>
  <c r="E544" i="8"/>
  <c r="C544" i="8"/>
  <c r="O535" i="8"/>
  <c r="M535" i="8"/>
  <c r="K535" i="8"/>
  <c r="I535" i="8"/>
  <c r="G535" i="8"/>
  <c r="E535" i="8"/>
  <c r="C535" i="8"/>
  <c r="N515" i="8"/>
  <c r="L515" i="8"/>
  <c r="J515" i="8"/>
  <c r="H515" i="8"/>
  <c r="F515" i="8"/>
  <c r="D515" i="8"/>
  <c r="B515" i="8"/>
  <c r="N506" i="8"/>
  <c r="L506" i="8"/>
  <c r="J506" i="8"/>
  <c r="H506" i="8"/>
  <c r="F506" i="8"/>
  <c r="D506" i="8"/>
  <c r="B506" i="8"/>
  <c r="N470" i="8"/>
  <c r="B479" i="8" s="1"/>
  <c r="D479" i="8" s="1"/>
  <c r="F479" i="8" s="1"/>
  <c r="H479" i="8" s="1"/>
  <c r="J479" i="8" s="1"/>
  <c r="L479" i="8" s="1"/>
  <c r="N479" i="8" s="1"/>
  <c r="B488" i="8" s="1"/>
  <c r="D488" i="8" s="1"/>
  <c r="F488" i="8" s="1"/>
  <c r="H488" i="8" s="1"/>
  <c r="J488" i="8" s="1"/>
  <c r="L488" i="8" s="1"/>
  <c r="N488" i="8" s="1"/>
  <c r="B497" i="8" s="1"/>
  <c r="D497" i="8" s="1"/>
  <c r="F497" i="8" s="1"/>
  <c r="H497" i="8" s="1"/>
  <c r="J497" i="8" s="1"/>
  <c r="L497" i="8" s="1"/>
  <c r="N497" i="8" s="1"/>
  <c r="L470" i="8"/>
  <c r="J470" i="8"/>
  <c r="H470" i="8"/>
  <c r="F470" i="8"/>
  <c r="D470" i="8"/>
  <c r="B470" i="8"/>
  <c r="O522" i="8"/>
  <c r="M522" i="8"/>
  <c r="K522" i="8"/>
  <c r="I522" i="8"/>
  <c r="G522" i="8"/>
  <c r="E522" i="8"/>
  <c r="C522" i="8"/>
  <c r="O513" i="8"/>
  <c r="M513" i="8"/>
  <c r="K513" i="8"/>
  <c r="I513" i="8"/>
  <c r="G513" i="8"/>
  <c r="E513" i="8"/>
  <c r="C513" i="8"/>
  <c r="O504" i="8"/>
  <c r="M504" i="8"/>
  <c r="K504" i="8"/>
  <c r="I504" i="8"/>
  <c r="G504" i="8"/>
  <c r="E504" i="8"/>
  <c r="C504" i="8"/>
  <c r="O495" i="8"/>
  <c r="M495" i="8"/>
  <c r="K495" i="8"/>
  <c r="I495" i="8"/>
  <c r="G495" i="8"/>
  <c r="E495" i="8"/>
  <c r="C495" i="8"/>
  <c r="O486" i="8"/>
  <c r="M486" i="8"/>
  <c r="K486" i="8"/>
  <c r="I486" i="8"/>
  <c r="G486" i="8"/>
  <c r="E486" i="8"/>
  <c r="C486" i="8"/>
  <c r="O477" i="8"/>
  <c r="M477" i="8"/>
  <c r="K477" i="8"/>
  <c r="I477" i="8"/>
  <c r="G477" i="8"/>
  <c r="E477" i="8"/>
  <c r="C477" i="8"/>
  <c r="N457" i="8"/>
  <c r="L457" i="8"/>
  <c r="J457" i="8"/>
  <c r="H457" i="8"/>
  <c r="F457" i="8"/>
  <c r="D457" i="8"/>
  <c r="B457" i="8"/>
  <c r="N448" i="8"/>
  <c r="L448" i="8"/>
  <c r="J448" i="8"/>
  <c r="H448" i="8"/>
  <c r="F448" i="8"/>
  <c r="D448" i="8"/>
  <c r="B448" i="8"/>
  <c r="N412" i="8"/>
  <c r="B421" i="8" s="1"/>
  <c r="D421" i="8" s="1"/>
  <c r="F421" i="8" s="1"/>
  <c r="H421" i="8" s="1"/>
  <c r="J421" i="8" s="1"/>
  <c r="L421" i="8" s="1"/>
  <c r="N421" i="8" s="1"/>
  <c r="B430" i="8" s="1"/>
  <c r="D430" i="8" s="1"/>
  <c r="F430" i="8" s="1"/>
  <c r="H430" i="8" s="1"/>
  <c r="J430" i="8" s="1"/>
  <c r="L430" i="8" s="1"/>
  <c r="N430" i="8" s="1"/>
  <c r="B439" i="8" s="1"/>
  <c r="D439" i="8" s="1"/>
  <c r="F439" i="8" s="1"/>
  <c r="H439" i="8" s="1"/>
  <c r="J439" i="8" s="1"/>
  <c r="L439" i="8" s="1"/>
  <c r="N439" i="8" s="1"/>
  <c r="L412" i="8"/>
  <c r="J412" i="8"/>
  <c r="H412" i="8"/>
  <c r="F412" i="8"/>
  <c r="D412" i="8"/>
  <c r="B412" i="8"/>
  <c r="O464" i="8"/>
  <c r="M464" i="8"/>
  <c r="K464" i="8"/>
  <c r="I464" i="8"/>
  <c r="G464" i="8"/>
  <c r="E464" i="8"/>
  <c r="C464" i="8"/>
  <c r="O455" i="8"/>
  <c r="M455" i="8"/>
  <c r="K455" i="8"/>
  <c r="I455" i="8"/>
  <c r="G455" i="8"/>
  <c r="E455" i="8"/>
  <c r="C455" i="8"/>
  <c r="O446" i="8"/>
  <c r="M446" i="8"/>
  <c r="K446" i="8"/>
  <c r="I446" i="8"/>
  <c r="G446" i="8"/>
  <c r="E446" i="8"/>
  <c r="C446" i="8"/>
  <c r="O437" i="8"/>
  <c r="M437" i="8"/>
  <c r="K437" i="8"/>
  <c r="I437" i="8"/>
  <c r="G437" i="8"/>
  <c r="E437" i="8"/>
  <c r="C437" i="8"/>
  <c r="O428" i="8"/>
  <c r="M428" i="8"/>
  <c r="K428" i="8"/>
  <c r="I428" i="8"/>
  <c r="G428" i="8"/>
  <c r="E428" i="8"/>
  <c r="C428" i="8"/>
  <c r="O419" i="8"/>
  <c r="M419" i="8"/>
  <c r="K419" i="8"/>
  <c r="I419" i="8"/>
  <c r="G419" i="8"/>
  <c r="E419" i="8"/>
  <c r="C419" i="8"/>
  <c r="N399" i="8"/>
  <c r="L399" i="8"/>
  <c r="J399" i="8"/>
  <c r="H399" i="8"/>
  <c r="F399" i="8"/>
  <c r="D399" i="8"/>
  <c r="B399" i="8"/>
  <c r="N390" i="8"/>
  <c r="L390" i="8"/>
  <c r="J390" i="8"/>
  <c r="H390" i="8"/>
  <c r="F390" i="8"/>
  <c r="D390" i="8"/>
  <c r="B390" i="8"/>
  <c r="N354" i="8"/>
  <c r="B363" i="8" s="1"/>
  <c r="D363" i="8" s="1"/>
  <c r="F363" i="8" s="1"/>
  <c r="H363" i="8" s="1"/>
  <c r="J363" i="8" s="1"/>
  <c r="L363" i="8" s="1"/>
  <c r="N363" i="8" s="1"/>
  <c r="B372" i="8" s="1"/>
  <c r="D372" i="8" s="1"/>
  <c r="F372" i="8" s="1"/>
  <c r="H372" i="8" s="1"/>
  <c r="J372" i="8" s="1"/>
  <c r="L372" i="8" s="1"/>
  <c r="N372" i="8" s="1"/>
  <c r="B381" i="8" s="1"/>
  <c r="D381" i="8" s="1"/>
  <c r="F381" i="8" s="1"/>
  <c r="H381" i="8" s="1"/>
  <c r="J381" i="8" s="1"/>
  <c r="L381" i="8" s="1"/>
  <c r="N381" i="8" s="1"/>
  <c r="L354" i="8"/>
  <c r="J354" i="8"/>
  <c r="H354" i="8"/>
  <c r="F354" i="8"/>
  <c r="D354" i="8"/>
  <c r="B354" i="8"/>
  <c r="O406" i="8"/>
  <c r="M406" i="8"/>
  <c r="K406" i="8"/>
  <c r="I406" i="8"/>
  <c r="G406" i="8"/>
  <c r="E406" i="8"/>
  <c r="C406" i="8"/>
  <c r="O397" i="8"/>
  <c r="M397" i="8"/>
  <c r="K397" i="8"/>
  <c r="I397" i="8"/>
  <c r="G397" i="8"/>
  <c r="E397" i="8"/>
  <c r="C397" i="8"/>
  <c r="O388" i="8"/>
  <c r="M388" i="8"/>
  <c r="K388" i="8"/>
  <c r="I388" i="8"/>
  <c r="G388" i="8"/>
  <c r="E388" i="8"/>
  <c r="C388" i="8"/>
  <c r="O379" i="8"/>
  <c r="M379" i="8"/>
  <c r="K379" i="8"/>
  <c r="I379" i="8"/>
  <c r="G379" i="8"/>
  <c r="E379" i="8"/>
  <c r="C379" i="8"/>
  <c r="O370" i="8"/>
  <c r="M370" i="8"/>
  <c r="K370" i="8"/>
  <c r="I370" i="8"/>
  <c r="G370" i="8"/>
  <c r="E370" i="8"/>
  <c r="C370" i="8"/>
  <c r="O361" i="8"/>
  <c r="M361" i="8"/>
  <c r="K361" i="8"/>
  <c r="I361" i="8"/>
  <c r="G361" i="8"/>
  <c r="E361" i="8"/>
  <c r="C361" i="8"/>
  <c r="N341" i="8"/>
  <c r="L341" i="8"/>
  <c r="J341" i="8"/>
  <c r="H341" i="8"/>
  <c r="F341" i="8"/>
  <c r="D341" i="8"/>
  <c r="B341" i="8"/>
  <c r="N332" i="8"/>
  <c r="L332" i="8"/>
  <c r="J332" i="8"/>
  <c r="H332" i="8"/>
  <c r="F332" i="8"/>
  <c r="D332" i="8"/>
  <c r="B332" i="8"/>
  <c r="N296" i="8"/>
  <c r="B305" i="8" s="1"/>
  <c r="D305" i="8" s="1"/>
  <c r="F305" i="8" s="1"/>
  <c r="H305" i="8" s="1"/>
  <c r="J305" i="8" s="1"/>
  <c r="L305" i="8" s="1"/>
  <c r="N305" i="8" s="1"/>
  <c r="B314" i="8" s="1"/>
  <c r="D314" i="8" s="1"/>
  <c r="F314" i="8" s="1"/>
  <c r="H314" i="8" s="1"/>
  <c r="J314" i="8" s="1"/>
  <c r="L314" i="8" s="1"/>
  <c r="N314" i="8" s="1"/>
  <c r="B323" i="8" s="1"/>
  <c r="D323" i="8" s="1"/>
  <c r="F323" i="8" s="1"/>
  <c r="H323" i="8" s="1"/>
  <c r="J323" i="8" s="1"/>
  <c r="L323" i="8" s="1"/>
  <c r="N323" i="8" s="1"/>
  <c r="L296" i="8"/>
  <c r="J296" i="8"/>
  <c r="H296" i="8"/>
  <c r="F296" i="8"/>
  <c r="D296" i="8"/>
  <c r="B296" i="8"/>
  <c r="O348" i="8"/>
  <c r="M348" i="8"/>
  <c r="K348" i="8"/>
  <c r="I348" i="8"/>
  <c r="G348" i="8"/>
  <c r="E348" i="8"/>
  <c r="C348" i="8"/>
  <c r="O339" i="8"/>
  <c r="M339" i="8"/>
  <c r="K339" i="8"/>
  <c r="I339" i="8"/>
  <c r="G339" i="8"/>
  <c r="E339" i="8"/>
  <c r="C339" i="8"/>
  <c r="O330" i="8"/>
  <c r="M330" i="8"/>
  <c r="K330" i="8"/>
  <c r="I330" i="8"/>
  <c r="G330" i="8"/>
  <c r="E330" i="8"/>
  <c r="C330" i="8"/>
  <c r="O321" i="8"/>
  <c r="M321" i="8"/>
  <c r="K321" i="8"/>
  <c r="I321" i="8"/>
  <c r="G321" i="8"/>
  <c r="E321" i="8"/>
  <c r="C321" i="8"/>
  <c r="O312" i="8"/>
  <c r="M312" i="8"/>
  <c r="K312" i="8"/>
  <c r="I312" i="8"/>
  <c r="G312" i="8"/>
  <c r="E312" i="8"/>
  <c r="C312" i="8"/>
  <c r="O303" i="8"/>
  <c r="M303" i="8"/>
  <c r="K303" i="8"/>
  <c r="I303" i="8"/>
  <c r="G303" i="8"/>
  <c r="E303" i="8"/>
  <c r="C303" i="8"/>
  <c r="N283" i="8"/>
  <c r="L283" i="8"/>
  <c r="J283" i="8"/>
  <c r="H283" i="8"/>
  <c r="F283" i="8"/>
  <c r="D283" i="8"/>
  <c r="B283" i="8"/>
  <c r="N274" i="8"/>
  <c r="L274" i="8"/>
  <c r="J274" i="8"/>
  <c r="F274" i="8"/>
  <c r="D274" i="8"/>
  <c r="B274" i="8"/>
  <c r="N238" i="8"/>
  <c r="B247" i="8" s="1"/>
  <c r="D247" i="8" s="1"/>
  <c r="F247" i="8" s="1"/>
  <c r="H247" i="8" s="1"/>
  <c r="J247" i="8" s="1"/>
  <c r="L247" i="8" s="1"/>
  <c r="N247" i="8" s="1"/>
  <c r="B256" i="8" s="1"/>
  <c r="D256" i="8" s="1"/>
  <c r="F256" i="8" s="1"/>
  <c r="H256" i="8" s="1"/>
  <c r="J256" i="8" s="1"/>
  <c r="L256" i="8" s="1"/>
  <c r="N256" i="8" s="1"/>
  <c r="B265" i="8" s="1"/>
  <c r="D265" i="8" s="1"/>
  <c r="F265" i="8" s="1"/>
  <c r="H265" i="8" s="1"/>
  <c r="J265" i="8" s="1"/>
  <c r="L265" i="8" s="1"/>
  <c r="N265" i="8" s="1"/>
  <c r="L238" i="8"/>
  <c r="J238" i="8"/>
  <c r="H238" i="8"/>
  <c r="F238" i="8"/>
  <c r="D238" i="8"/>
  <c r="B238" i="8"/>
  <c r="N225" i="8"/>
  <c r="L225" i="8"/>
  <c r="J225" i="8"/>
  <c r="H225" i="8"/>
  <c r="F225" i="8"/>
  <c r="D225" i="8"/>
  <c r="B225" i="8"/>
  <c r="N216" i="8"/>
  <c r="L216" i="8"/>
  <c r="J216" i="8"/>
  <c r="H216" i="8"/>
  <c r="F216" i="8"/>
  <c r="D216" i="8"/>
  <c r="B216" i="8"/>
  <c r="N180" i="8"/>
  <c r="B189" i="8" s="1"/>
  <c r="D189" i="8" s="1"/>
  <c r="F189" i="8" s="1"/>
  <c r="H189" i="8" s="1"/>
  <c r="J189" i="8" s="1"/>
  <c r="L189" i="8" s="1"/>
  <c r="N189" i="8" s="1"/>
  <c r="B198" i="8" s="1"/>
  <c r="D198" i="8" s="1"/>
  <c r="F198" i="8" s="1"/>
  <c r="H198" i="8" s="1"/>
  <c r="J198" i="8" s="1"/>
  <c r="L198" i="8" s="1"/>
  <c r="N198" i="8" s="1"/>
  <c r="B207" i="8" s="1"/>
  <c r="D207" i="8" s="1"/>
  <c r="F207" i="8" s="1"/>
  <c r="H207" i="8" s="1"/>
  <c r="J207" i="8" s="1"/>
  <c r="L207" i="8" s="1"/>
  <c r="N207" i="8" s="1"/>
  <c r="L180" i="8"/>
  <c r="J180" i="8"/>
  <c r="H180" i="8"/>
  <c r="F180" i="8"/>
  <c r="D180" i="8"/>
  <c r="B180" i="8"/>
  <c r="N167" i="8"/>
  <c r="L167" i="8"/>
  <c r="J167" i="8"/>
  <c r="H167" i="8"/>
  <c r="F167" i="8"/>
  <c r="D167" i="8"/>
  <c r="B167" i="8"/>
  <c r="N158" i="8"/>
  <c r="L158" i="8"/>
  <c r="J158" i="8"/>
  <c r="H158" i="8"/>
  <c r="F158" i="8"/>
  <c r="D158" i="8"/>
  <c r="B158" i="8"/>
  <c r="N122" i="8"/>
  <c r="B131" i="8" s="1"/>
  <c r="D131" i="8" s="1"/>
  <c r="F131" i="8" s="1"/>
  <c r="H131" i="8" s="1"/>
  <c r="J131" i="8" s="1"/>
  <c r="L131" i="8" s="1"/>
  <c r="N131" i="8" s="1"/>
  <c r="B140" i="8" s="1"/>
  <c r="D140" i="8" s="1"/>
  <c r="F140" i="8" s="1"/>
  <c r="H140" i="8" s="1"/>
  <c r="J140" i="8" s="1"/>
  <c r="L140" i="8" s="1"/>
  <c r="N140" i="8" s="1"/>
  <c r="B149" i="8" s="1"/>
  <c r="D149" i="8" s="1"/>
  <c r="F149" i="8" s="1"/>
  <c r="H149" i="8" s="1"/>
  <c r="J149" i="8" s="1"/>
  <c r="L149" i="8" s="1"/>
  <c r="N149" i="8" s="1"/>
  <c r="L122" i="8"/>
  <c r="J122" i="8"/>
  <c r="H122" i="8"/>
  <c r="F122" i="8"/>
  <c r="D122" i="8"/>
  <c r="B122" i="8"/>
  <c r="O290" i="8"/>
  <c r="M290" i="8"/>
  <c r="K290" i="8"/>
  <c r="I290" i="8"/>
  <c r="G290" i="8"/>
  <c r="E290" i="8"/>
  <c r="C290" i="8"/>
  <c r="O281" i="8"/>
  <c r="M281" i="8"/>
  <c r="K281" i="8"/>
  <c r="I281" i="8"/>
  <c r="G281" i="8"/>
  <c r="E281" i="8"/>
  <c r="C281" i="8"/>
  <c r="O272" i="8"/>
  <c r="M272" i="8"/>
  <c r="K272" i="8"/>
  <c r="I272" i="8"/>
  <c r="G272" i="8"/>
  <c r="E272" i="8"/>
  <c r="C272" i="8"/>
  <c r="O263" i="8"/>
  <c r="M263" i="8"/>
  <c r="K263" i="8"/>
  <c r="I263" i="8"/>
  <c r="G263" i="8"/>
  <c r="E263" i="8"/>
  <c r="C263" i="8"/>
  <c r="O254" i="8"/>
  <c r="M254" i="8"/>
  <c r="K254" i="8"/>
  <c r="I254" i="8"/>
  <c r="G254" i="8"/>
  <c r="E254" i="8"/>
  <c r="C254" i="8"/>
  <c r="O245" i="8"/>
  <c r="M245" i="8"/>
  <c r="K245" i="8"/>
  <c r="I245" i="8"/>
  <c r="G245" i="8"/>
  <c r="E245" i="8"/>
  <c r="C245" i="8"/>
  <c r="O232" i="8"/>
  <c r="M232" i="8"/>
  <c r="K232" i="8"/>
  <c r="I232" i="8"/>
  <c r="G232" i="8"/>
  <c r="E232" i="8"/>
  <c r="C232" i="8"/>
  <c r="O223" i="8"/>
  <c r="M223" i="8"/>
  <c r="K223" i="8"/>
  <c r="I223" i="8"/>
  <c r="G223" i="8"/>
  <c r="E223" i="8"/>
  <c r="C223" i="8"/>
  <c r="O214" i="8"/>
  <c r="M214" i="8"/>
  <c r="K214" i="8"/>
  <c r="I214" i="8"/>
  <c r="G214" i="8"/>
  <c r="E214" i="8"/>
  <c r="C214" i="8"/>
  <c r="O205" i="8"/>
  <c r="M205" i="8"/>
  <c r="K205" i="8"/>
  <c r="I205" i="8"/>
  <c r="G205" i="8"/>
  <c r="E205" i="8"/>
  <c r="C205" i="8"/>
  <c r="O196" i="8"/>
  <c r="M196" i="8"/>
  <c r="K196" i="8"/>
  <c r="I196" i="8"/>
  <c r="G196" i="8"/>
  <c r="E196" i="8"/>
  <c r="C196" i="8"/>
  <c r="O187" i="8"/>
  <c r="M187" i="8"/>
  <c r="K187" i="8"/>
  <c r="I187" i="8"/>
  <c r="G187" i="8"/>
  <c r="E187" i="8"/>
  <c r="C187" i="8"/>
  <c r="O174" i="8"/>
  <c r="M174" i="8"/>
  <c r="K174" i="8"/>
  <c r="I174" i="8"/>
  <c r="G174" i="8"/>
  <c r="E174" i="8"/>
  <c r="C174" i="8"/>
  <c r="O165" i="8"/>
  <c r="M165" i="8"/>
  <c r="K165" i="8"/>
  <c r="I165" i="8"/>
  <c r="G165" i="8"/>
  <c r="E165" i="8"/>
  <c r="C165" i="8"/>
  <c r="O156" i="8"/>
  <c r="M156" i="8"/>
  <c r="K156" i="8"/>
  <c r="I156" i="8"/>
  <c r="G156" i="8"/>
  <c r="E156" i="8"/>
  <c r="C156" i="8"/>
  <c r="O147" i="8"/>
  <c r="M147" i="8"/>
  <c r="K147" i="8"/>
  <c r="I147" i="8"/>
  <c r="G147" i="8"/>
  <c r="E147" i="8"/>
  <c r="C147" i="8"/>
  <c r="O138" i="8"/>
  <c r="M138" i="8"/>
  <c r="K138" i="8"/>
  <c r="I138" i="8"/>
  <c r="G138" i="8"/>
  <c r="E138" i="8"/>
  <c r="C138" i="8"/>
  <c r="O129" i="8"/>
  <c r="M129" i="8"/>
  <c r="K129" i="8"/>
  <c r="I129" i="8"/>
  <c r="G129" i="8"/>
  <c r="E129" i="8"/>
  <c r="C129" i="8"/>
  <c r="N109" i="8"/>
  <c r="L109" i="8"/>
  <c r="J109" i="8"/>
  <c r="H109" i="8"/>
  <c r="F109" i="8"/>
  <c r="D109" i="8"/>
  <c r="B109" i="8"/>
  <c r="N100" i="8"/>
  <c r="L100" i="8"/>
  <c r="J100" i="8"/>
  <c r="H100" i="8"/>
  <c r="F100" i="8"/>
  <c r="D100" i="8"/>
  <c r="B100" i="8"/>
  <c r="N64" i="8"/>
  <c r="B73" i="8" s="1"/>
  <c r="D73" i="8" s="1"/>
  <c r="F73" i="8" s="1"/>
  <c r="H73" i="8" s="1"/>
  <c r="J73" i="8" s="1"/>
  <c r="L73" i="8" s="1"/>
  <c r="N73" i="8" s="1"/>
  <c r="B82" i="8" s="1"/>
  <c r="D82" i="8" s="1"/>
  <c r="F82" i="8" s="1"/>
  <c r="H82" i="8" s="1"/>
  <c r="J82" i="8" s="1"/>
  <c r="L82" i="8" s="1"/>
  <c r="N82" i="8" s="1"/>
  <c r="B91" i="8" s="1"/>
  <c r="D91" i="8" s="1"/>
  <c r="F91" i="8" s="1"/>
  <c r="H91" i="8" s="1"/>
  <c r="J91" i="8" s="1"/>
  <c r="L91" i="8" s="1"/>
  <c r="N91" i="8" s="1"/>
  <c r="L64" i="8"/>
  <c r="J64" i="8"/>
  <c r="H64" i="8"/>
  <c r="F64" i="8"/>
  <c r="D64" i="8"/>
  <c r="B64" i="8"/>
  <c r="O116" i="8"/>
  <c r="M116" i="8"/>
  <c r="K116" i="8"/>
  <c r="I116" i="8"/>
  <c r="G116" i="8"/>
  <c r="E116" i="8"/>
  <c r="C116" i="8"/>
  <c r="O107" i="8"/>
  <c r="M107" i="8"/>
  <c r="K107" i="8"/>
  <c r="I107" i="8"/>
  <c r="G107" i="8"/>
  <c r="E107" i="8"/>
  <c r="C107" i="8"/>
  <c r="O98" i="8"/>
  <c r="M98" i="8"/>
  <c r="K98" i="8"/>
  <c r="I98" i="8"/>
  <c r="G98" i="8"/>
  <c r="E98" i="8"/>
  <c r="C98" i="8"/>
  <c r="O89" i="8"/>
  <c r="M89" i="8"/>
  <c r="K89" i="8"/>
  <c r="I89" i="8"/>
  <c r="G89" i="8"/>
  <c r="E89" i="8"/>
  <c r="C89" i="8"/>
  <c r="O80" i="8"/>
  <c r="M80" i="8"/>
  <c r="K80" i="8"/>
  <c r="I80" i="8"/>
  <c r="G80" i="8"/>
  <c r="E80" i="8"/>
  <c r="C80" i="8"/>
  <c r="O71" i="8"/>
  <c r="M71" i="8"/>
  <c r="K71" i="8"/>
  <c r="I71" i="8"/>
  <c r="G71" i="8"/>
  <c r="E71" i="8"/>
  <c r="C71" i="8"/>
  <c r="P214" i="8" l="1"/>
  <c r="P660" i="8"/>
  <c r="P80" i="8"/>
  <c r="P602" i="8"/>
  <c r="P611" i="8"/>
  <c r="P437" i="8"/>
  <c r="P446" i="8"/>
  <c r="P486" i="8"/>
  <c r="P330" i="8"/>
  <c r="P379" i="8"/>
  <c r="P388" i="8"/>
  <c r="P553" i="8"/>
  <c r="P562" i="8"/>
  <c r="P138" i="8"/>
  <c r="P147" i="8"/>
  <c r="P272" i="8"/>
  <c r="P89" i="8"/>
  <c r="P98" i="8"/>
  <c r="P205" i="8"/>
  <c r="P428" i="8"/>
  <c r="P495" i="8"/>
  <c r="P504" i="8"/>
  <c r="P620" i="8"/>
  <c r="P669" i="8"/>
  <c r="P678" i="8"/>
  <c r="P156" i="8"/>
  <c r="P254" i="8"/>
  <c r="P263" i="8"/>
  <c r="P312" i="8"/>
  <c r="P321" i="8"/>
  <c r="P370" i="8"/>
  <c r="P544" i="8"/>
  <c r="P196" i="8"/>
  <c r="P107" i="8"/>
  <c r="P116" i="8"/>
  <c r="P535" i="8"/>
  <c r="P571" i="8"/>
  <c r="P580" i="8"/>
  <c r="P629" i="8"/>
  <c r="P638" i="8"/>
  <c r="P187" i="8"/>
  <c r="P165" i="8"/>
  <c r="P174" i="8"/>
  <c r="P232" i="8"/>
  <c r="P245" i="8"/>
  <c r="P281" i="8"/>
  <c r="P290" i="8"/>
  <c r="P303" i="8"/>
  <c r="P339" i="8"/>
  <c r="P348" i="8"/>
  <c r="P455" i="8"/>
  <c r="P464" i="8"/>
  <c r="P651" i="8"/>
  <c r="P687" i="8"/>
  <c r="P696" i="8"/>
  <c r="P71" i="8"/>
  <c r="P223" i="8"/>
  <c r="P361" i="8"/>
  <c r="P397" i="8"/>
  <c r="P406" i="8"/>
  <c r="P477" i="8"/>
  <c r="P513" i="8"/>
  <c r="P522" i="8"/>
  <c r="P593" i="8"/>
  <c r="P419" i="8"/>
  <c r="P129" i="8"/>
  <c r="L119" i="8" l="1"/>
  <c r="L409" i="8"/>
  <c r="L61" i="8"/>
  <c r="L525" i="8"/>
  <c r="L177" i="8"/>
  <c r="L583" i="8"/>
  <c r="L235" i="8"/>
  <c r="L641" i="8"/>
  <c r="L293" i="8"/>
  <c r="L467" i="8"/>
  <c r="L351" i="8"/>
  <c r="N51" i="8"/>
  <c r="L51" i="8"/>
  <c r="J51" i="8"/>
  <c r="H51" i="8"/>
  <c r="F51" i="8"/>
  <c r="D51" i="8"/>
  <c r="B51" i="8"/>
  <c r="N42" i="8"/>
  <c r="L42" i="8"/>
  <c r="J42" i="8"/>
  <c r="H42" i="8"/>
  <c r="F42" i="8"/>
  <c r="D42" i="8"/>
  <c r="B42" i="8"/>
  <c r="N6" i="8"/>
  <c r="L6" i="8"/>
  <c r="J6" i="8"/>
  <c r="H6" i="8"/>
  <c r="B6" i="8"/>
  <c r="F6" i="8"/>
  <c r="D6" i="8"/>
  <c r="O58" i="8" l="1"/>
  <c r="M58" i="8"/>
  <c r="K58" i="8"/>
  <c r="I58" i="8"/>
  <c r="G58" i="8"/>
  <c r="E58" i="8"/>
  <c r="C58" i="8"/>
  <c r="O49" i="8"/>
  <c r="M49" i="8"/>
  <c r="K49" i="8"/>
  <c r="I49" i="8"/>
  <c r="G49" i="8"/>
  <c r="E49" i="8"/>
  <c r="C49" i="8"/>
  <c r="O40" i="8"/>
  <c r="M40" i="8"/>
  <c r="K40" i="8"/>
  <c r="I40" i="8"/>
  <c r="G40" i="8"/>
  <c r="E40" i="8"/>
  <c r="C40" i="8"/>
  <c r="O31" i="8"/>
  <c r="M31" i="8"/>
  <c r="K31" i="8"/>
  <c r="I31" i="8"/>
  <c r="G31" i="8"/>
  <c r="E31" i="8"/>
  <c r="C31" i="8"/>
  <c r="O22" i="8"/>
  <c r="M22" i="8"/>
  <c r="K22" i="8"/>
  <c r="I22" i="8"/>
  <c r="G22" i="8"/>
  <c r="E22" i="8"/>
  <c r="C22" i="8"/>
  <c r="O13" i="8"/>
  <c r="M13" i="8"/>
  <c r="K13" i="8"/>
  <c r="I13" i="8"/>
  <c r="G13" i="8"/>
  <c r="E13" i="8"/>
  <c r="C13" i="8"/>
  <c r="P13" i="8" l="1"/>
  <c r="P22" i="8"/>
  <c r="P31" i="8"/>
  <c r="P40" i="8"/>
  <c r="B15" i="8" l="1"/>
  <c r="D15" i="8" s="1"/>
  <c r="F15" i="8" s="1"/>
  <c r="H15" i="8" s="1"/>
  <c r="J15" i="8" s="1"/>
  <c r="L15" i="8" s="1"/>
  <c r="N15" i="8" s="1"/>
  <c r="B24" i="8" s="1"/>
  <c r="D24" i="8" s="1"/>
  <c r="F24" i="8" s="1"/>
  <c r="H24" i="8" s="1"/>
  <c r="J24" i="8" s="1"/>
  <c r="L24" i="8" s="1"/>
  <c r="N24" i="8" s="1"/>
  <c r="B33" i="8" s="1"/>
  <c r="D33" i="8" s="1"/>
  <c r="F33" i="8" s="1"/>
  <c r="H33" i="8" s="1"/>
  <c r="J33" i="8" s="1"/>
  <c r="L33" i="8" s="1"/>
  <c r="N33" i="8" s="1"/>
  <c r="P58" i="8" l="1"/>
  <c r="P49" i="8"/>
  <c r="N641" i="8" l="1"/>
  <c r="N409" i="8"/>
  <c r="N583" i="8"/>
  <c r="N351" i="8"/>
  <c r="N235" i="8"/>
  <c r="N119" i="8"/>
  <c r="N525" i="8"/>
  <c r="N61" i="8"/>
  <c r="N467" i="8"/>
  <c r="N293" i="8"/>
  <c r="N177" i="8"/>
  <c r="L3" i="8"/>
  <c r="N3" i="8"/>
</calcChain>
</file>

<file path=xl/sharedStrings.xml><?xml version="1.0" encoding="utf-8"?>
<sst xmlns="http://schemas.openxmlformats.org/spreadsheetml/2006/main" count="1561" uniqueCount="374">
  <si>
    <t>À propos du modèle</t>
  </si>
  <si>
    <t>Utilisez ce modèle pour créer un calendrier des dépenses pour n’importe quelle année.</t>
  </si>
  <si>
    <t>Entrez les dépenses pour chaque jour de la semaine dans un mois.</t>
  </si>
  <si>
    <t>Les totaux hebdomadaires, mensuels et généraux sont calculés automatiquement.</t>
  </si>
  <si>
    <t>Note : </t>
  </si>
  <si>
    <t>Des instructions supplémentaires sont disponibles dans la colonne A de la feuille de travail CALENDRIER DES DÉPENSES. Ce texte a été intentionnellement caché. Pour retirer un texte, sélectionnez la colonne A et choisissez SUPPRIMER. Pour afficher un texte, sélectionnez la colonne A et changez la couleur de la police de caractères.</t>
  </si>
  <si>
    <t>Créez un calendrier des dépenses d’une année dans cette feuille de travail. Des instructions utiles sur l’utilisation de cette feuille de travail sont disponibles dans les cellules de cette colonne. Entrez l’année dans la cellule de droite. Le titre de cette feuille de travail figure dans la cellule C1.</t>
  </si>
  <si>
    <t>L’étiquette de janvier figure dans la cellule de droite, l’étiquette du total mensuel dans la cellule L2, l’étiquette du total général dans N2 et le conseil dans G2.</t>
  </si>
  <si>
    <t>Le total mensuel est calculé automatiquement dans la cellule L3 et le total général dans N3.</t>
  </si>
  <si>
    <t>Le calendrier de janvier se trouve dans les cellules B5 à O58.</t>
  </si>
  <si>
    <t>Les jours de la semaine se trouvent dans les cellules de droite, les cellules B5 à N5, et le total hebdomadaire dans la cellule P5.</t>
  </si>
  <si>
    <t>Les dates du calendrier se trouvent dans les cellules de droite, les cellules B6 à O6. Si la date ne commence pas par le chiffre 1, il s’agit de la date du mois précédent.</t>
  </si>
  <si>
    <t>Les étiquettes de description et de quantité se trouvent dans les cellules de droite, les cellules B7 à O7.</t>
  </si>
  <si>
    <t>Entrez la description et le montant de chaque dépense dans les cellules de droite, les cellules B8 à O12. L’instruction suivante figure dans la cellule A13.</t>
  </si>
  <si>
    <t>Le total est calculé automatiquement pour chaque jour et chaque semaine dans les cellules de droite, les cellules C13 à P13. L’instruction suivante se trouve dans la cellule A15.</t>
  </si>
  <si>
    <t>Les dates du calendrier se trouvent dans les cellules de droite, les cellules B15 à O15.</t>
  </si>
  <si>
    <t>Les étiquettes de description et de quantité se trouvent dans les cellules B16 à O16 situées à droite.</t>
  </si>
  <si>
    <t>Entrez la description et le montant de chaque dépense dans les cellules B17 à O21 situées à droite. L’instruction suivante se trouve dans la cellule A22.</t>
  </si>
  <si>
    <t>Le total est calculé automatiquement pour chaque jour et chaque semaine dans les cellules C22 à P22 situées à droite. L’instruction suivante se trouve dans la cellule A24.</t>
  </si>
  <si>
    <t>Les dates du calendrier se trouvent dans les cellules B24 à O24 situées à droite.</t>
  </si>
  <si>
    <t>Les étiquettes de description et de quantité se trouvent dans les cellules B25 à O25 situées à droite.</t>
  </si>
  <si>
    <t>Entrez la description et le montant de chaque dépense dans les cellules B26 à O30 situées à droite. L’instruction suivante se trouve dans la cellule A31.</t>
  </si>
  <si>
    <t>Le total est calculé automatiquement pour chaque jour et chaque semaine dans les cellules C31 à P31 situées à droite. L’instruction suivante se trouve dans la cellule A33.</t>
  </si>
  <si>
    <t>Les dates du calendrier se trouvent dans les cellules B33 à O33 situées à droite.</t>
  </si>
  <si>
    <t>Les étiquettes de description et de quantité se trouvent dans les cellules B34 à O34 situées à droite.</t>
  </si>
  <si>
    <t>Entrez la description et le montant de chaque dépense dans les cellules B35 à O39 situées à droite. L’instruction suivante se trouve dans la cellule A40.</t>
  </si>
  <si>
    <t>Le total est calculé automatiquement pour chaque jour et chaque semaine dans les cellules C40 à P40 situées à droite. L’instruction suivante se trouve dans la cellule A42.</t>
  </si>
  <si>
    <t>Les dates du calendrier se trouvent dans les cellules B42 à O42 situées à droite.</t>
  </si>
  <si>
    <t>Les étiquettes de description et de quantité se trouvent dans les cellules B43 à O43 situées à droite.</t>
  </si>
  <si>
    <t>Entrez la description et le montant de chaque dépense dans les cellules B44 à O48 situées à droite. L’instruction suivante se trouve dans la cellule A49.</t>
  </si>
  <si>
    <t>Le total est calculé automatiquement pour chaque jour et chaque semaine dans la cellule de droite, notamment les cellules C49 à P49. L’instruction suivante se trouve dans la cellule A51.</t>
  </si>
  <si>
    <t>Les dates du calendrier se trouvent dans les cellules B51 à O51 situées à droite.</t>
  </si>
  <si>
    <t>Les étiquettes de description et de quantité se trouvent dans les cellules B52 à O52 situées à droite.</t>
  </si>
  <si>
    <t>Entrez la description et le montant de chaque dépense dans les cellules B53 à O57 situées à droite. L’instruction suivante se trouve dans la cellule A58.</t>
  </si>
  <si>
    <t>Le total est calculé automatiquement pour chaque jour et chaque semaine dans la cellule de droite, notamment les cellules C58 à P58. L’instruction suivante se trouve dans la cellule A60.</t>
  </si>
  <si>
    <t>L’étiquette de février figure dans la cellule de droite, l’étiquette du total mensuel dans la cellule L60 et l’étiquette du total général dans la cellule N60.</t>
  </si>
  <si>
    <t>Le total mensuel est calculé automatiquement dans la cellule L61 et le total général dans la cellule N61.</t>
  </si>
  <si>
    <t>Le calendrier de février se trouve dans les cellules B63 à O116.</t>
  </si>
  <si>
    <t>Les jours de la semaine se trouvent dans les cellules B63 à N63 situées à droite et le total hebdomadaire dans la cellule P63.</t>
  </si>
  <si>
    <t>Les dates du calendrier se trouvent dans les cellules B64 à O64 situées à droite. Si la date ne commence pas par le chiffre 1, il s’agit de la date du mois précédent.</t>
  </si>
  <si>
    <t>Les étiquettes de description et de quantité se trouvent dans les cellules B65 à O65 situées à droite.</t>
  </si>
  <si>
    <t>Entrez la description et le montant de chaque dépense dans les cellules de droite, notamment les cellules B66 à O70. L’instruction suivante se trouve dans la cellule A71.</t>
  </si>
  <si>
    <t>Le total est calculé automatiquement pour chaque jour et chaque semaine dans la cellule de droite, notamment les cellules C71 à P71. L’instruction suivante se trouve dans la cellule A73.</t>
  </si>
  <si>
    <t>Les dates du calendrier se trouvent dans les cellules B73 à O73 situées à droite.</t>
  </si>
  <si>
    <t>Les étiquettes de description et de quantité se trouvent dans les cellules B74 à O74 situées à droite.</t>
  </si>
  <si>
    <t>Entrez la description et le montant de chaque dépense dans les cellules B75 à O79 situées à droite. L’instruction suivante se trouve dans la cellule A80.</t>
  </si>
  <si>
    <t>Le total est calculé automatiquement pour chaque jour et chaque semaine dans la cellule de droite, notamment les cellules C80 à P80. L’instruction suivante se trouve dans la cellule A82.</t>
  </si>
  <si>
    <t>Les dates du calendrier se trouvent dans les cellules B82 à O82 situées à droite.</t>
  </si>
  <si>
    <t>Les étiquettes de description et de quantité se trouvent dans les cellules B83 à O83 situées à droite.</t>
  </si>
  <si>
    <t>Entrez la description et le montant de chaque dépense dans les cellules B84 à O88 situées à droite. L’instruction suivante se trouve dans la cellule A89.</t>
  </si>
  <si>
    <t>Le total est calculé automatiquement pour chaque jour et chaque semaine dans la cellule de droite, notamment les cellules C89 à P89. L’instruction suivante se trouve dans la cellule A91.</t>
  </si>
  <si>
    <t>Les dates du calendrier se trouvent dans les cellules B91 à O91 situées à droite.</t>
  </si>
  <si>
    <t>Les étiquettes de description et de quantité se trouvent dans les cellules B92 à O92 situées à droite.</t>
  </si>
  <si>
    <t>Entrez la description et le montant de chaque dépense dans les cellules B93 à O97 situées à droite. L’instruction suivante se trouve dans la cellule A98.</t>
  </si>
  <si>
    <t>Le total est calculé automatiquement pour chaque jour et chaque semaine dans la cellule de droite, notamment les cellules C98 à P98. L’instruction suivante se trouve dans la cellule A100.</t>
  </si>
  <si>
    <t>Les dates du calendrier se trouvent dans les cellules B100 à O100 situées à droite.</t>
  </si>
  <si>
    <t>Les étiquettes de description et de quantité se trouvent dans les cellules B101 à O101 situées à droite.</t>
  </si>
  <si>
    <t>Entrez la description et le montant de chaque dépense dans les cellules B102 à O106 situées à droite. L’instruction suivante se trouve dans la cellule A107.</t>
  </si>
  <si>
    <t>Le total est calculé automatiquement pour chaque jour et chaque semaine dans la cellule de droite, notamment les cellules C107 à P107. L’instruction suivante se trouve dans la cellule A109.</t>
  </si>
  <si>
    <t>Les dates du calendrier se trouvent dans les cellules B109 à O109 situées à droite.</t>
  </si>
  <si>
    <t>Les étiquettes de description et de quantité se trouvent dans les cellules B110 à O110 situées à droite.</t>
  </si>
  <si>
    <t>Entrez la description et le montant de chaque dépense dans les cellules B111 à O115 situées à droite. L’instruction suivante se trouve dans la cellule A116.</t>
  </si>
  <si>
    <t>Le total est calculé automatiquement pour chaque jour et chaque semaine dans la cellule de droite, notamment les cellules C116 à P116. L’instruction suivante se trouve dans la cellule A118.</t>
  </si>
  <si>
    <t>L’étiquette de mars figure dans la cellule de droite, l’étiquette du total mensuel dans la cellule L118 et l’étiquette du total général dans la cellule N118.</t>
  </si>
  <si>
    <t>Le total mensuel est calculé automatiquement dans la cellule L119 et le total général dans la cellule N119.</t>
  </si>
  <si>
    <t>Le calendrier de mars se trouve dans les cellules B121 à O174.</t>
  </si>
  <si>
    <t>Les jours de la semaine se trouvent dans les cellules de droite, notamment les cellules B121 à N121 et le total hebdomadaire dans la cellule P121.</t>
  </si>
  <si>
    <t>Les dates du calendrier se trouvent dans les cellules B122 à O122 situées à droite. Si la date ne commence pas par le chiffre 1, il s’agit de la date du mois précédent</t>
  </si>
  <si>
    <t>Les étiquettes de description et de quantité se trouvent dans les cellules B123 à O123 situées à droite.</t>
  </si>
  <si>
    <t>Entrez la description et le montant de chaque dépense dans les cellules B124 à O128 situées à droite. L’instruction suivante se trouve dans la cellule A129.</t>
  </si>
  <si>
    <t>Le total est calculé automatiquement pour chaque jour et chaque semaine dans la cellule de droite, notamment les cellules C129 à P129. L’instruction suivante se trouve dans la cellule A131.</t>
  </si>
  <si>
    <t>Les dates du calendrier se trouvent dans les cellules B131 à O131 situées à droite.</t>
  </si>
  <si>
    <t>Les étiquettes de description et de quantité se trouvent dans les cellules B132 à O132 situées à droite.</t>
  </si>
  <si>
    <t>Entrez la description et le montant de chaque dépense dans les cellules B133 à O137 situées à droite. L’instruction suivante se trouve dans la cellule A138.</t>
  </si>
  <si>
    <t>Le total est calculé automatiquement pour chaque jour et chaque semaine dans la cellule de droite, notamment les cellules C138 à P138. L’instruction suivante se trouve dans la cellule A140.</t>
  </si>
  <si>
    <t>Les dates du calendrier se trouvent dans les cellules B140 à O140 situées à droite.</t>
  </si>
  <si>
    <t>Les étiquettes de description et de quantité se trouvent dans les cellules B141 à O141 situées à droite.</t>
  </si>
  <si>
    <t>Entrez la description et le montant de chaque dépense dans les cellules B142 à O146 situées à droite. L’instruction suivante se trouve dans la cellule A147.</t>
  </si>
  <si>
    <t>Le total est calculé automatiquement pour chaque jour et chaque semaine dans la cellule de droite, notamment les cellules C147 à P147. L’instruction suivante se trouve dans la cellule A149.</t>
  </si>
  <si>
    <t>Les dates du calendrier se trouvent dans les cellules B149 à O149 situées à droite.</t>
  </si>
  <si>
    <t>Les étiquettes de description et de quantité se trouvent dans les cellules B150 à O150 situées à droite.</t>
  </si>
  <si>
    <t>Entrez la description et le montant de chaque dépense dans les cellules B151 à O155 situées à droite. L’instruction suivante se trouve dans la cellule A156.</t>
  </si>
  <si>
    <t>Le total est calculé automatiquement pour chaque jour et chaque semaine dans la cellule de droite, notamment les cellules C156 à P156. L’instruction suivante se trouve dans la cellule A158.</t>
  </si>
  <si>
    <t>Les dates du calendrier se trouvent dans les cellules B158 à O158 situées à droite.</t>
  </si>
  <si>
    <t>Les étiquettes de description et de quantité se trouvent dans les cellules B159 à O159 situées à droite.</t>
  </si>
  <si>
    <t>Entrez la description et le montant de chaque dépense dans les cellules B160 à O164 situées à droite. L’instruction suivante se trouve dans la cellule A165.</t>
  </si>
  <si>
    <t>Le total est calculé automatiquement pour chaque jour et chaque semaine dans la cellule de droite, notamment les cellules C165 à P165. L’instruction suivante se trouve dans la cellule A167.</t>
  </si>
  <si>
    <t>Les dates du calendrier se trouvent dans les cellules B167 à O167 situées à droite.</t>
  </si>
  <si>
    <t>Les étiquettes de description et de quantité se trouvent dans les cellules B168 à O168 situées à droite.</t>
  </si>
  <si>
    <t>Entrez la description et le montant de chaque dépense dans les cellules B169 à O173 situées à droite. L’instruction suivante se trouve dans la cellule A174.</t>
  </si>
  <si>
    <t>Le total est calculé automatiquement pour chaque jour et chaque semaine dans la cellule de droite, notamment les cellules C174 à P174. L’instruction suivante se trouve dans la cellule A176.</t>
  </si>
  <si>
    <t>L’étiquette d’avril figure dans la cellule de droite, l’étiquette du total mensuel dans la cellule L176 et l’étiquette du total général dans N176.</t>
  </si>
  <si>
    <t>Le total mensuel est calculé automatiquement dans la cellule L177 et le total général dans N177.</t>
  </si>
  <si>
    <t>Le calendrier d’avril se trouve dans les cellules B179 à O232.</t>
  </si>
  <si>
    <t>Les jours de la semaine se trouvent dans les cellules de droite, notamment les cellules B179 à N179 et le total hebdomadaire dans la cellule P179.</t>
  </si>
  <si>
    <t>Les dates du calendrier se trouvent dans les cellules B180 à O180 situées à droite. Si la date ne commence pas par le chiffre 1, il s’agit de la date du mois précédent.</t>
  </si>
  <si>
    <t>Les étiquettes de description et de quantité se trouvent dans les cellules B181 à O181 situées à droite.</t>
  </si>
  <si>
    <t>Entrez la description et le montant de chaque dépense dans les cellules B182 à O186. situées à droite. L’instruction suivante se trouve dans la cellule A187.</t>
  </si>
  <si>
    <t>Le total est calculé automatiquement pour chaque jour et chaque semaine dans la cellule de droite, notamment les cellules C187 à P187. L’instruction suivante se trouve dans la cellule A189.</t>
  </si>
  <si>
    <t>Les dates du calendrier se trouvent dans les cellules B189 à O189 situées à droite.</t>
  </si>
  <si>
    <t>Les étiquettes de description et de quantité se trouvent dans les cellules B190 à O190 situées à droite.</t>
  </si>
  <si>
    <t>Entrez la description et le montant de chaque dépense dans les cellules B191 à O195 situées à droite. L’instruction suivante se trouve dans la cellule A196.</t>
  </si>
  <si>
    <t>Le total est calculé automatiquement pour chaque jour et chaque semaine dans la cellule de droite, notamment les cellules C196 à P196. L’instruction suivante se trouve dans la cellule A198.</t>
  </si>
  <si>
    <t>Les dates du calendrier se trouvent dans les cellules de droite, de la cellule B198 à O198.</t>
  </si>
  <si>
    <t>Les étiquettes de description et de quantité se trouvent dans les cellules B199 à O199 situées à droite.</t>
  </si>
  <si>
    <t>Entrez la description et le montant de chaque dépense dans les cellules de droite B200 à O204 situées à droite. L’instruction suivante se trouve dans la cellule A205.</t>
  </si>
  <si>
    <t>Le total est calculé automatiquement pour chaque jour et chaque semaine dans la cellule de droite, notamment les cellules C205 à P205. L’instruction suivante se trouve dans la cellule A207.</t>
  </si>
  <si>
    <t>Les dates du calendrier se trouvent dans les cellules les cellules B207 à O207 situées à droite.</t>
  </si>
  <si>
    <t>Les étiquettes de description et de quantité se trouvent dans les cellules B208 à O208 situées à droite.</t>
  </si>
  <si>
    <t>Entrez la description et le montant de chaque dépense dans les cellules B209 à O213 situées à droite. L’instruction suivante se trouve dans la cellule A214.</t>
  </si>
  <si>
    <t>Le total est calculé automatiquement pour chaque jour et chaque semaine dans la cellule de droite, notamment les cellules C214 à P214. L’instruction suivante se trouve dans la cellule A216.</t>
  </si>
  <si>
    <t>Les dates du calendrier se trouvent dans les cellules B216 à O216 situées à droite.</t>
  </si>
  <si>
    <t>Les étiquettes de description et de quantité se trouvent dans les cellules B217 à O217 situées à droite.</t>
  </si>
  <si>
    <t>Entrez la description et le montant de chaque dépense dans les cellules B218 à O222 situées à droite. L’instruction suivante se trouve dans la cellule A223.</t>
  </si>
  <si>
    <t>Le total est calculé automatiquement pour chaque jour et chaque semaine dans la cellule de droite, notamment les cellules C223 à P223. L’instruction suivante se trouve dans la cellule A225.</t>
  </si>
  <si>
    <t>Les dates du calendrier se trouvent dans les cellules B225 à O225 situées à droite.</t>
  </si>
  <si>
    <t>Les étiquettes de description et de quantité se trouvent dans les cellules B226 à O226 situées à droite.</t>
  </si>
  <si>
    <t>Entrez la description et le montant de chaque dépense dans les cellules B227 à O231 situées à droite. L’instruction suivante se trouve dans la cellule A232.</t>
  </si>
  <si>
    <t>Le total est calculé automatiquement pour chaque jour et chaque semaine dans la cellule de droite, notamment les cellules C232 à P232. L’instruction suivante se trouve dans la cellule A234.</t>
  </si>
  <si>
    <t>L’étiquette de mai figure dans la cellule de droite, l’étiquette du total mensuel dans la cellule L234 et l’étiquette du total général dans N234.</t>
  </si>
  <si>
    <t>Le total mensuel est calculé automatiquement dans la cellule L235 et le total général dans N235.</t>
  </si>
  <si>
    <t>Le calendrier de mai se trouve dans les cellules B237 à O290.</t>
  </si>
  <si>
    <t>Les jours de la semaine se trouvent dans les cellules de droite, notamment les cellules B237 à N237, et le total hebdomadaire dans la cellule P237.</t>
  </si>
  <si>
    <t>Les dates du calendrier se trouvent dans les cellules B238 à O238 situées à droite. Si la date ne commence pas par le chiffre 1, il s’agit de la date du mois précédent.</t>
  </si>
  <si>
    <t>Les étiquettes de description et de quantité se trouvent dans les cellules B239 à O239 situées à droite.</t>
  </si>
  <si>
    <t>Entrez la description et le montant de chaque dépense dans les cellules B240 à O244 situées à droite. L’instruction suivante se trouve dans la cellule A245.</t>
  </si>
  <si>
    <t>Le total est calculé automatiquement pour chaque jour et chaque semaine dans la cellule de droite, notamment les cellules C245 à P245. L’instruction suivante se trouve dans la cellule A247.</t>
  </si>
  <si>
    <t>Les dates du calendrier se trouvent dans les cellules B247 à O247 situées à droite.</t>
  </si>
  <si>
    <t>Les étiquettes de description et de quantité se trouvent dans les cellules B248 à O248 situées à droite.</t>
  </si>
  <si>
    <t>Entrez la description et le montant de chaque dépense dans les cellules B249 à O253 situées à droite. L’instruction suivante se trouve dans la cellule A254.</t>
  </si>
  <si>
    <t>Le total est calculé automatiquement pour chaque jour et chaque semaine dans la cellule de droite, notamment les cellules C254 à P254. L’instruction suivante se trouve dans la cellule A256.</t>
  </si>
  <si>
    <t>Les dates du calendrier se trouvent dans les cellules B256 à O256 situées à droite.</t>
  </si>
  <si>
    <t>Les étiquettes de description et de quantité se trouvent dans les cellules B257 à O257 situées à droite.</t>
  </si>
  <si>
    <t>Entrez la description et le montant de chaque dépense dans les cellules B258 à O262 situées à droite. L’instruction suivante se trouve dans la cellule A263.</t>
  </si>
  <si>
    <t>Le total est calculé automatiquement pour chaque jour et chaque semaine dans la cellule de droite, notamment les cellules C263 à P263. L’instruction suivante se trouve dans la cellule A265.</t>
  </si>
  <si>
    <t>Les dates du calendrier se trouvent dans les cellules B265 à O265 situées à droite.</t>
  </si>
  <si>
    <t>Les étiquettes de description et de quantité se trouvent dans les cellules B266 à O266 situées à droite.</t>
  </si>
  <si>
    <t>Entrez la description et le montant de chaque dépense dans les cellules B267 à O271 situées à droite. L’instruction suivante se trouve dans la cellule A272.</t>
  </si>
  <si>
    <t>Le total est calculé automatiquement pour chaque jour et chaque semaine dans la cellule de droite, notamment les cellules C272 à P272. L’instruction suivante se trouve dans la cellule A274.</t>
  </si>
  <si>
    <t>Les dates du calendrier se trouvent dans les cellules B274 à O274 situées à droite.</t>
  </si>
  <si>
    <t>Les étiquettes de description et de quantité se trouvent dans les cellules B275 à O275 situées à droite.</t>
  </si>
  <si>
    <t>Entrez la description et le montant de chaque dépense dans les cellules B276 à O280 situées à droite. L’instruction suivante se trouve dans la cellule A281.</t>
  </si>
  <si>
    <t>Le total est calculé automatiquement pour chaque jour et chaque semaine dans la cellule de droite, notamment les cellules C281 à P281. L’instruction suivante se trouve dans la cellule A283.</t>
  </si>
  <si>
    <t>Les dates du calendrier se trouvent dans les cellules B283 à O283 situées à droite.</t>
  </si>
  <si>
    <t>Les étiquettes de description et de quantité se trouvent dans les cellules B284 à O284 situées à droite.</t>
  </si>
  <si>
    <t>Entrez la description et le montant de chaque dépense dans les cellules B285 à O289 situées à droite. L’instruction suivante se trouve dans la cellule A290.</t>
  </si>
  <si>
    <t>Le total est calculé automatiquement pour chaque jour et chaque semaine dans la cellule de droite, notamment les cellules C290 à P290. L’instruction suivante se trouve dans la cellule A292.</t>
  </si>
  <si>
    <t>L’étiquette de juin figure dans la cellule de droite, l’étiquette du total mensuel dans la cellule L292 et l’étiquette du total général dans N292.</t>
  </si>
  <si>
    <t>Le total mensuel est calculé automatiquement dans la cellule L293 et le total général dans N293.</t>
  </si>
  <si>
    <t>Le calendrier de juin se trouve dans les cellules B295 à O348.</t>
  </si>
  <si>
    <t>Les jours de la semaine se trouvent dans, les cellules B295 à N295 situées à droite et le total hebdomadaire dans la cellule P295.</t>
  </si>
  <si>
    <t>Les dates du calendrier se trouvent dans les cellules B296 à O296 situées à droite. Si la date ne commence pas par le chiffre 1, il s’agit de la date du mois précédent</t>
  </si>
  <si>
    <t>Les étiquettes de description et de quantité se trouvent dans les cellules B297 à O297 situées à droite.</t>
  </si>
  <si>
    <t>Entrez la description et le montant de chaque dépense dans les cellules B298 à O302 situées à droite. L’instruction suivante se trouve dans la cellule A303.</t>
  </si>
  <si>
    <t>Le total est calculé automatiquement pour chaque jour et chaque semaine dans la cellule de droite, notamment les cellules C303 à P303. L’instruction suivante se trouve dans la cellule A305.</t>
  </si>
  <si>
    <t>Les dates du calendrier se trouvent dans les cellules B305 à O305 situées à droite.</t>
  </si>
  <si>
    <t>Les étiquettes de description et de quantité se trouvent dans les cellules B306 à O306 situées à droite.</t>
  </si>
  <si>
    <t>Entrez la description et le montant de chaque dépense dans les cellules B307 à O311 situées à droite. L’instruction suivante se trouve dans la cellule A312.</t>
  </si>
  <si>
    <t>Le total est calculé automatiquement pour chaque jour et chaque semaine dans la cellule de droite, notamment les cellules C312 à P312. L’instruction suivante se trouve dans la cellule A314.</t>
  </si>
  <si>
    <t>Les dates du calendrier se trouvent dans les cellules B314 à O314 situées à droite.</t>
  </si>
  <si>
    <t>Les étiquettes de description et de quantité se trouvent dans les cellules B315 à O315 situées à droite.</t>
  </si>
  <si>
    <t>Entrez la description et le montant de chaque dépense dans les cellules B316 à O320 situées à droite. L’instruction suivante se trouve dans la cellule A321.</t>
  </si>
  <si>
    <t>Le total est calculé automatiquement pour chaque jour et chaque semaine dans la cellule de droite, notamment les cellules C321 à P321. L’instruction suivante se trouve dans la cellule A323.</t>
  </si>
  <si>
    <t>Les dates du calendrier se trouvent dans les cellules B323 à O323 situées à droite.</t>
  </si>
  <si>
    <t>Les étiquettes de description et de quantité se trouvent dans les cellules B324 à O324 situées à droite.</t>
  </si>
  <si>
    <t>Entrez la description et le montant de chaque dépense dans les cellules B325 à O329 situées à droite. L’instruction suivante se trouve dans la cellule A330.</t>
  </si>
  <si>
    <t>Le total est calculé automatiquement pour chaque jour et chaque semaine dans la cellule de droite, notamment les cellules C330 à P330. L’instruction suivante se trouve dans la cellule A332.</t>
  </si>
  <si>
    <t>Les dates du calendrier se trouvent dans les cellules B332 à O332 situées à droite.</t>
  </si>
  <si>
    <t>Les étiquettes de description et de quantité se trouvent dans les cellules B333 à O333 situées à droite.</t>
  </si>
  <si>
    <t>Entrez la description et le montant de chaque dépense dans les cellules B334 à O338 situées à droite. L’instruction suivante se trouve dans la cellule A339.</t>
  </si>
  <si>
    <t>Le total est calculé automatiquement pour chaque jour et chaque semaine dans la cellule de droite, notamment les cellules C339 à P339. L’instruction suivante se trouve dans la cellule A341.</t>
  </si>
  <si>
    <t>Les dates du calendrier se trouvent dans les cellules B341 à O341 situées à droite.</t>
  </si>
  <si>
    <t>Les étiquettes de description et de quantité se trouvent dans les cellules les B342 à O342 situées à droite.</t>
  </si>
  <si>
    <t>Entrez la description et le montant de chaque dépense dans les cellules B343 à O347 situées à droite. L’instruction suivante se trouve dans la cellule A348.</t>
  </si>
  <si>
    <t>Le total est calculé automatiquement pour chaque jour et chaque semaine dans la cellule de droite, notamment les cellules C348 à P348. L’instruction suivante se trouve dans la cellule A350.</t>
  </si>
  <si>
    <t>L’étiquette de juillet figure dans la cellule de droite, l’étiquette du total mensuel dans la cellule L350 et l’étique du total général dans N350.</t>
  </si>
  <si>
    <t>Le total mensuel est calculé automatiquement dans la cellule L351 et le total général dans N351.</t>
  </si>
  <si>
    <t>Le calendrier de juillet se trouve dans les cellules B353 à O406.</t>
  </si>
  <si>
    <t>Les jours de semaine se trouvent dans les cellules de droite, notamment les cellules B353 à N353, et le total hebdomadaire dans la cellule P353.</t>
  </si>
  <si>
    <t>Les dates du calendrier se trouvent dans les cellules B354 à O354 situées à droite. Si la date ne commence pas par le chiffre 1, il s’agit de la date du mois précédent</t>
  </si>
  <si>
    <t>Les étiquettes de description et de quantité se trouvent dans les cellules B355 à O355 situées à droite.</t>
  </si>
  <si>
    <t>Entrez la description et le montant de chaque dépense dans les cellules B356 à O360 situées à droite. L’instruction suivante se trouve dans la cellule A361.</t>
  </si>
  <si>
    <t>Le total est calculé automatiquement pour chaque jour et chaque semaine dans la cellule de droite, notamment les cellules C361 à P361. L’instruction suivante se trouve dans la cellule A363.</t>
  </si>
  <si>
    <t>Les dates du calendrier se trouvent dans les cellules B363 à O363 situées à droite.</t>
  </si>
  <si>
    <t>Les étiquettes de description et de quantité se trouvent dans les cellules B364 à O364 situées à droite.</t>
  </si>
  <si>
    <t>Entrez la description et le montant de chaque dépense dans les cellules B365 à O369 situées à droite. L’instruction suivante se trouve dans la cellule A370.</t>
  </si>
  <si>
    <t>Le total est calculé automatiquement pour chaque jour et chaque semaine dans la cellule de droite,notamment les cellules C370 à P370. L’instruction suivante se trouve dans la cellule A372.</t>
  </si>
  <si>
    <t>Les dates du calendrier se trouvent dans les cellules B372 à O372 situées à droite.</t>
  </si>
  <si>
    <t>Les étiquettes de description et de quantité se trouvent dans les cellules B373 à O373 situées à droite.</t>
  </si>
  <si>
    <t>Entrez la description et le montant de chaque dépense dans les cellules B374 à O378 situées à droite. L’instruction suivante se trouve dans la cellule A379.</t>
  </si>
  <si>
    <t>Le total est calculé automatiquement pour chaque jour et chaque semaine dans la cellule de droite, notamment les cellules C379 à P379. L’instruction suivante se trouve dans la cellule A381.</t>
  </si>
  <si>
    <t>Les dates du calendrier se trouvent dans les cellules B381 à O381 situées à droite.</t>
  </si>
  <si>
    <t>Les étiquettes de description et de quantité se trouvent dans les cellules B382 à O382 situées à droite.</t>
  </si>
  <si>
    <t>Entrez la description et le montant de chaque dépense dans les cellules B383 à O387 situées à droite. L’instruction suivante se trouve dans la cellule A388.</t>
  </si>
  <si>
    <t>Le total est calculé automatiquement pour chaque jour et chaque semaine dans la cellule de droite, notamment les cellules C388 à P388. L’instruction suivante se trouve dans la cellule A390.</t>
  </si>
  <si>
    <t>Les dates du calendrier se trouvent dans es cellules B390 à O390 situées à droite.</t>
  </si>
  <si>
    <t>Les étiquettes de description et de quantité se trouvent dans les cellules B391 à O391 situées à droite.</t>
  </si>
  <si>
    <t>Entrez la description et le montant de chaque dépense dans les cellules B392 à O396 situées à droite. L’instruction suivante se trouve dans la cellule A397.</t>
  </si>
  <si>
    <t>Le total est calculé automatiquement pour chaque jour et chaque semaine dans la cellule de droite, notamment les cellules C397 à P397. L’instruction suivante se trouve dans la cellule A399.</t>
  </si>
  <si>
    <t>Les dates du calendrier se trouvent dans les cellules B399 à O399 situées à droite.</t>
  </si>
  <si>
    <t>Les étiquettes de description et de quantité se trouvent dans les cellules B400 à O400 situées à droite.</t>
  </si>
  <si>
    <t>Entrez la description et le montant de chaque dépense dans les cellules B401 à O405 situées à droite. L’instruction suivante se trouve dans la cellule A406.</t>
  </si>
  <si>
    <t>Le total est calculé automatiquement pour chaque jour et chaque semaine dans la cellule de droite, notamment les cellules C406 à P406. L’instruction suivante se trouve dans la cellule A408.</t>
  </si>
  <si>
    <t>L’étiquette d’août figure dans la cellule de droite, l’étiquette du total mensuel dans la cellule L408 et l’étiquette du total général dans N408.</t>
  </si>
  <si>
    <t>Le total mensuel est calculé automatiquement dans la cellule L409 et le total général dans N409.</t>
  </si>
  <si>
    <t>Le calendrier d’août se trouve dans les cellules B411 à O464.</t>
  </si>
  <si>
    <t>Les jours de semaine se trouvent dans les cellules de droite, notamment les cellules B411 à N411, et le total hebdomadaire dans la cellule P411.</t>
  </si>
  <si>
    <t>Les dates du calendrier se trouvent dans les cellules B412 à O412 situées à droite. Si la date ne commence pas par le chiffre 1, il s’agit de la date du mois précédent</t>
  </si>
  <si>
    <t>Les étiquettes de description et de quantité se trouvent dans les cellules B413 à O413 situées à droite.</t>
  </si>
  <si>
    <t>Entrez la description et le montant de chaque dépense dans les cellules B414 à O418 situées à droite. L’instruction suivante se trouve dans la cellule A419.</t>
  </si>
  <si>
    <t>Le total est calculé automatiquement pour chaque jour et chaque semaine dans la cellule de droite, notamment les cellules C419 à P419. L’instruction suivante se trouve dans la cellule A421.</t>
  </si>
  <si>
    <t>Les dates du calendrier se trouvent dans les cellules B421 à O421 situées à droite.</t>
  </si>
  <si>
    <t>Les étiquettes de description et de quantité se trouvent dans les cellules B422 à O422 situées à droite.</t>
  </si>
  <si>
    <t>Entrez la description et le montant de chaque dépense dans les cellules B423 à O427 situées à droite. L’instruction suivante se trouve dans la cellule A428.</t>
  </si>
  <si>
    <t>Le total est calculé automatiquement pour chaque jour et chaque semaine dans la cellule de droite, notamment les cellules C428 à P428. L’instruction suivante se trouve dans la cellule A430.</t>
  </si>
  <si>
    <t>Les dates du calendrier se trouvent dans les cellules B430 à O430 situées à droite.</t>
  </si>
  <si>
    <t>Les étiquettes de description et de quantité se trouvent dans les cellules B431 à O431 situées à droite.</t>
  </si>
  <si>
    <t>Entrez la description et le montant de chaque dépense dans les cellules B432 à O436 situées à droite. L’instruction suivante se trouve dans la cellule A437.</t>
  </si>
  <si>
    <t>Le total est calculé automatiquement pour chaque jour et chaque semaine dans la cellule de droite, notamment les cellules C437 à P437. L’instruction suivante se trouve dans la cellule A439.</t>
  </si>
  <si>
    <t>Les dates du calendrier se trouvent dans les cellules B439 à O439 situées à droite.</t>
  </si>
  <si>
    <t>Les étiquettes de description et de quantité se trouvent dans les cellules B440 à O440 situées à droite.</t>
  </si>
  <si>
    <t>Entrez la description et le montant de chaque dépense dans les cellules B441 à O445 situées à droite. L’instruction suivante se trouve dans la cellule A446.</t>
  </si>
  <si>
    <t>Le total est calculé automatiquement pour chaque jour et chaque semaine dans la cellule de droite, notamment les cellules C446 à P446. L’instruction suivante se trouve dans la cellule A448.</t>
  </si>
  <si>
    <t>Les dates du calendrier se trouvent dans les cellules B448 à O448 situées à droite.</t>
  </si>
  <si>
    <t>Les étiquettes de description et de quantité se trouvent dans les cellules B449 à O449 situées à droite.</t>
  </si>
  <si>
    <t>Entrez la description et le montant de chaque dépense dans les cellules B450 à O454 situées à droite. L’instruction suivante se trouve dans la cellule A455.</t>
  </si>
  <si>
    <t>Le total est calculé automatiquement pour chaque jour et chaque semaine dans la cellule de droite, notamment les cellules C455 à P455. L’instruction suivante se trouve dans la cellule A457.</t>
  </si>
  <si>
    <t>Les dates du calendrier se trouvent dans les cellules B457 à O457 situées à droite.</t>
  </si>
  <si>
    <t>Les étiquettes de description et de quantité se trouvent dans les cellules B458 à O458 situées à droite.</t>
  </si>
  <si>
    <t>Entrez la description et le montant de chaque dépense dans les cellules B459 à O463 situées à droite. L’instruction suivante se trouve dans la cellule A464.</t>
  </si>
  <si>
    <t>Le total est calculé automatiquement pour chaque jour et chaque semaine dans la cellule de droite, notamment les cellules C464 à P464. L’instruction suivante se trouve dans la cellule A466.</t>
  </si>
  <si>
    <t>L’étiquette de septembre figure dans la cellule de droite, l’étiquette du total mensuel dans la cellule L466 et l’étiquette du total général dans N466.</t>
  </si>
  <si>
    <t>Le total mensuel est calculé automatiquement dans la cellule L467 et le total général dans N467.</t>
  </si>
  <si>
    <t>Le calendrier de septembre se trouve dans les cellules B496 à O522.</t>
  </si>
  <si>
    <t>Les jours de la semaine se trouvent dans les cellules de droite, notamment les cellules B469 à N469, et le total hebdomadaire dans la cellule P469.</t>
  </si>
  <si>
    <t>Les dates du calendrier se trouvent dans les cellules B470 à O470 l’étiquette du. Si la date ne commence pas par le chiffre 1, il s’agit de la date du mois précédent</t>
  </si>
  <si>
    <t>Les étiquettes de description et de quantité se trouvent dans les cellules B471 à O471 situées à droite.</t>
  </si>
  <si>
    <t>Entrez la description et le montant de chaque dépense dans les cellules B472 à O476 situées à droite. L’instruction suivante se trouve dans la cellule A477.</t>
  </si>
  <si>
    <t>Le total est calculé automatiquement pour chaque jour et chaque semaine dans la cellule de droite, notamment les cellules C477 à P477. L’instruction suivante se trouve dans la cellule A479.</t>
  </si>
  <si>
    <t>Les dates du calendrier se trouvent dans les cellules B479 à O479 situées à droite.</t>
  </si>
  <si>
    <t>Les étiquettes de description et de quantité se trouvent dans les cellules B480 à O480 situées à droite.</t>
  </si>
  <si>
    <t>Entrez la description et le montant de chaque dépense dans les cellules B481 à O485 situées à droite. L’instruction suivante se trouve dans la cellule A486.</t>
  </si>
  <si>
    <t>Le total est calculé automatiquement pour chaque jour et chaque semaine dans la cellule de droite, notamment les cellules C486 à P486. L’instruction suivante se trouve dans la cellule A488.</t>
  </si>
  <si>
    <t>Les dates du calendrier se trouvent dans les cellules B488 à O488 situées à droite.</t>
  </si>
  <si>
    <t>Les étiquettes de description et de quantité se trouvent dans les cellules B489 à O489 situées à droite.</t>
  </si>
  <si>
    <t>Entrez la description et le montant de chaque dépense dans les cellules B490 à O494 situées à droite. L’instruction suivante se trouve dans la cellule A495.</t>
  </si>
  <si>
    <t>Le total est calculé automatiquement pour chaque jour et chaque semaine dans la cellule de droite, notamment les cellules C495 à P495. L’instruction suivante se trouve dans la cellule A497.</t>
  </si>
  <si>
    <t>Les dates du calendrier se trouvent dans les cellules B497 à O497 situées à droite.</t>
  </si>
  <si>
    <t>Les étiquettes de description et de quantité se trouvent dans les cellules B498 à O498 situées à droite.</t>
  </si>
  <si>
    <t>Entrez la description et le montant de chaque dépense dans les cellules B499 à O503 situées à droite. L’instruction suivante se trouve dans la cellule A504.</t>
  </si>
  <si>
    <t>Le total est calculé automatiquement pour chaque jour et chaque semaine dans la cellule de droite, notamment les cellules C504 à P504. L’instruction suivante se trouve dans la cellule A506.</t>
  </si>
  <si>
    <t>Les dates du calendrier se trouvent dans les cellules B506 à O506 situées à droite.</t>
  </si>
  <si>
    <t>Les étiquettes de description et de quantité se trouvent dans es cellules B507 à O507 situées à droite.</t>
  </si>
  <si>
    <t>Entrez la description et le montant de chaque dépense dans les cellules B508 à O512 situées à droite. L’instruction suivante se trouve dans la cellule A513.</t>
  </si>
  <si>
    <t>Le total est calculé automatiquement pour chaque jour et chaque semaine dans la cellule de droite, notamment les cellules C513 à P513. L’instruction suivante se trouve dans la cellule A515.</t>
  </si>
  <si>
    <t>Les dates du calendrier se trouvent dans les cellules B515 à O515 situées à droite.</t>
  </si>
  <si>
    <t>Les étiquettes de description et de quantité se trouvent dans les cellules B516 à O516 situées à droite.</t>
  </si>
  <si>
    <t>Entrez la description et le montant de chaque dépense dans les cellules B517 à O521 situées à droite. L’instruction suivante se trouve dans la cellule A522.</t>
  </si>
  <si>
    <t>Le total est calculé automatiquement pour chaque jour et chaque semaine dans la cellule de droite, notamment les cellules C522 à P522. L’instruction suivante se trouve dans la cellule A524.</t>
  </si>
  <si>
    <t>L’étiquette d’octobre figure dans la cellule de droite, l’étiquette du total mensuel dans la cellule L524 et l’étiquette du total général dans N524.</t>
  </si>
  <si>
    <t>Le total mensuel est calculé automatiquement dans la cellule L525 et le total général dans N525.</t>
  </si>
  <si>
    <t>Le calendrier d’octobre se trouve dans les cellules B527 à O580.</t>
  </si>
  <si>
    <t>Les jours de la semaine se trouvent dans les cellules de droite, notamment les cellules B527 à N527, et le total hebdomadaire dans la cellule P527.</t>
  </si>
  <si>
    <t>Les dates du calendrier se trouvent dans les cellules B528 à O528 situées à droite. Si la date ne commence pas par le chiffre 1, il s’agit de la date du mois précédent.</t>
  </si>
  <si>
    <t>Les étiquettes de description et de quantité se trouvent dans les cellules B529 à O529 situées à droite.</t>
  </si>
  <si>
    <t>Entrez la description et le montant de chaque dépense dans les cellules B530 à O534 situées à droite. L’instruction suivante se trouve dans la cellule A535.</t>
  </si>
  <si>
    <t>Le total est calculé automatiquement pour chaque jour et chaque semaine dans la cellule de droite, notamment les cellules C535 à P535. L’instruction suivante se trouve dans la cellule A537.</t>
  </si>
  <si>
    <t>Les dates du calendrier se trouvent dans les cellules B537 à O537 situées à droite.</t>
  </si>
  <si>
    <t>Les étiquettes de description et de quantité se trouvent dans les cellules B538 à O538 situées à droite.</t>
  </si>
  <si>
    <t>Entrez la description et le montant de chaque dépense dans les cellules B539 à O543 situées à droite. L’instruction suivante se trouve dans la cellule A544.</t>
  </si>
  <si>
    <t>Le total est calculé automatiquement pour chaque jour et chaque semaine dans la cellule de droite, notamment les cellules C544 à P544. L’instruction suivante se trouve dans la cellule A546.</t>
  </si>
  <si>
    <t>Les dates du calendrier se trouvent dans les cellules B546 à O546 situées à droite.</t>
  </si>
  <si>
    <t>Les étiquettes de description et de quantité se trouvent dans les cellules B547 à O547 situées à droite.</t>
  </si>
  <si>
    <t>Entrez la description et le montant de chaque dépense dans les cellules B548 à O552 situées à droite. L’instruction suivante se trouve dans la cellule A553.</t>
  </si>
  <si>
    <t>Le total est calculé automatiquement pour chaque jour et chaque semaine dans la cellule de droite, notamment les cellules C553 à P553. L’instruction suivante se trouve dans la cellule A555.</t>
  </si>
  <si>
    <t>Les dates du calendrier se trouvent dans les cellules B555 à O555 situées à droite.</t>
  </si>
  <si>
    <t>Les étiquettes de description et de quantité se trouvent dans les cellules B556 à O556 situées à droite.</t>
  </si>
  <si>
    <t>Entrez la description et le montant de chaque dépense dans les cellules B557 à O561 situées à droite. L’instruction suivante figure dans la cellule A562.</t>
  </si>
  <si>
    <t>Le total est calculé automatiquement pour chaque jour et chaque semaine dans la cellule de droite, notamment les cellules C562 à P562. L’instruction suivante figure dans la cellule A564.</t>
  </si>
  <si>
    <t>Les dates du calendrier se trouvent dans les cellules B564 à O564 situées à droite.</t>
  </si>
  <si>
    <t>Les étiquettes de description et de quantité se trouvent dans les cellules B565 à O565 situées à droite.</t>
  </si>
  <si>
    <t>Entrez la description et le montant de chaque dépense dans les cellules B566 à O570 situées à droite. L’instruction suivante figure dans la cellule A571.</t>
  </si>
  <si>
    <t>Le total est calculé automatiquement pour chaque jour et chaque semaine dans la cellule de droite, notamment les cellules C571 à P571. L’instruction suivante figure dans la cellule A573.</t>
  </si>
  <si>
    <t>Les dates du calendrier se trouvent dans les cellules B573 à O573 situées à droite.</t>
  </si>
  <si>
    <t>Les étiquettes de description et de quantité se trouvent dans les cellules B574 à O574 situées à droite.</t>
  </si>
  <si>
    <t>Entrez la description et le montant de chaque dépense dans les cellules B575 à O579 situées à droite. L’instruction suivante figure dans la cellule A580.</t>
  </si>
  <si>
    <t>Le total est calculé automatiquement pour chaque jour et chaque semaine dans la cellule de droite, notamment les cellules C580 à P580. L’instruction suivante figure dans la cellule A582.</t>
  </si>
  <si>
    <t>L’étiquette d’octobre figure dans la cellule de droite, l’étiquette du total mensuel dans la cellule L582 et l’étiquette du total général dans N582.</t>
  </si>
  <si>
    <t>Le total mensuel est calculé automatiquement dans la cellule L583 et le total général dans N583.</t>
  </si>
  <si>
    <t>Le calendrier de novembre se trouve dans les cellules B584 à O638.</t>
  </si>
  <si>
    <t>Les jours de la semaine se trouvent dans les cellules de droite, notamment les cellules B585 à N585, et le total hebdomadaire dans la cellule P585.</t>
  </si>
  <si>
    <t>Les dates du calendrier se trouvent dans les cellules B586 à O586 situées à droite. Si la date ne commence pas par le chiffre 1, il s’agit de la date du mois précédent.</t>
  </si>
  <si>
    <t>Les étiquettes de description et de quantité se trouvent dans les cellules B587 à O587 situées à droite.</t>
  </si>
  <si>
    <t>Entrez la description et le montant de chaque dépense dans les cellules B588 à O592 situées à droite. L’instruction suivante figure dans la cellule A593.</t>
  </si>
  <si>
    <t>Le total est calculé automatiquement pour chaque jour et chaque semaine dans la cellule de droite, notamment les cellules C593 à P593. L’instruction suivante figure dans la cellule A595.</t>
  </si>
  <si>
    <t>Les dates du calendrier se trouvent dans les cellules B595 à O595 situées à droite.</t>
  </si>
  <si>
    <t>Les étiquettes de description et de quantité se trouvent dans les cellules B596 à O596 situées à droite.</t>
  </si>
  <si>
    <t>Entrez la description et le montant de chaque dépense dans les cellules B597 à O601 situées à droite. L’instruction suivante figure dans la cellule A602.</t>
  </si>
  <si>
    <t>Le total est calculé automatiquement pour chaque jour et chaque semaine dans la cellule de droite, notamment les cellules C602 à P602. L’instruction suivante figure dans la cellule A604.</t>
  </si>
  <si>
    <t>Les dates du calendrier se trouvent dans les cellules B604 à O604 situées à droite.</t>
  </si>
  <si>
    <t>Les étiquettes de description et de quantité se trouvent dans les cellules B605 à O605 situées à droite.</t>
  </si>
  <si>
    <t>Entrez la description et le montant de chaque dépense dans les cellules B606 à O610 situées à droite. L’instruction suivante figure dans la cellule A611.</t>
  </si>
  <si>
    <t>Le total est calculé automatiquement pour chaque jour et chaque semaine dans la cellule de droite, notamment les cellules C611 à P611. L’instruction suivante figure dans la cellule A613.</t>
  </si>
  <si>
    <t>Les dates du calendrier se trouvent dans les cellules B613 à O613 situées à droite.</t>
  </si>
  <si>
    <t>Les étiquettes de description et de quantité se trouvent dans les cellules B614 à O614 situées à droite.</t>
  </si>
  <si>
    <t>Entrez la description et le montant de chaque dépense dans les cellules B615 à O619 situées à droite. L’instruction suivante figure dans la cellule A620.</t>
  </si>
  <si>
    <t>Le total est calculé automatiquement pour chaque jour et chaque semaine dans la cellule de droite, notamment les cellules C620 à P620. L’instruction suivante figure dans la cellule A622.</t>
  </si>
  <si>
    <t>Les dates du calendrier se trouvent dans les cellules B622 à O622 situées à droite.</t>
  </si>
  <si>
    <t>Les étiquettes de description et de quantité se trouvent dans les cellules B623 à O623 situées à droite.</t>
  </si>
  <si>
    <t>Entrez la description et le montant de chaque dépense dans les cellules B624 à O628 situées à droite. L’instruction suivante figure dans la cellule A629.</t>
  </si>
  <si>
    <t>Le total est calculé automatiquement pour chaque jour et chaque semaine dans la cellule de droite, notamment les cellules C629 à P629. L’instruction suivante figure dans la cellule A631.</t>
  </si>
  <si>
    <t>Les dates du calendrier se trouvent dans les cellules B631 à O631 situées à droite.</t>
  </si>
  <si>
    <t>Les étiquettes de description et de quantité se trouvent dans les cellules B632 à O632 situées à droite.</t>
  </si>
  <si>
    <t>Entrez la description et le montant de chaque dépense dans les cellules B633 à O637 situées à droite. L’instruction suivante figure dans la cellule A638.</t>
  </si>
  <si>
    <t>Le total est calculé automatiquement pour chaque jour et chaque semaine dans la cellule de droite, notamment les cellules C638 à P638. L’instruction suivante figure dans la cellule A640.</t>
  </si>
  <si>
    <t>L’étiquette de décembre figure dans la cellule de droite, l’étiquette du total mensuel dans la cellule L640 et l’étiquette du total général dans N640.</t>
  </si>
  <si>
    <t>Le total mensuel est calculé automatiquement dans la cellule L641 et le total général dans N641.</t>
  </si>
  <si>
    <t>Le calendrier de décembre est dans les cellules B642 à O696.</t>
  </si>
  <si>
    <t>Les jours de la semaine se trouvent dans les cellules de droite, notamment les cellules B643 à N643, et le total hebdomadaire dans la cellule P643.</t>
  </si>
  <si>
    <t>Les dates du calendrier se trouvent dans les cellules B644 à O644 situées à droite. Si la date ne commence pas par le chiffre 1, il s’agit de la date du mois précédent.</t>
  </si>
  <si>
    <t>Les étiquettes de description et de quantité se trouvent dans les cellules B645 à O645 situées à droite.</t>
  </si>
  <si>
    <t>Entrez la description et le montant de chaque dépense dans les cellules B646 à O650 situées à droite. L’instruction suivante figure dans la cellule A651.</t>
  </si>
  <si>
    <t>Le total est calculé automatiquement pour chaque jour et chaque semaine dans la cellule de droite, notamment les cellules C651 à P651. L’instruction suivante figure dans la cellule A653.</t>
  </si>
  <si>
    <t>Les dates du calendrier se trouvent dans les cellules B653 à O653 situées à droite.</t>
  </si>
  <si>
    <t>Les étiquettes de description et de quantité se trouvent dans les cellules B654 à O654 situées à droite.</t>
  </si>
  <si>
    <t>Entrez la description et le montant de chaque dépense dans les cellules B655 à O659 situées à droite. L’instruction suivante figure dans la cellule A660.</t>
  </si>
  <si>
    <t>Le total est calculé automatiquement pour chaque jour et chaque semaine dans la cellule de droite, notamment les cellules C660 à P660. L’instruction suivante figure dans la cellule A662.</t>
  </si>
  <si>
    <t>Les dates du calendrier se trouvent dans les cellules B662 à O662 situées à droite.</t>
  </si>
  <si>
    <t>Les étiquettes de description et de quantité se trouvent dans les cellules B663 à O663 situées à droite.</t>
  </si>
  <si>
    <t>Entrez la description et le montant de chaque dépense dans les cellules B664 à O668 situées à droite. L’instruction suivante figure dans la cellule A669.</t>
  </si>
  <si>
    <t>Le total est calculé automatiquement pour chaque jour et chaque semaine dans la cellule de droite, notamment les cellules C669 à P669. L’instruction suivante figure dans la cellule A671.</t>
  </si>
  <si>
    <t>Les dates du calendrier se trouvent dans les cellules B671 à O671 situées à droite.</t>
  </si>
  <si>
    <t>Les étiquettes de description et de quantité se trouvent dans les cellules B672 à O672 situées à droite.</t>
  </si>
  <si>
    <t>Entrez la description et le montant de chaque dépense dans les cellules B673 à O677 situées à droite. L’instruction suivante figure dans la cellule A678.</t>
  </si>
  <si>
    <t>Le total est calculé automatiquement pour chaque jour et chaque semaine dans la cellule de droite, notamment les cellules C678 à P678. L’instruction suivante figure dans la cellule A680.</t>
  </si>
  <si>
    <t>Les dates du calendrier se trouvent dans les cellules B680 à O680 situées à droite.</t>
  </si>
  <si>
    <t>Les étiquettes de description et de quantité se trouvent dans les cellules B681 à O681 situées à droite.</t>
  </si>
  <si>
    <t>Entrez la description et le montant de chaque dépense dans les cellules B682 à O686 situées à droite. L’instruction suivante figure dans la cellule A687.</t>
  </si>
  <si>
    <t>Le total est calculé automatiquement pour chaque jour et chaque semaine dans la cellule de droite, notamment les cellules C687 à P687. L’instruction suivante figure dans la cellule A689.</t>
  </si>
  <si>
    <t>Les dates du calendrier se trouvent dans les cellules B689 à O689 situées à droite.</t>
  </si>
  <si>
    <t>Les étiquettes de description et de quantité se trouvent dans les cellules B690 à O690 situées à droite.</t>
  </si>
  <si>
    <t>Entrez la description et le montant de chaque dépense dans les cellules B691 à O695 situées à droite. L’instruction suivante figure dans la cellule A696.</t>
  </si>
  <si>
    <t>Le total est calculé automatiquement pour chaque jour et chaque semaine dans la cellule de droite, notamment les cellules C696 à P696.</t>
  </si>
  <si>
    <t>JANVIER</t>
  </si>
  <si>
    <t>LUNDI</t>
  </si>
  <si>
    <t>DESCRIPTION</t>
  </si>
  <si>
    <t>TOTAL</t>
  </si>
  <si>
    <t>FÉVRIER</t>
  </si>
  <si>
    <t>MARS</t>
  </si>
  <si>
    <t>AVRIL</t>
  </si>
  <si>
    <t>MAI</t>
  </si>
  <si>
    <t>JUIN</t>
  </si>
  <si>
    <t>JUILLET</t>
  </si>
  <si>
    <t>AOÛT</t>
  </si>
  <si>
    <t>SEPTEMBRE</t>
  </si>
  <si>
    <t>OCTOBRE</t>
  </si>
  <si>
    <t>NOVEMBRE</t>
  </si>
  <si>
    <t>DÉCEMBRE</t>
  </si>
  <si>
    <t>CALENDRIER DES DÉPENSES</t>
  </si>
  <si>
    <t>MONTANT</t>
  </si>
  <si>
    <t>MARDI</t>
  </si>
  <si>
    <t>MERCREDI</t>
  </si>
  <si>
    <t>Téléphone</t>
  </si>
  <si>
    <t>CONSEIL : Modifier l’année dans la cellule B1 pour mettre à jour l’année civile.</t>
  </si>
  <si>
    <t>JEUDI</t>
  </si>
  <si>
    <t>Manteau</t>
  </si>
  <si>
    <t>Cintres</t>
  </si>
  <si>
    <t>Électricité</t>
  </si>
  <si>
    <t>VENDREDI</t>
  </si>
  <si>
    <t xml:space="preserve">TOTAL MENSUEL </t>
  </si>
  <si>
    <t>SAMEDI</t>
  </si>
  <si>
    <t xml:space="preserve">TOTAL GÉNÉRAL </t>
  </si>
  <si>
    <t>DIMANCHE</t>
  </si>
  <si>
    <t>TOTAL HEBDOMADAIRE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</si>
</sst>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0.00\ &quot;$&quot;_);\(#,##0.00\ &quot;$&quot;\)"/>
    <numFmt numFmtId="164" formatCode="_(&quot;$&quot;* #,##0_);_(&quot;$&quot;* \(#,##0\);_(&quot;$&quot;* &quot;-&quot;_);_(@_)"/>
    <numFmt numFmtId="165" formatCode="_(* #,##0_);_(* \(#,##0\);_(* &quot;-&quot;_);_(@_)"/>
    <numFmt numFmtId="166" formatCode="_(* #,##0.00_);_(* \(#,##0.00\);_(* &quot;-&quot;??_);_(@_)"/>
    <numFmt numFmtId="167" formatCode="#,##0.00\ &quot;$&quot;"/>
  </numFmts>
  <fonts count="35" x14ac:knownFonts="1">
    <font>
      <sz val="8"/>
      <color theme="1" tint="0.14996795556505021"/>
      <name val="Arial"/>
      <family val="2"/>
      <scheme val="minor"/>
    </font>
    <font>
      <sz val="11"/>
      <color theme="1"/>
      <name val="Arial"/>
      <family val="2"/>
      <scheme val="minor"/>
    </font>
    <font>
      <sz val="8"/>
      <color theme="1"/>
      <name val="Arial"/>
      <family val="2"/>
      <scheme val="minor"/>
    </font>
    <font>
      <sz val="8"/>
      <color theme="0"/>
      <name val="Arial"/>
      <family val="2"/>
      <scheme val="minor"/>
    </font>
    <font>
      <sz val="11"/>
      <color theme="0"/>
      <name val="Arial"/>
      <family val="2"/>
      <scheme val="minor"/>
    </font>
    <font>
      <sz val="10"/>
      <color theme="3" tint="-0.249977111117893"/>
      <name val="Bookman Old Style"/>
      <family val="1"/>
      <scheme val="major"/>
    </font>
    <font>
      <sz val="9"/>
      <color theme="0"/>
      <name val="Arial"/>
      <family val="2"/>
      <scheme val="minor"/>
    </font>
    <font>
      <b/>
      <sz val="8"/>
      <color theme="0"/>
      <name val="Bookman Old Style"/>
      <family val="1"/>
      <scheme val="major"/>
    </font>
    <font>
      <sz val="12"/>
      <color theme="0"/>
      <name val="Bookman Old Style"/>
      <family val="1"/>
      <scheme val="major"/>
    </font>
    <font>
      <b/>
      <sz val="12"/>
      <color theme="0"/>
      <name val="Bookman Old Style"/>
      <family val="1"/>
      <scheme val="major"/>
    </font>
    <font>
      <sz val="14"/>
      <color theme="0"/>
      <name val="Bookman Old Style"/>
      <family val="1"/>
      <scheme val="major"/>
    </font>
    <font>
      <b/>
      <sz val="9"/>
      <color theme="1" tint="0.34998626667073579"/>
      <name val="Bookman Old Style"/>
      <family val="1"/>
      <scheme val="major"/>
    </font>
    <font>
      <sz val="8"/>
      <color theme="1" tint="0.14996795556505021"/>
      <name val="Arial"/>
      <family val="2"/>
      <scheme val="minor"/>
    </font>
    <font>
      <sz val="28"/>
      <color theme="3" tint="0.39994506668294322"/>
      <name val="Bookman Old Style"/>
      <family val="1"/>
      <scheme val="major"/>
    </font>
    <font>
      <sz val="8"/>
      <color theme="1" tint="0.499984740745262"/>
      <name val="Arial"/>
      <family val="2"/>
      <scheme val="minor"/>
    </font>
    <font>
      <sz val="28"/>
      <color theme="3"/>
      <name val="Bookman Old Style"/>
      <family val="1"/>
      <scheme val="major"/>
    </font>
    <font>
      <sz val="8"/>
      <color theme="1" tint="0.34998626667073579"/>
      <name val="Arial"/>
      <family val="2"/>
      <scheme val="minor"/>
    </font>
    <font>
      <sz val="28"/>
      <color theme="1" tint="0.34998626667073579"/>
      <name val="Bookman Old Style"/>
      <family val="1"/>
      <scheme val="major"/>
    </font>
    <font>
      <sz val="16"/>
      <color theme="0"/>
      <name val="Arial"/>
      <family val="2"/>
    </font>
    <font>
      <sz val="11"/>
      <color theme="1" tint="0.14996795556505021"/>
      <name val="Calibri"/>
      <family val="2"/>
    </font>
    <font>
      <sz val="11"/>
      <color theme="0"/>
      <name val="Calibri"/>
      <family val="2"/>
    </font>
    <font>
      <sz val="18"/>
      <color theme="3"/>
      <name val="Bookman Old Style"/>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8"/>
      <name val="Arial"/>
      <family val="2"/>
      <scheme val="minor"/>
    </font>
  </fonts>
  <fills count="37">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3"/>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8">
    <border>
      <left/>
      <right/>
      <top/>
      <bottom/>
      <diagonal/>
    </border>
    <border>
      <left style="dotted">
        <color theme="0" tint="-0.14996795556505021"/>
      </left>
      <right/>
      <top style="thin">
        <color theme="0" tint="-0.14996795556505021"/>
      </top>
      <bottom style="thin">
        <color theme="0" tint="-0.14996795556505021"/>
      </bottom>
      <diagonal/>
    </border>
    <border>
      <left style="dotted">
        <color theme="0" tint="-0.14996795556505021"/>
      </left>
      <right/>
      <top style="thin">
        <color theme="0" tint="-0.14996795556505021"/>
      </top>
      <bottom style="dotted">
        <color theme="0" tint="-0.14996795556505021"/>
      </bottom>
      <diagonal/>
    </border>
    <border>
      <left style="dotted">
        <color theme="0" tint="-0.14996795556505021"/>
      </left>
      <right/>
      <top style="dotted">
        <color theme="0" tint="-0.14996795556505021"/>
      </top>
      <bottom style="dotted">
        <color theme="0" tint="-0.14996795556505021"/>
      </bottom>
      <diagonal/>
    </border>
    <border>
      <left/>
      <right/>
      <top/>
      <bottom style="thin">
        <color theme="0" tint="-0.14996795556505021"/>
      </bottom>
      <diagonal/>
    </border>
    <border>
      <left style="thin">
        <color theme="0" tint="-0.14996795556505021"/>
      </left>
      <right style="dotted">
        <color theme="0" tint="-0.14996795556505021"/>
      </right>
      <top style="thin">
        <color theme="0" tint="-0.14996795556505021"/>
      </top>
      <bottom style="thin">
        <color theme="0" tint="-0.14996795556505021"/>
      </bottom>
      <diagonal/>
    </border>
    <border>
      <left style="thin">
        <color theme="0" tint="-0.14996795556505021"/>
      </left>
      <right/>
      <top/>
      <bottom style="thin">
        <color theme="0" tint="-0.14996795556505021"/>
      </bottom>
      <diagonal/>
    </border>
    <border>
      <left style="thin">
        <color theme="0" tint="-0.24994659260841701"/>
      </left>
      <right/>
      <top style="thin">
        <color theme="0" tint="-0.24994659260841701"/>
      </top>
      <bottom/>
      <diagonal/>
    </border>
    <border>
      <left style="thin">
        <color theme="0" tint="-0.24994659260841701"/>
      </left>
      <right/>
      <top style="thin">
        <color theme="0" tint="-0.24994659260841701"/>
      </top>
      <bottom style="thin">
        <color theme="0" tint="-0.14996795556505021"/>
      </bottom>
      <diagonal/>
    </border>
    <border>
      <left/>
      <right/>
      <top style="thin">
        <color theme="0" tint="-0.24994659260841701"/>
      </top>
      <bottom/>
      <diagonal/>
    </border>
    <border>
      <left style="thin">
        <color theme="0" tint="-0.14996795556505021"/>
      </left>
      <right style="dotted">
        <color theme="0" tint="-0.14996795556505021"/>
      </right>
      <top style="thin">
        <color theme="0" tint="-0.14996795556505021"/>
      </top>
      <bottom style="dotted">
        <color theme="0" tint="-0.14996795556505021"/>
      </bottom>
      <diagonal/>
    </border>
    <border>
      <left style="thin">
        <color theme="0" tint="-0.14996795556505021"/>
      </left>
      <right style="dotted">
        <color theme="0" tint="-0.14996795556505021"/>
      </right>
      <top style="dotted">
        <color theme="0" tint="-0.14996795556505021"/>
      </top>
      <bottom style="dotted">
        <color theme="0" tint="-0.14996795556505021"/>
      </bottom>
      <diagonal/>
    </border>
    <border>
      <left/>
      <right style="thin">
        <color theme="0"/>
      </right>
      <top/>
      <bottom/>
      <diagonal/>
    </border>
    <border>
      <left style="thin">
        <color theme="0"/>
      </left>
      <right/>
      <top/>
      <bottom/>
      <diagonal/>
    </border>
    <border>
      <left style="thin">
        <color theme="0"/>
      </left>
      <right style="medium">
        <color theme="0"/>
      </right>
      <top/>
      <bottom/>
      <diagonal/>
    </border>
    <border>
      <left style="dotted">
        <color theme="0" tint="-0.14996795556505021"/>
      </left>
      <right/>
      <top style="dotted">
        <color theme="0" tint="-0.1499679555650502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bottom style="thin">
        <color theme="0" tint="-0.14996795556505021"/>
      </bottom>
      <diagonal/>
    </border>
    <border>
      <left/>
      <right style="thin">
        <color theme="0" tint="-0.24994659260841701"/>
      </right>
      <top style="thin">
        <color theme="0" tint="-0.24994659260841701"/>
      </top>
      <bottom style="thin">
        <color theme="0" tint="-0.14996795556505021"/>
      </bottom>
      <diagonal/>
    </border>
    <border>
      <left style="thin">
        <color theme="0" tint="-0.24994659260841701"/>
      </left>
      <right style="dotted">
        <color theme="0" tint="-0.14996795556505021"/>
      </right>
      <top/>
      <bottom style="thin">
        <color theme="0" tint="-0.14996795556505021"/>
      </bottom>
      <diagonal/>
    </border>
    <border>
      <left style="dotted">
        <color theme="0" tint="-0.14996795556505021"/>
      </left>
      <right/>
      <top/>
      <bottom style="thin">
        <color theme="0" tint="-0.1499679555650502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0" tint="-0.24994659260841701"/>
      </left>
      <right/>
      <top style="thin">
        <color theme="1" tint="0.499984740745262"/>
      </top>
      <bottom/>
      <diagonal/>
    </border>
    <border>
      <left/>
      <right style="thin">
        <color theme="0" tint="-0.24994659260841701"/>
      </right>
      <top style="thin">
        <color theme="1" tint="0.499984740745262"/>
      </top>
      <bottom/>
      <diagonal/>
    </border>
    <border>
      <left/>
      <right style="thin">
        <color theme="3" tint="0.39994506668294322"/>
      </right>
      <top style="thin">
        <color theme="1" tint="0.499984740745262"/>
      </top>
      <bottom/>
      <diagonal/>
    </border>
    <border>
      <left style="thin">
        <color theme="3" tint="0.39994506668294322"/>
      </left>
      <right/>
      <top style="thin">
        <color theme="1" tint="0.499984740745262"/>
      </top>
      <bottom/>
      <diagonal/>
    </border>
    <border>
      <left style="thin">
        <color theme="0" tint="-0.24994659260841701"/>
      </left>
      <right style="thin">
        <color theme="3" tint="0.39994506668294322"/>
      </right>
      <top style="thin">
        <color theme="1" tint="0.499984740745262"/>
      </top>
      <bottom/>
      <diagonal/>
    </border>
    <border>
      <left style="thin">
        <color theme="3" tint="0.39994506668294322"/>
      </left>
      <right style="thin">
        <color theme="0" tint="-0.24994659260841701"/>
      </right>
      <top style="thin">
        <color theme="1" tint="0.499984740745262"/>
      </top>
      <bottom/>
      <diagonal/>
    </border>
    <border>
      <left style="thin">
        <color theme="0" tint="-0.14996795556505021"/>
      </left>
      <right style="dotted">
        <color theme="0" tint="-0.14996795556505021"/>
      </right>
      <top style="dotted">
        <color theme="0" tint="-0.14996795556505021"/>
      </top>
      <bottom/>
      <diagonal/>
    </border>
    <border>
      <left style="thin">
        <color theme="0" tint="-0.14996795556505021"/>
      </left>
      <right style="dotted">
        <color theme="0" tint="-0.14996795556505021"/>
      </right>
      <top/>
      <bottom style="thin">
        <color theme="0" tint="-0.14996795556505021"/>
      </bottom>
      <diagonal/>
    </border>
    <border>
      <left/>
      <right/>
      <top style="thin">
        <color theme="0" tint="-0.14996795556505021"/>
      </top>
      <bottom style="thin">
        <color theme="0" tint="-0.24994659260841701"/>
      </bottom>
      <diagonal/>
    </border>
    <border>
      <left/>
      <right/>
      <top style="thin">
        <color theme="0" tint="-0.14996795556505021"/>
      </top>
      <bottom/>
      <diagonal/>
    </border>
    <border>
      <left style="thin">
        <color theme="0" tint="-0.14996795556505021"/>
      </left>
      <right style="dotted">
        <color theme="0" tint="-0.24994659260841701"/>
      </right>
      <top style="thin">
        <color theme="0" tint="-0.14996795556505021"/>
      </top>
      <bottom style="dotted">
        <color theme="0" tint="-0.14996795556505021"/>
      </bottom>
      <diagonal/>
    </border>
    <border>
      <left style="thin">
        <color theme="0" tint="-0.14996795556505021"/>
      </left>
      <right style="dotted">
        <color theme="0" tint="-0.24994659260841701"/>
      </right>
      <top style="dotted">
        <color theme="0" tint="-0.14996795556505021"/>
      </top>
      <bottom style="dotted">
        <color theme="0" tint="-0.14996795556505021"/>
      </bottom>
      <diagonal/>
    </border>
    <border>
      <left style="thin">
        <color theme="0" tint="-0.14996795556505021"/>
      </left>
      <right style="dotted">
        <color theme="0" tint="-0.24994659260841701"/>
      </right>
      <top style="dotted">
        <color theme="0" tint="-0.14996795556505021"/>
      </top>
      <bottom/>
      <diagonal/>
    </border>
    <border>
      <left/>
      <right style="thin">
        <color theme="0" tint="-0.14993743705557422"/>
      </right>
      <top/>
      <bottom style="thin">
        <color theme="0" tint="-0.14996795556505021"/>
      </bottom>
      <diagonal/>
    </border>
    <border>
      <left style="dotted">
        <color theme="0" tint="-0.14996795556505021"/>
      </left>
      <right style="thin">
        <color theme="0" tint="-0.14993743705557422"/>
      </right>
      <top style="thin">
        <color theme="0" tint="-0.14996795556505021"/>
      </top>
      <bottom style="thin">
        <color theme="0" tint="-0.14996795556505021"/>
      </bottom>
      <diagonal/>
    </border>
    <border>
      <left style="dotted">
        <color theme="0" tint="-0.14996795556505021"/>
      </left>
      <right style="thin">
        <color theme="0" tint="-0.14993743705557422"/>
      </right>
      <top style="thin">
        <color theme="0" tint="-0.14996795556505021"/>
      </top>
      <bottom style="dotted">
        <color theme="0" tint="-0.14996795556505021"/>
      </bottom>
      <diagonal/>
    </border>
    <border>
      <left style="dotted">
        <color theme="0" tint="-0.14996795556505021"/>
      </left>
      <right style="thin">
        <color theme="0" tint="-0.14993743705557422"/>
      </right>
      <top style="dotted">
        <color theme="0" tint="-0.14996795556505021"/>
      </top>
      <bottom style="dotted">
        <color theme="0" tint="-0.14996795556505021"/>
      </bottom>
      <diagonal/>
    </border>
    <border>
      <left style="dotted">
        <color theme="0" tint="-0.14996795556505021"/>
      </left>
      <right style="thin">
        <color theme="0" tint="-0.14993743705557422"/>
      </right>
      <top style="dotted">
        <color theme="0" tint="-0.14996795556505021"/>
      </top>
      <bottom/>
      <diagonal/>
    </border>
    <border>
      <left/>
      <right style="thin">
        <color theme="0" tint="-0.14993743705557422"/>
      </right>
      <top style="thin">
        <color theme="1" tint="0.499984740745262"/>
      </top>
      <bottom style="thin">
        <color theme="0" tint="-0.34998626667073579"/>
      </bottom>
      <diagonal/>
    </border>
    <border>
      <left/>
      <right style="thin">
        <color theme="0" tint="-0.14993743705557422"/>
      </right>
      <top/>
      <bottom/>
      <diagonal/>
    </border>
    <border>
      <left/>
      <right style="thin">
        <color theme="0" tint="-0.14993743705557422"/>
      </right>
      <top style="thin">
        <color theme="0" tint="-0.24994659260841701"/>
      </top>
      <bottom/>
      <diagonal/>
    </border>
    <border>
      <left/>
      <right style="thin">
        <color theme="0" tint="-0.14993743705557422"/>
      </right>
      <top style="thin">
        <color theme="0" tint="-0.14996795556505021"/>
      </top>
      <bottom style="dotted">
        <color theme="0" tint="-0.14996795556505021"/>
      </bottom>
      <diagonal/>
    </border>
    <border>
      <left/>
      <right style="thin">
        <color theme="0" tint="-0.14993743705557422"/>
      </right>
      <top style="dotted">
        <color theme="0" tint="-0.14996795556505021"/>
      </top>
      <bottom style="dotted">
        <color theme="0" tint="-0.14996795556505021"/>
      </bottom>
      <diagonal/>
    </border>
    <border>
      <left/>
      <right style="thin">
        <color theme="0" tint="-0.14993743705557422"/>
      </right>
      <top style="dotted">
        <color theme="0" tint="-0.14996795556505021"/>
      </top>
      <bottom/>
      <diagonal/>
    </border>
    <border>
      <left style="dotted">
        <color theme="0" tint="-0.14996795556505021"/>
      </left>
      <right style="thin">
        <color theme="0" tint="-0.14993743705557422"/>
      </right>
      <top/>
      <bottom style="thin">
        <color theme="0" tint="-0.149967955565050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1" tint="0.499984740745262"/>
      </left>
      <right/>
      <top style="thin">
        <color theme="1" tint="0.499984740745262"/>
      </top>
      <bottom style="thin">
        <color theme="0" tint="-0.24994659260841701"/>
      </bottom>
      <diagonal/>
    </border>
    <border>
      <left/>
      <right style="thin">
        <color theme="1" tint="0.499984740745262"/>
      </right>
      <top style="thin">
        <color theme="1" tint="0.499984740745262"/>
      </top>
      <bottom style="thin">
        <color theme="0" tint="-0.24994659260841701"/>
      </bottom>
      <diagonal/>
    </border>
  </borders>
  <cellStyleXfs count="47">
    <xf numFmtId="0" fontId="0" fillId="0" borderId="0">
      <alignment vertical="center"/>
    </xf>
    <xf numFmtId="0" fontId="13" fillId="0" borderId="0" applyNumberFormat="0" applyFill="0" applyBorder="0" applyAlignment="0" applyProtection="0"/>
    <xf numFmtId="0" fontId="11" fillId="0" borderId="0" applyNumberFormat="0" applyFill="0" applyBorder="0" applyProtection="0">
      <alignment horizontal="right"/>
    </xf>
    <xf numFmtId="0" fontId="14" fillId="0" borderId="0" applyNumberFormat="0" applyFill="0" applyBorder="0" applyAlignment="0" applyProtection="0"/>
    <xf numFmtId="167" fontId="12" fillId="0" borderId="0" applyFont="0" applyFill="0" applyBorder="0" applyAlignment="0" applyProtection="0"/>
    <xf numFmtId="166"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9" fontId="12"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50" applyNumberFormat="0" applyAlignment="0" applyProtection="0"/>
    <xf numFmtId="0" fontId="27" fillId="10" borderId="51" applyNumberFormat="0" applyAlignment="0" applyProtection="0"/>
    <xf numFmtId="0" fontId="28" fillId="10" borderId="50" applyNumberFormat="0" applyAlignment="0" applyProtection="0"/>
    <xf numFmtId="0" fontId="29" fillId="0" borderId="52" applyNumberFormat="0" applyFill="0" applyAlignment="0" applyProtection="0"/>
    <xf numFmtId="0" fontId="30" fillId="11" borderId="53" applyNumberFormat="0" applyAlignment="0" applyProtection="0"/>
    <xf numFmtId="0" fontId="31" fillId="0" borderId="0" applyNumberFormat="0" applyFill="0" applyBorder="0" applyAlignment="0" applyProtection="0"/>
    <xf numFmtId="0" fontId="12" fillId="12" borderId="54" applyNumberFormat="0" applyFont="0" applyAlignment="0" applyProtection="0"/>
    <xf numFmtId="0" fontId="32" fillId="0" borderId="0" applyNumberFormat="0" applyFill="0" applyBorder="0" applyAlignment="0" applyProtection="0"/>
    <xf numFmtId="0" fontId="33" fillId="0" borderId="55"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10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0" fillId="0" borderId="0" xfId="0" applyAlignment="1">
      <alignment horizontal="right"/>
    </xf>
    <xf numFmtId="0" fontId="2" fillId="0" borderId="0" xfId="0" applyFont="1" applyAlignment="1">
      <alignment horizontal="right"/>
    </xf>
    <xf numFmtId="0" fontId="0" fillId="0" borderId="0" xfId="0" applyNumberFormat="1" applyAlignment="1">
      <alignment horizontal="right"/>
    </xf>
    <xf numFmtId="0" fontId="5" fillId="2" borderId="8" xfId="0" applyNumberFormat="1" applyFont="1" applyFill="1" applyBorder="1" applyAlignment="1">
      <alignment horizontal="centerContinuous" vertical="center"/>
    </xf>
    <xf numFmtId="0" fontId="5" fillId="2" borderId="18" xfId="0" applyNumberFormat="1" applyFont="1" applyFill="1" applyBorder="1" applyAlignment="1">
      <alignment horizontal="centerContinuous" vertical="center"/>
    </xf>
    <xf numFmtId="0" fontId="5" fillId="2" borderId="7" xfId="0" applyNumberFormat="1" applyFont="1" applyFill="1" applyBorder="1" applyAlignment="1">
      <alignment horizontal="centerContinuous" vertical="center"/>
    </xf>
    <xf numFmtId="0" fontId="5" fillId="2" borderId="9" xfId="0" applyNumberFormat="1" applyFont="1" applyFill="1" applyBorder="1" applyAlignment="1">
      <alignment horizontal="centerContinuous" vertical="center"/>
    </xf>
    <xf numFmtId="0" fontId="5" fillId="2" borderId="16" xfId="0" applyNumberFormat="1" applyFont="1" applyFill="1" applyBorder="1" applyAlignment="1">
      <alignment horizontal="centerContinuous" vertical="center"/>
    </xf>
    <xf numFmtId="0" fontId="5" fillId="2" borderId="21" xfId="0" applyNumberFormat="1" applyFont="1" applyFill="1" applyBorder="1" applyAlignment="1">
      <alignment horizontal="centerContinuous" vertical="center"/>
    </xf>
    <xf numFmtId="0" fontId="5" fillId="2" borderId="22" xfId="0" applyNumberFormat="1" applyFont="1" applyFill="1" applyBorder="1" applyAlignment="1">
      <alignment horizontal="centerContinuous" vertical="center"/>
    </xf>
    <xf numFmtId="0" fontId="12" fillId="0" borderId="10" xfId="0" applyNumberFormat="1" applyFont="1" applyBorder="1" applyAlignment="1">
      <alignment vertical="center"/>
    </xf>
    <xf numFmtId="0" fontId="12" fillId="0" borderId="11" xfId="0" applyNumberFormat="1" applyFont="1" applyBorder="1" applyAlignment="1">
      <alignment vertical="center"/>
    </xf>
    <xf numFmtId="0" fontId="12" fillId="0" borderId="31" xfId="0" applyNumberFormat="1" applyFont="1" applyBorder="1" applyAlignment="1">
      <alignment vertical="center"/>
    </xf>
    <xf numFmtId="0" fontId="0" fillId="0" borderId="10" xfId="0" applyNumberFormat="1" applyFont="1" applyBorder="1" applyAlignment="1">
      <alignment vertical="center"/>
    </xf>
    <xf numFmtId="0" fontId="5" fillId="2" borderId="33" xfId="0" applyNumberFormat="1" applyFont="1" applyFill="1" applyBorder="1" applyAlignment="1">
      <alignment horizontal="centerContinuous" vertical="center"/>
    </xf>
    <xf numFmtId="0" fontId="12" fillId="0" borderId="10" xfId="0" applyNumberFormat="1" applyFont="1" applyBorder="1" applyAlignment="1" applyProtection="1">
      <alignment vertical="center"/>
      <protection locked="0"/>
    </xf>
    <xf numFmtId="0" fontId="12" fillId="0" borderId="11" xfId="0" applyNumberFormat="1" applyFont="1" applyBorder="1" applyAlignment="1" applyProtection="1">
      <alignment vertical="center"/>
      <protection locked="0"/>
    </xf>
    <xf numFmtId="0" fontId="12" fillId="0" borderId="31" xfId="0" applyNumberFormat="1" applyFont="1" applyBorder="1" applyAlignment="1" applyProtection="1">
      <alignment vertical="center"/>
      <protection locked="0"/>
    </xf>
    <xf numFmtId="0" fontId="5" fillId="2" borderId="34" xfId="0" applyNumberFormat="1" applyFont="1" applyFill="1" applyBorder="1" applyAlignment="1">
      <alignment horizontal="centerContinuous" vertical="center"/>
    </xf>
    <xf numFmtId="0" fontId="12" fillId="0" borderId="35" xfId="0" applyNumberFormat="1" applyFont="1" applyBorder="1" applyAlignment="1">
      <alignment vertical="center"/>
    </xf>
    <xf numFmtId="0" fontId="12" fillId="0" borderId="36" xfId="0" applyNumberFormat="1" applyFont="1" applyBorder="1" applyAlignment="1">
      <alignment vertical="center"/>
    </xf>
    <xf numFmtId="0" fontId="12" fillId="0" borderId="37" xfId="0" applyNumberFormat="1" applyFont="1" applyBorder="1" applyAlignment="1">
      <alignment vertical="center"/>
    </xf>
    <xf numFmtId="0" fontId="2" fillId="2" borderId="44" xfId="0" applyFont="1" applyFill="1" applyBorder="1" applyAlignment="1">
      <alignment vertical="center"/>
    </xf>
    <xf numFmtId="0" fontId="2" fillId="2" borderId="45" xfId="0" applyNumberFormat="1" applyFont="1" applyFill="1" applyBorder="1" applyAlignment="1">
      <alignment vertical="center"/>
    </xf>
    <xf numFmtId="0" fontId="0" fillId="0" borderId="10" xfId="0" applyNumberFormat="1" applyFont="1" applyBorder="1" applyAlignment="1" applyProtection="1">
      <alignment vertical="center"/>
      <protection locked="0"/>
    </xf>
    <xf numFmtId="0" fontId="8" fillId="4" borderId="0" xfId="0" applyFont="1" applyFill="1">
      <alignment vertical="center"/>
    </xf>
    <xf numFmtId="0" fontId="10" fillId="4" borderId="0" xfId="0" applyFont="1" applyFill="1" applyAlignment="1">
      <alignment vertical="center"/>
    </xf>
    <xf numFmtId="0" fontId="8" fillId="4" borderId="0" xfId="0" applyFont="1" applyFill="1" applyAlignment="1">
      <alignment horizontal="right"/>
    </xf>
    <xf numFmtId="0" fontId="3" fillId="4" borderId="43" xfId="0" applyFont="1" applyFill="1" applyBorder="1" applyAlignment="1">
      <alignment horizontal="center" vertical="center"/>
    </xf>
    <xf numFmtId="0" fontId="16" fillId="0" borderId="32" xfId="3" applyNumberFormat="1" applyFont="1" applyBorder="1" applyAlignment="1">
      <alignment vertical="center"/>
    </xf>
    <xf numFmtId="0" fontId="16" fillId="0" borderId="20" xfId="3" applyNumberFormat="1" applyFont="1" applyBorder="1" applyAlignment="1">
      <alignment horizontal="right" vertical="center"/>
    </xf>
    <xf numFmtId="0" fontId="16" fillId="0" borderId="5" xfId="3" applyNumberFormat="1" applyFont="1" applyBorder="1" applyAlignment="1">
      <alignment vertical="center"/>
    </xf>
    <xf numFmtId="0" fontId="16" fillId="0" borderId="49" xfId="3" applyNumberFormat="1" applyFont="1" applyBorder="1" applyAlignment="1">
      <alignment horizontal="right" vertical="center"/>
    </xf>
    <xf numFmtId="0" fontId="16" fillId="0" borderId="1" xfId="3" applyNumberFormat="1" applyFont="1" applyBorder="1" applyAlignment="1">
      <alignment horizontal="right" vertical="center"/>
    </xf>
    <xf numFmtId="0" fontId="16" fillId="0" borderId="39" xfId="3" applyNumberFormat="1" applyFont="1" applyBorder="1" applyAlignment="1">
      <alignment horizontal="right" vertical="center"/>
    </xf>
    <xf numFmtId="0" fontId="16" fillId="0" borderId="19" xfId="3" applyNumberFormat="1" applyFont="1" applyBorder="1" applyAlignment="1">
      <alignment vertical="center"/>
    </xf>
    <xf numFmtId="0" fontId="3" fillId="5" borderId="43" xfId="0" applyFont="1" applyFill="1" applyBorder="1" applyAlignment="1">
      <alignment horizontal="center" vertical="center"/>
    </xf>
    <xf numFmtId="0" fontId="19" fillId="0" borderId="0" xfId="0" applyFont="1" applyAlignment="1">
      <alignment vertical="center" wrapText="1"/>
    </xf>
    <xf numFmtId="0" fontId="18" fillId="4" borderId="0" xfId="0" applyFont="1" applyFill="1" applyAlignment="1">
      <alignment horizontal="center" vertical="center"/>
    </xf>
    <xf numFmtId="0" fontId="3" fillId="0" borderId="0" xfId="0" applyFont="1" applyAlignment="1">
      <alignment vertical="center" wrapText="1"/>
    </xf>
    <xf numFmtId="0" fontId="20" fillId="0" borderId="0" xfId="0" applyFont="1" applyAlignment="1">
      <alignment vertical="center" wrapText="1"/>
    </xf>
    <xf numFmtId="0" fontId="0" fillId="0" borderId="0" xfId="0" applyNumberFormat="1">
      <alignment vertical="center"/>
    </xf>
    <xf numFmtId="0" fontId="3" fillId="0" borderId="0" xfId="0" applyNumberFormat="1" applyFont="1" applyAlignment="1">
      <alignment vertical="center" wrapText="1"/>
    </xf>
    <xf numFmtId="0" fontId="4" fillId="0" borderId="0" xfId="0" applyNumberFormat="1" applyFont="1">
      <alignment vertical="center"/>
    </xf>
    <xf numFmtId="0" fontId="3" fillId="0" borderId="0" xfId="0" applyNumberFormat="1" applyFont="1">
      <alignment vertical="center"/>
    </xf>
    <xf numFmtId="0" fontId="2" fillId="0" borderId="0" xfId="0" applyNumberFormat="1" applyFont="1">
      <alignment vertical="center"/>
    </xf>
    <xf numFmtId="0" fontId="2" fillId="0" borderId="0" xfId="0" applyNumberFormat="1" applyFont="1" applyAlignment="1">
      <alignment horizontal="right"/>
    </xf>
    <xf numFmtId="0" fontId="2" fillId="2" borderId="44" xfId="0" applyNumberFormat="1" applyFont="1" applyFill="1" applyBorder="1" applyAlignment="1">
      <alignment vertical="center"/>
    </xf>
    <xf numFmtId="0" fontId="10" fillId="4" borderId="0" xfId="0" applyNumberFormat="1" applyFont="1" applyFill="1" applyAlignment="1">
      <alignment vertical="center"/>
    </xf>
    <xf numFmtId="0" fontId="7" fillId="3" borderId="6" xfId="0" applyNumberFormat="1" applyFont="1" applyFill="1" applyBorder="1" applyAlignment="1" applyProtection="1">
      <alignment vertical="center"/>
      <protection locked="0"/>
    </xf>
    <xf numFmtId="0" fontId="7" fillId="3" borderId="17" xfId="0" applyNumberFormat="1" applyFont="1" applyFill="1" applyBorder="1" applyAlignment="1" applyProtection="1">
      <alignment vertical="center"/>
      <protection locked="0"/>
    </xf>
    <xf numFmtId="167" fontId="12" fillId="0" borderId="2" xfId="4" applyNumberFormat="1" applyFont="1" applyBorder="1" applyAlignment="1" applyProtection="1">
      <alignment horizontal="right" vertical="center"/>
      <protection locked="0"/>
    </xf>
    <xf numFmtId="167" fontId="12" fillId="0" borderId="3" xfId="4" applyNumberFormat="1" applyFont="1" applyBorder="1" applyAlignment="1" applyProtection="1">
      <alignment horizontal="right" vertical="center"/>
      <protection locked="0"/>
    </xf>
    <xf numFmtId="167" fontId="12" fillId="0" borderId="15" xfId="4" applyNumberFormat="1" applyFont="1" applyBorder="1" applyAlignment="1" applyProtection="1">
      <alignment horizontal="right" vertical="center"/>
      <protection locked="0"/>
    </xf>
    <xf numFmtId="167" fontId="7" fillId="3" borderId="4" xfId="4" applyNumberFormat="1" applyFont="1" applyFill="1" applyBorder="1" applyAlignment="1" applyProtection="1">
      <alignment horizontal="right" vertical="center"/>
    </xf>
    <xf numFmtId="167" fontId="12" fillId="0" borderId="40" xfId="4" applyNumberFormat="1" applyFont="1" applyBorder="1" applyAlignment="1" applyProtection="1">
      <alignment horizontal="right" vertical="center"/>
      <protection locked="0"/>
    </xf>
    <xf numFmtId="167" fontId="12" fillId="0" borderId="41" xfId="4" applyNumberFormat="1" applyFont="1" applyBorder="1" applyAlignment="1" applyProtection="1">
      <alignment horizontal="right" vertical="center"/>
      <protection locked="0"/>
    </xf>
    <xf numFmtId="167" fontId="12" fillId="0" borderId="42" xfId="4" applyNumberFormat="1" applyFont="1" applyBorder="1" applyAlignment="1" applyProtection="1">
      <alignment horizontal="right" vertical="center"/>
      <protection locked="0"/>
    </xf>
    <xf numFmtId="167" fontId="7" fillId="3" borderId="38" xfId="4" applyNumberFormat="1" applyFont="1" applyFill="1" applyBorder="1" applyAlignment="1" applyProtection="1">
      <alignment horizontal="right" vertical="center"/>
    </xf>
    <xf numFmtId="167" fontId="7" fillId="3" borderId="38" xfId="4" applyNumberFormat="1" applyFont="1" applyFill="1" applyBorder="1" applyAlignment="1">
      <alignment vertical="center"/>
    </xf>
    <xf numFmtId="167" fontId="12" fillId="0" borderId="46" xfId="4" applyNumberFormat="1" applyFont="1" applyBorder="1" applyAlignment="1" applyProtection="1">
      <alignment horizontal="right" vertical="center"/>
      <protection locked="0"/>
    </xf>
    <xf numFmtId="167" fontId="12" fillId="0" borderId="47" xfId="4" applyNumberFormat="1" applyFont="1" applyBorder="1" applyAlignment="1" applyProtection="1">
      <alignment horizontal="right" vertical="center"/>
      <protection locked="0"/>
    </xf>
    <xf numFmtId="167" fontId="12" fillId="0" borderId="48" xfId="4" applyNumberFormat="1" applyFont="1" applyBorder="1" applyAlignment="1" applyProtection="1">
      <alignment horizontal="right" vertical="center"/>
      <protection locked="0"/>
    </xf>
    <xf numFmtId="167" fontId="12" fillId="0" borderId="2" xfId="4" applyFont="1" applyBorder="1" applyAlignment="1" applyProtection="1">
      <alignment horizontal="right" vertical="center"/>
      <protection locked="0"/>
    </xf>
    <xf numFmtId="167" fontId="12" fillId="0" borderId="3" xfId="4" applyFont="1" applyBorder="1" applyAlignment="1" applyProtection="1">
      <alignment horizontal="right" vertical="center"/>
      <protection locked="0"/>
    </xf>
    <xf numFmtId="167" fontId="12" fillId="0" borderId="15" xfId="4" applyFont="1" applyBorder="1" applyAlignment="1" applyProtection="1">
      <alignment horizontal="right" vertical="center"/>
      <protection locked="0"/>
    </xf>
    <xf numFmtId="167" fontId="7" fillId="3" borderId="4" xfId="4" applyFont="1" applyFill="1" applyBorder="1" applyAlignment="1" applyProtection="1">
      <alignment horizontal="right" vertical="center"/>
    </xf>
    <xf numFmtId="167" fontId="12" fillId="0" borderId="40" xfId="4" applyFont="1" applyBorder="1" applyAlignment="1" applyProtection="1">
      <alignment horizontal="right" vertical="center"/>
      <protection locked="0"/>
    </xf>
    <xf numFmtId="167" fontId="12" fillId="0" borderId="41" xfId="4" applyFont="1" applyBorder="1" applyAlignment="1" applyProtection="1">
      <alignment horizontal="right" vertical="center"/>
      <protection locked="0"/>
    </xf>
    <xf numFmtId="167" fontId="12" fillId="0" borderId="42" xfId="4" applyFont="1" applyBorder="1" applyAlignment="1" applyProtection="1">
      <alignment horizontal="right" vertical="center"/>
      <protection locked="0"/>
    </xf>
    <xf numFmtId="167" fontId="7" fillId="3" borderId="38" xfId="4" applyFont="1" applyFill="1" applyBorder="1" applyAlignment="1" applyProtection="1">
      <alignment horizontal="right" vertical="center"/>
    </xf>
    <xf numFmtId="167" fontId="7" fillId="3" borderId="38" xfId="4" applyFont="1" applyFill="1" applyBorder="1" applyAlignment="1">
      <alignment vertical="center"/>
    </xf>
    <xf numFmtId="167" fontId="7" fillId="3" borderId="6" xfId="4" applyNumberFormat="1" applyFont="1" applyFill="1" applyBorder="1" applyAlignment="1" applyProtection="1">
      <alignment vertical="center"/>
      <protection locked="0"/>
    </xf>
    <xf numFmtId="167" fontId="7" fillId="3" borderId="6" xfId="4" applyFont="1" applyFill="1" applyBorder="1" applyAlignment="1" applyProtection="1">
      <alignment vertical="center"/>
      <protection locked="0"/>
    </xf>
    <xf numFmtId="167" fontId="12" fillId="0" borderId="46" xfId="4" applyFont="1" applyBorder="1" applyAlignment="1" applyProtection="1">
      <alignment horizontal="right" vertical="center"/>
      <protection locked="0"/>
    </xf>
    <xf numFmtId="167" fontId="12" fillId="0" borderId="47" xfId="4" applyFont="1" applyBorder="1" applyAlignment="1" applyProtection="1">
      <alignment horizontal="right" vertical="center"/>
      <protection locked="0"/>
    </xf>
    <xf numFmtId="167" fontId="12" fillId="0" borderId="48" xfId="4" applyFont="1" applyBorder="1" applyAlignment="1" applyProtection="1">
      <alignment horizontal="right" vertical="center"/>
      <protection locked="0"/>
    </xf>
    <xf numFmtId="0" fontId="11" fillId="0" borderId="0" xfId="2" applyAlignment="1">
      <alignment horizontal="right"/>
    </xf>
    <xf numFmtId="7" fontId="9" fillId="3" borderId="12" xfId="0" applyNumberFormat="1" applyFont="1" applyFill="1" applyBorder="1" applyAlignment="1">
      <alignment horizontal="right" vertical="center"/>
    </xf>
    <xf numFmtId="7" fontId="9" fillId="3" borderId="14" xfId="0" applyNumberFormat="1" applyFont="1" applyFill="1" applyBorder="1" applyAlignment="1">
      <alignment horizontal="right" vertical="center"/>
    </xf>
    <xf numFmtId="7" fontId="9" fillId="3" borderId="13" xfId="0" applyNumberFormat="1" applyFont="1" applyFill="1" applyBorder="1" applyAlignment="1">
      <alignment horizontal="right" vertical="center"/>
    </xf>
    <xf numFmtId="0" fontId="15" fillId="0" borderId="0" xfId="1" applyFont="1" applyAlignment="1">
      <alignment horizontal="left"/>
    </xf>
    <xf numFmtId="0" fontId="3" fillId="0" borderId="0" xfId="0" applyFont="1" applyBorder="1" applyAlignment="1">
      <alignment horizontal="center"/>
    </xf>
    <xf numFmtId="0" fontId="6" fillId="4" borderId="56" xfId="0" applyFont="1" applyFill="1" applyBorder="1" applyAlignment="1">
      <alignment horizontal="center" vertical="center"/>
    </xf>
    <xf numFmtId="0" fontId="6" fillId="4" borderId="57"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6" xfId="0" applyFont="1" applyFill="1" applyBorder="1" applyAlignment="1">
      <alignment horizontal="center" vertical="center"/>
    </xf>
    <xf numFmtId="0" fontId="6" fillId="4" borderId="25"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2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17" fillId="0" borderId="0" xfId="1" applyFont="1" applyAlignment="1">
      <alignment horizontal="left"/>
    </xf>
    <xf numFmtId="0" fontId="3" fillId="0" borderId="0" xfId="0" applyNumberFormat="1" applyFont="1" applyBorder="1" applyAlignment="1">
      <alignment horizontal="center"/>
    </xf>
    <xf numFmtId="0" fontId="3" fillId="0" borderId="0" xfId="0" applyFont="1" applyAlignment="1">
      <alignment horizontal="right" vertical="center" indent="3"/>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5" builtinId="3" customBuiltin="1"/>
    <cellStyle name="Milliers [0]" xfId="6" builtinId="6" customBuiltin="1"/>
    <cellStyle name="Monétaire" xfId="4" builtinId="4" customBuiltin="1"/>
    <cellStyle name="Monétaire [0]" xfId="7" builtinId="7" customBuiltin="1"/>
    <cellStyle name="Neutre" xfId="13" builtinId="28" customBuiltin="1"/>
    <cellStyle name="Normal" xfId="0" builtinId="0" customBuiltin="1"/>
    <cellStyle name="Note" xfId="20" builtinId="10" customBuiltin="1"/>
    <cellStyle name="Pourcentage" xfId="8" builtinId="5" customBuiltin="1"/>
    <cellStyle name="Satisfaisant" xfId="11" builtinId="26" customBuiltin="1"/>
    <cellStyle name="Sortie" xfId="15" builtinId="21" customBuiltin="1"/>
    <cellStyle name="Texte explicatif" xfId="21" builtinId="53" customBuiltin="1"/>
    <cellStyle name="Titre" xfId="9" builtinId="15" customBuiltin="1"/>
    <cellStyle name="Titre 1" xfId="1" builtinId="16" customBuiltin="1"/>
    <cellStyle name="Titre 2" xfId="2" builtinId="17" customBuiltin="1"/>
    <cellStyle name="Titre 3" xfId="3" builtinId="18" customBuiltin="1"/>
    <cellStyle name="Titre 4" xfId="10" builtinId="19" customBuiltin="1"/>
    <cellStyle name="Total" xfId="22" builtinId="25" customBuiltin="1"/>
    <cellStyle name="Vérification" xfId="18" builtinId="23" customBuiltin="1"/>
  </cellStyles>
  <dxfs count="583">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
      <font>
        <color theme="0" tint="-0.24994659260841701"/>
      </font>
      <border>
        <vertical/>
        <horizontal/>
      </border>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tint="-0.24994659260841701"/>
      </font>
    </dxf>
    <dxf>
      <font>
        <color theme="0" tint="-0.24994659260841701"/>
      </font>
      <border>
        <vertical/>
        <horizontal/>
      </border>
    </dxf>
    <dxf>
      <font>
        <color theme="0"/>
      </font>
      <fill>
        <patternFill>
          <bgColor theme="4" tint="-0.499984740745262"/>
        </patternFill>
      </fill>
      <border>
        <vertical/>
        <horizontal/>
      </border>
    </dxf>
    <dxf>
      <font>
        <color theme="0"/>
      </font>
      <fill>
        <patternFill>
          <bgColor theme="4" tint="-0.499984740745262"/>
        </patternFill>
      </fill>
    </dxf>
    <dxf>
      <font>
        <color theme="0" tint="-0.24994659260841701"/>
      </font>
    </dxf>
    <dxf>
      <font>
        <color theme="0" tint="-0.24994659260841701"/>
      </font>
      <border>
        <vertical/>
        <horizontal/>
      </border>
    </dxf>
    <dxf>
      <font>
        <color theme="0" tint="-0.24994659260841701"/>
      </font>
      <border>
        <vertical/>
        <horizontal/>
      </border>
    </dxf>
    <dxf>
      <font>
        <color theme="0"/>
      </font>
      <fill>
        <patternFill>
          <bgColor theme="4" tint="-0.499984740745262"/>
        </patternFill>
      </fill>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128496</xdr:rowOff>
    </xdr:from>
    <xdr:to>
      <xdr:col>8</xdr:col>
      <xdr:colOff>380999</xdr:colOff>
      <xdr:row>2</xdr:row>
      <xdr:rowOff>261847</xdr:rowOff>
    </xdr:to>
    <xdr:sp macro="" textlink="">
      <xdr:nvSpPr>
        <xdr:cNvPr id="2" name="Conseil" descr="CONSEIL : Modifiez l’année dans la cellule B1 pour mettre à jour l’année civile.">
          <a:extLst>
            <a:ext uri="{FF2B5EF4-FFF2-40B4-BE49-F238E27FC236}">
              <a16:creationId xmlns:a16="http://schemas.microsoft.com/office/drawing/2014/main" id="{00000000-0008-0000-0000-000002000000}"/>
            </a:ext>
          </a:extLst>
        </xdr:cNvPr>
        <xdr:cNvSpPr/>
      </xdr:nvSpPr>
      <xdr:spPr>
        <a:xfrm>
          <a:off x="3800116" y="128496"/>
          <a:ext cx="2026308" cy="735403"/>
        </a:xfrm>
        <a:prstGeom prst="wedgeRectCallout">
          <a:avLst>
            <a:gd name="adj1" fmla="val -49994"/>
            <a:gd name="adj2" fmla="val -25238"/>
          </a:avLst>
        </a:prstGeom>
        <a:solidFill>
          <a:schemeClr val="bg1"/>
        </a:solidFill>
        <a:ln w="635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rtl="0"/>
          <a:r>
            <a:rPr lang="fr-ca" sz="1000">
              <a:solidFill>
                <a:schemeClr val="tx2"/>
              </a:solidFill>
              <a:latin typeface="Arial" panose="020B0604020202020204" pitchFamily="34" charset="0"/>
            </a:rPr>
            <a:t>CONSEIL :</a:t>
          </a:r>
          <a:r>
            <a:rPr lang="fr-ca" sz="1000" baseline="0">
              <a:solidFill>
                <a:schemeClr val="tx2"/>
              </a:solidFill>
              <a:latin typeface="Arial" panose="020B0604020202020204" pitchFamily="34" charset="0"/>
            </a:rPr>
            <a:t> Modifier l’année dans la cellule B1 pour mettre à jour l’année civile.</a:t>
          </a:r>
          <a:endParaRPr lang="en-US" sz="1000">
            <a:solidFill>
              <a:schemeClr val="tx2"/>
            </a:solidFill>
            <a:latin typeface="Arial" panose="020B0604020202020204" pitchFamily="34" charset="0"/>
          </a:endParaRPr>
        </a:p>
      </xdr:txBody>
    </xdr:sp>
    <xdr:clientData fPrintsWithSheet="0"/>
  </xdr:twoCellAnchor>
</xdr:wsDr>
</file>

<file path=xl/theme/theme1.xml><?xml version="1.0" encoding="utf-8"?>
<a:theme xmlns:a="http://schemas.openxmlformats.org/drawingml/2006/main" name="Tradeshow">
  <a:themeElements>
    <a:clrScheme name="Expense Calendar">
      <a:dk1>
        <a:srgbClr val="000000"/>
      </a:dk1>
      <a:lt1>
        <a:srgbClr val="FFFFFF"/>
      </a:lt1>
      <a:dk2>
        <a:srgbClr val="635C50"/>
      </a:dk2>
      <a:lt2>
        <a:srgbClr val="E8E7E5"/>
      </a:lt2>
      <a:accent1>
        <a:srgbClr val="84C183"/>
      </a:accent1>
      <a:accent2>
        <a:srgbClr val="F4D647"/>
      </a:accent2>
      <a:accent3>
        <a:srgbClr val="82CECC"/>
      </a:accent3>
      <a:accent4>
        <a:srgbClr val="FFAD2E"/>
      </a:accent4>
      <a:accent5>
        <a:srgbClr val="E67342"/>
      </a:accent5>
      <a:accent6>
        <a:srgbClr val="B580A1"/>
      </a:accent6>
      <a:hlink>
        <a:srgbClr val="82CECC"/>
      </a:hlink>
      <a:folHlink>
        <a:srgbClr val="B580A1"/>
      </a:folHlink>
    </a:clrScheme>
    <a:fontScheme name="Expense Calendar">
      <a:majorFont>
        <a:latin typeface="Bookman Old Style"/>
        <a:ea typeface=""/>
        <a:cs typeface=""/>
      </a:majorFont>
      <a:minorFont>
        <a:latin typeface="Arial"/>
        <a:ea typeface=""/>
        <a:cs typeface=""/>
      </a:minorFont>
    </a:fontScheme>
    <a:fmtScheme name="Tradeshow">
      <a:fillStyleLst>
        <a:solidFill>
          <a:schemeClr val="phClr"/>
        </a:solidFill>
        <a:gradFill rotWithShape="1">
          <a:gsLst>
            <a:gs pos="0">
              <a:schemeClr val="phClr">
                <a:tint val="45000"/>
                <a:satMod val="300000"/>
              </a:schemeClr>
            </a:gs>
            <a:gs pos="35000">
              <a:schemeClr val="phClr">
                <a:tint val="45000"/>
                <a:satMod val="300000"/>
              </a:schemeClr>
            </a:gs>
            <a:gs pos="69000">
              <a:schemeClr val="phClr">
                <a:tint val="45000"/>
                <a:satMod val="350000"/>
              </a:schemeClr>
            </a:gs>
            <a:gs pos="100000">
              <a:schemeClr val="phClr">
                <a:tint val="60000"/>
                <a:satMod val="350000"/>
              </a:schemeClr>
            </a:gs>
          </a:gsLst>
          <a:path path="circle">
            <a:fillToRect l="50000" t="50000" r="100000" b="100000"/>
          </a:path>
        </a:gradFill>
        <a:gradFill rotWithShape="1">
          <a:gsLst>
            <a:gs pos="0">
              <a:schemeClr val="phClr">
                <a:shade val="47500"/>
                <a:satMod val="137000"/>
              </a:schemeClr>
            </a:gs>
            <a:gs pos="55000">
              <a:schemeClr val="phClr">
                <a:shade val="69000"/>
                <a:satMod val="137000"/>
              </a:schemeClr>
            </a:gs>
            <a:gs pos="100000">
              <a:schemeClr val="phClr">
                <a:shade val="98000"/>
                <a:satMod val="137000"/>
              </a:schemeClr>
            </a:gs>
          </a:gsLst>
          <a:lin ang="16200000" scaled="0"/>
        </a:gradFill>
      </a:fillStyleLst>
      <a:lnStyleLst>
        <a:ln w="9525" cap="rnd" cmpd="sng" algn="ctr">
          <a:solidFill>
            <a:schemeClr val="phClr"/>
          </a:solidFill>
          <a:prstDash val="solid"/>
        </a:ln>
        <a:ln w="38475" cap="flat" cmpd="sng" algn="ctr">
          <a:solidFill>
            <a:schemeClr val="phClr"/>
          </a:solidFill>
          <a:prstDash val="solid"/>
        </a:ln>
        <a:ln w="54850" cap="flat" cmpd="sng" algn="ctr">
          <a:solidFill>
            <a:schemeClr val="phClr"/>
          </a:solidFill>
          <a:prstDash val="solid"/>
        </a:ln>
      </a:lnStyleLst>
      <a:effectStyleLst>
        <a:effectStyle>
          <a:effectLst>
            <a:outerShdw blurRad="50800" dist="25400" dir="5400000" rotWithShape="0">
              <a:srgbClr val="000000">
                <a:alpha val="55000"/>
              </a:srgbClr>
            </a:outerShdw>
          </a:effectLst>
        </a:effectStyle>
        <a:effectStyle>
          <a:effectLst>
            <a:outerShdw blurRad="50800" dist="25400" dir="5400000" rotWithShape="0">
              <a:srgbClr val="000000">
                <a:alpha val="44000"/>
              </a:srgbClr>
            </a:outerShdw>
          </a:effectLst>
        </a:effectStyle>
        <a:effectStyle>
          <a:effectLst>
            <a:outerShdw blurRad="50800" dist="25400" dir="5400000" rotWithShape="0">
              <a:srgbClr val="000000">
                <a:alpha val="55000"/>
              </a:srgbClr>
            </a:outerShdw>
          </a:effectLst>
          <a:scene3d>
            <a:camera prst="orthographicFront">
              <a:rot lat="0" lon="0" rev="0"/>
            </a:camera>
            <a:lightRig rig="brightRoom" dir="tl">
              <a:rot lat="0" lon="0" rev="3600000"/>
            </a:lightRig>
          </a:scene3d>
          <a:sp3d contourW="31750" prstMaterial="flat">
            <a:bevelT w="127000" h="254000" prst="angle"/>
            <a:contourClr>
              <a:schemeClr val="phClr">
                <a:shade val="20000"/>
              </a:schemeClr>
            </a:contourClr>
          </a:sp3d>
        </a:effectStyle>
      </a:effectStyleLst>
      <a:bgFillStyleLst>
        <a:solidFill>
          <a:schemeClr val="phClr"/>
        </a:solidFill>
        <a:gradFill rotWithShape="1">
          <a:gsLst>
            <a:gs pos="20000">
              <a:schemeClr val="phClr">
                <a:tint val="80000"/>
                <a:lumMod val="100000"/>
              </a:schemeClr>
            </a:gs>
            <a:gs pos="100000">
              <a:schemeClr val="phClr">
                <a:tint val="100000"/>
                <a:lumMod val="80000"/>
              </a:schemeClr>
            </a:gs>
          </a:gsLst>
          <a:path path="circle">
            <a:fillToRect l="50000" t="20000" r="100000" b="100000"/>
          </a:path>
        </a:gradFill>
        <a:gradFill rotWithShape="1">
          <a:gsLst>
            <a:gs pos="0">
              <a:schemeClr val="phClr">
                <a:tint val="100000"/>
                <a:lumMod val="100000"/>
              </a:schemeClr>
            </a:gs>
            <a:gs pos="100000">
              <a:schemeClr val="phClr">
                <a:shade val="100000"/>
                <a:lumMod val="60000"/>
              </a:schemeClr>
            </a:gs>
          </a:gsLst>
          <a:path path="circle">
            <a:fillToRect l="50000" t="2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sheetPr>
  <dimension ref="B1:B6"/>
  <sheetViews>
    <sheetView showGridLines="0" tabSelected="1" workbookViewId="0"/>
  </sheetViews>
  <sheetFormatPr baseColWidth="10" defaultColWidth="9.33203125" defaultRowHeight="11.25" x14ac:dyDescent="0.2"/>
  <cols>
    <col min="1" max="1" width="2.83203125" customWidth="1"/>
    <col min="2" max="2" width="80.83203125" customWidth="1"/>
    <col min="3" max="3" width="2.83203125" customWidth="1"/>
  </cols>
  <sheetData>
    <row r="1" spans="2:2" ht="20.25" x14ac:dyDescent="0.2">
      <c r="B1" s="42" t="s">
        <v>0</v>
      </c>
    </row>
    <row r="2" spans="2:2" ht="30" customHeight="1" x14ac:dyDescent="0.2">
      <c r="B2" s="41" t="s">
        <v>1</v>
      </c>
    </row>
    <row r="3" spans="2:2" ht="30" customHeight="1" x14ac:dyDescent="0.2">
      <c r="B3" s="41" t="s">
        <v>2</v>
      </c>
    </row>
    <row r="4" spans="2:2" ht="30" customHeight="1" x14ac:dyDescent="0.2">
      <c r="B4" s="41" t="s">
        <v>3</v>
      </c>
    </row>
    <row r="5" spans="2:2" ht="30" customHeight="1" x14ac:dyDescent="0.2">
      <c r="B5" s="41" t="s">
        <v>4</v>
      </c>
    </row>
    <row r="6" spans="2:2" ht="75" x14ac:dyDescent="0.2">
      <c r="B6" s="41" t="s">
        <v>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sheetPr>
  <dimension ref="A1:P697"/>
  <sheetViews>
    <sheetView showGridLines="0" zoomScale="106" zoomScaleNormal="106" workbookViewId="0"/>
  </sheetViews>
  <sheetFormatPr baseColWidth="10" defaultColWidth="9.33203125" defaultRowHeight="11.25" x14ac:dyDescent="0.2"/>
  <cols>
    <col min="1" max="1" width="2.83203125" style="43" customWidth="1"/>
    <col min="2" max="2" width="13.1640625" style="49" customWidth="1"/>
    <col min="3" max="3" width="13.1640625" style="5" customWidth="1"/>
    <col min="4" max="4" width="13.1640625" style="1" customWidth="1"/>
    <col min="5" max="5" width="13.1640625" style="5" customWidth="1"/>
    <col min="6" max="6" width="13.1640625" style="1" customWidth="1"/>
    <col min="7" max="7" width="13.1640625" style="5" customWidth="1"/>
    <col min="8" max="8" width="13.1640625" style="1" customWidth="1"/>
    <col min="9" max="9" width="13.1640625" style="5" customWidth="1"/>
    <col min="10" max="10" width="13.1640625" style="1" customWidth="1"/>
    <col min="11" max="11" width="13.1640625" style="5" customWidth="1"/>
    <col min="12" max="12" width="13.1640625" style="1" customWidth="1"/>
    <col min="13" max="13" width="13.1640625" style="5" customWidth="1"/>
    <col min="14" max="14" width="13.1640625" style="1" customWidth="1"/>
    <col min="15" max="15" width="13.1640625" style="5" customWidth="1"/>
    <col min="16" max="16" width="21" style="1" bestFit="1" customWidth="1"/>
    <col min="17" max="17" width="2.83203125" customWidth="1"/>
  </cols>
  <sheetData>
    <row r="1" spans="1:16" ht="18" customHeight="1" x14ac:dyDescent="0.25">
      <c r="A1" s="43" t="s">
        <v>6</v>
      </c>
      <c r="B1" s="52">
        <f ca="1">YEAR(TODAY())</f>
        <v>2019</v>
      </c>
      <c r="C1" s="30" t="s">
        <v>358</v>
      </c>
      <c r="D1" s="30"/>
      <c r="E1" s="30"/>
      <c r="F1" s="30"/>
      <c r="G1" s="31"/>
      <c r="H1" s="29"/>
      <c r="I1" s="31"/>
      <c r="J1" s="29"/>
      <c r="K1" s="31"/>
      <c r="L1" s="29"/>
      <c r="M1" s="31"/>
      <c r="N1" s="29"/>
      <c r="O1" s="31"/>
      <c r="P1" s="29"/>
    </row>
    <row r="2" spans="1:16" ht="30" customHeight="1" x14ac:dyDescent="0.2">
      <c r="A2" s="43" t="s">
        <v>7</v>
      </c>
      <c r="B2" s="85" t="s">
        <v>343</v>
      </c>
      <c r="C2" s="85"/>
      <c r="D2" s="85"/>
      <c r="E2" s="85"/>
      <c r="F2"/>
      <c r="G2" s="99" t="s">
        <v>363</v>
      </c>
      <c r="H2" s="99"/>
      <c r="I2" s="4"/>
      <c r="J2"/>
      <c r="K2" s="4"/>
      <c r="L2" s="81" t="s">
        <v>369</v>
      </c>
      <c r="M2" s="81"/>
      <c r="N2" s="81" t="s">
        <v>371</v>
      </c>
      <c r="O2" s="81"/>
      <c r="P2"/>
    </row>
    <row r="3" spans="1:16" ht="25.5" customHeight="1" x14ac:dyDescent="0.2">
      <c r="A3" s="43" t="s">
        <v>8</v>
      </c>
      <c r="B3" s="85"/>
      <c r="C3" s="85"/>
      <c r="D3" s="85"/>
      <c r="E3" s="85"/>
      <c r="F3" s="3" t="str">
        <f ca="1">IFERROR(WEEKDAY(DATEVALUE(B2&amp;" 1, "&amp;Year1)),"")</f>
        <v/>
      </c>
      <c r="G3" s="99"/>
      <c r="H3" s="99"/>
      <c r="I3" s="6"/>
      <c r="J3" s="45"/>
      <c r="K3" s="4"/>
      <c r="L3" s="82">
        <f ca="1">SUM(P13,P22,P31,P40,P49,P58)</f>
        <v>239.95</v>
      </c>
      <c r="M3" s="83"/>
      <c r="N3" s="82">
        <f ca="1">SUM(P:P)</f>
        <v>439.95</v>
      </c>
      <c r="O3" s="84"/>
      <c r="P3"/>
    </row>
    <row r="4" spans="1:16" ht="9" customHeight="1" x14ac:dyDescent="0.2">
      <c r="A4" s="43" t="s">
        <v>9</v>
      </c>
      <c r="B4" s="86">
        <v>1</v>
      </c>
      <c r="C4" s="86"/>
      <c r="D4" s="86">
        <v>2</v>
      </c>
      <c r="E4" s="86"/>
      <c r="F4" s="86">
        <v>3</v>
      </c>
      <c r="G4" s="86"/>
      <c r="H4" s="86">
        <v>4</v>
      </c>
      <c r="I4" s="86"/>
      <c r="J4" s="86">
        <v>5</v>
      </c>
      <c r="K4" s="86"/>
      <c r="L4" s="86">
        <v>6</v>
      </c>
      <c r="M4" s="86"/>
      <c r="N4" s="86">
        <v>7</v>
      </c>
      <c r="O4" s="86"/>
      <c r="P4" s="2"/>
    </row>
    <row r="5" spans="1:16" ht="15" customHeight="1" x14ac:dyDescent="0.2">
      <c r="A5" s="43" t="s">
        <v>10</v>
      </c>
      <c r="B5" s="87" t="s">
        <v>372</v>
      </c>
      <c r="C5" s="88"/>
      <c r="D5" s="89" t="s">
        <v>344</v>
      </c>
      <c r="E5" s="90"/>
      <c r="F5" s="91" t="s">
        <v>360</v>
      </c>
      <c r="G5" s="90" t="e">
        <f ca="1">IF(WEEKDAY(DATEVALUE(Month1&amp;" 1, "&amp;Year1))=COLUMN(#REF!),1,IF(LEN(E5)&gt;0,E5+1,""))</f>
        <v>#VALUE!</v>
      </c>
      <c r="H5" s="92" t="s">
        <v>361</v>
      </c>
      <c r="I5" s="92" t="e">
        <f ca="1">IF(WEEKDAY(DATEVALUE(Month1&amp;" 1, "&amp;Year1))=COLUMN(#REF!),1,IF(LEN(G5)&gt;0,G5+1,""))</f>
        <v>#VALUE!</v>
      </c>
      <c r="J5" s="91" t="s">
        <v>364</v>
      </c>
      <c r="K5" s="90" t="e">
        <f ca="1">IF(WEEKDAY(DATEVALUE(Month1&amp;" 1, "&amp;Year1))=COLUMN(#REF!),1,IF(LEN(I5)&gt;0,I5+1,""))</f>
        <v>#VALUE!</v>
      </c>
      <c r="L5" s="93" t="s">
        <v>368</v>
      </c>
      <c r="M5" s="94" t="e">
        <f ca="1">IF(WEEKDAY(DATEVALUE(Month1&amp;" 1, "&amp;Year1))=COLUMN(#REF!),1,IF(LEN(K5)&gt;0,K5+1,""))</f>
        <v>#VALUE!</v>
      </c>
      <c r="N5" s="95" t="s">
        <v>370</v>
      </c>
      <c r="O5" s="96" t="e">
        <f ca="1">IF(WEEKDAY(DATEVALUE(Month1&amp;" 1, "&amp;Year1))=COLUMN(#REF!),1,IF(LEN(M5)&gt;0,M5+1,""))</f>
        <v>#VALUE!</v>
      </c>
      <c r="P5" s="32" t="s">
        <v>373</v>
      </c>
    </row>
    <row r="6" spans="1:16" ht="15" customHeight="1" x14ac:dyDescent="0.2">
      <c r="A6" s="43" t="s">
        <v>11</v>
      </c>
      <c r="B6" s="11">
        <f ca="1">DAY(IF(DAY(JanSun1)=1,JanSun1-6,JanSun1+1))</f>
        <v>30</v>
      </c>
      <c r="C6" s="13"/>
      <c r="D6" s="18">
        <f ca="1">DAY(IF(DAY(JanSun1)=1,JanSun1-5,JanSun1+2))</f>
        <v>31</v>
      </c>
      <c r="E6" s="13"/>
      <c r="F6" s="18">
        <f ca="1">DAY(IF(DAY(JanSun1)=1,JanSun1-4,JanSun1+3))</f>
        <v>1</v>
      </c>
      <c r="G6" s="13"/>
      <c r="H6" s="18">
        <f ca="1">DAY(IF(DAY(JanSun1)=1,JanSun1-3,JanSun1+4))</f>
        <v>2</v>
      </c>
      <c r="I6" s="13"/>
      <c r="J6" s="18">
        <f ca="1">DAY(IF(DAY(JanSun1)=1,JanSun1-2,JanSun1+5))</f>
        <v>3</v>
      </c>
      <c r="K6" s="13"/>
      <c r="L6" s="18">
        <f ca="1">DAY(IF(DAY(JanSun1)=1,JanSun1-1,JanSun1+6))</f>
        <v>4</v>
      </c>
      <c r="M6" s="13"/>
      <c r="N6" s="22">
        <f ca="1">DAY(IF(DAY(JanSun1)=1,JanSun1,JanSun1+7))</f>
        <v>5</v>
      </c>
      <c r="O6" s="12"/>
      <c r="P6" s="26"/>
    </row>
    <row r="7" spans="1:16" ht="11.25" customHeight="1" x14ac:dyDescent="0.2">
      <c r="A7" s="43" t="s">
        <v>12</v>
      </c>
      <c r="B7" s="39" t="s">
        <v>345</v>
      </c>
      <c r="C7" s="34" t="s">
        <v>359</v>
      </c>
      <c r="D7" s="33" t="s">
        <v>345</v>
      </c>
      <c r="E7" s="34" t="s">
        <v>359</v>
      </c>
      <c r="F7" s="33" t="s">
        <v>345</v>
      </c>
      <c r="G7" s="34" t="s">
        <v>359</v>
      </c>
      <c r="H7" s="33" t="s">
        <v>345</v>
      </c>
      <c r="I7" s="34" t="s">
        <v>359</v>
      </c>
      <c r="J7" s="33" t="s">
        <v>345</v>
      </c>
      <c r="K7" s="34" t="s">
        <v>359</v>
      </c>
      <c r="L7" s="33" t="s">
        <v>345</v>
      </c>
      <c r="M7" s="34" t="s">
        <v>359</v>
      </c>
      <c r="N7" s="35" t="s">
        <v>345</v>
      </c>
      <c r="O7" s="36" t="s">
        <v>359</v>
      </c>
      <c r="P7" s="51"/>
    </row>
    <row r="8" spans="1:16" ht="11.25" customHeight="1" x14ac:dyDescent="0.2">
      <c r="A8" s="43" t="s">
        <v>13</v>
      </c>
      <c r="B8" s="14"/>
      <c r="C8" s="55"/>
      <c r="D8" s="17"/>
      <c r="E8" s="55"/>
      <c r="F8" s="14"/>
      <c r="G8" s="55"/>
      <c r="H8" s="14" t="s">
        <v>362</v>
      </c>
      <c r="I8" s="55">
        <v>150</v>
      </c>
      <c r="J8" s="14" t="s">
        <v>365</v>
      </c>
      <c r="K8" s="55">
        <v>85</v>
      </c>
      <c r="L8" s="14"/>
      <c r="M8" s="55"/>
      <c r="N8" s="14"/>
      <c r="O8" s="59"/>
      <c r="P8" s="51"/>
    </row>
    <row r="9" spans="1:16" ht="11.25" customHeight="1" x14ac:dyDescent="0.2">
      <c r="B9" s="15"/>
      <c r="C9" s="56"/>
      <c r="D9" s="15"/>
      <c r="E9" s="56"/>
      <c r="F9" s="15"/>
      <c r="G9" s="56"/>
      <c r="H9" s="15"/>
      <c r="I9" s="56"/>
      <c r="J9" s="15" t="s">
        <v>366</v>
      </c>
      <c r="K9" s="56">
        <v>4.95</v>
      </c>
      <c r="L9" s="15"/>
      <c r="M9" s="56"/>
      <c r="N9" s="15"/>
      <c r="O9" s="60"/>
      <c r="P9" s="51"/>
    </row>
    <row r="10" spans="1:16" ht="11.25" customHeight="1" x14ac:dyDescent="0.2">
      <c r="B10" s="15"/>
      <c r="C10" s="56"/>
      <c r="D10" s="15"/>
      <c r="E10" s="56"/>
      <c r="F10" s="15"/>
      <c r="G10" s="56"/>
      <c r="H10" s="15"/>
      <c r="I10" s="56"/>
      <c r="J10" s="15"/>
      <c r="K10" s="56"/>
      <c r="L10" s="15"/>
      <c r="M10" s="56"/>
      <c r="N10" s="15"/>
      <c r="O10" s="60"/>
      <c r="P10" s="51"/>
    </row>
    <row r="11" spans="1:16" ht="11.25" customHeight="1" x14ac:dyDescent="0.2">
      <c r="B11" s="15"/>
      <c r="C11" s="56"/>
      <c r="D11" s="15"/>
      <c r="E11" s="56"/>
      <c r="F11" s="15"/>
      <c r="G11" s="56"/>
      <c r="H11" s="15"/>
      <c r="I11" s="56"/>
      <c r="J11" s="15"/>
      <c r="K11" s="56"/>
      <c r="L11" s="15"/>
      <c r="M11" s="56"/>
      <c r="N11" s="15"/>
      <c r="O11" s="60"/>
      <c r="P11" s="51"/>
    </row>
    <row r="12" spans="1:16" ht="11.25" customHeight="1" x14ac:dyDescent="0.2">
      <c r="B12" s="16"/>
      <c r="C12" s="57"/>
      <c r="D12" s="16"/>
      <c r="E12" s="57"/>
      <c r="F12" s="16"/>
      <c r="G12" s="57"/>
      <c r="H12" s="16"/>
      <c r="I12" s="57"/>
      <c r="J12" s="16"/>
      <c r="K12" s="57"/>
      <c r="L12" s="16"/>
      <c r="M12" s="57"/>
      <c r="N12" s="16"/>
      <c r="O12" s="61"/>
      <c r="P12" s="51"/>
    </row>
    <row r="13" spans="1:16" ht="11.25" customHeight="1" x14ac:dyDescent="0.2">
      <c r="A13" s="43" t="s">
        <v>14</v>
      </c>
      <c r="B13" s="53" t="s">
        <v>346</v>
      </c>
      <c r="C13" s="70">
        <f>SUM(C8:C12)</f>
        <v>0</v>
      </c>
      <c r="D13" s="77"/>
      <c r="E13" s="70">
        <f>SUM(E8:E12)</f>
        <v>0</v>
      </c>
      <c r="F13" s="77"/>
      <c r="G13" s="70">
        <f>SUM(G8:G12)</f>
        <v>0</v>
      </c>
      <c r="H13" s="77"/>
      <c r="I13" s="70">
        <f>SUM(I8:I12)</f>
        <v>150</v>
      </c>
      <c r="J13" s="77"/>
      <c r="K13" s="70">
        <f>SUM(K8:K12)</f>
        <v>89.95</v>
      </c>
      <c r="L13" s="77"/>
      <c r="M13" s="70">
        <f>SUM(M8:M12)</f>
        <v>0</v>
      </c>
      <c r="N13" s="77"/>
      <c r="O13" s="74">
        <f>SUM(O8:O12)</f>
        <v>0</v>
      </c>
      <c r="P13" s="75">
        <f ca="1">SUMIF(B6:N6,"&lt;8",C13:O13)</f>
        <v>239.95</v>
      </c>
    </row>
    <row r="14" spans="1:16" s="45" customFormat="1" ht="11.25" customHeight="1" x14ac:dyDescent="0.2">
      <c r="A14" s="46"/>
      <c r="C14" s="6"/>
      <c r="D14" s="6"/>
      <c r="E14" s="6"/>
      <c r="F14" s="6"/>
      <c r="G14" s="6"/>
      <c r="H14" s="6"/>
      <c r="I14" s="6"/>
      <c r="J14" s="6"/>
      <c r="K14" s="6"/>
      <c r="L14" s="6"/>
      <c r="M14" s="6"/>
      <c r="N14" s="6"/>
      <c r="O14" s="6"/>
    </row>
    <row r="15" spans="1:16" ht="15" customHeight="1" x14ac:dyDescent="0.2">
      <c r="A15" s="43" t="s">
        <v>15</v>
      </c>
      <c r="B15" s="9">
        <f ca="1">N6+1</f>
        <v>6</v>
      </c>
      <c r="C15" s="10"/>
      <c r="D15" s="9">
        <f ca="1">B15+1</f>
        <v>7</v>
      </c>
      <c r="E15" s="10"/>
      <c r="F15" s="9">
        <f ca="1">D15+1</f>
        <v>8</v>
      </c>
      <c r="G15" s="10"/>
      <c r="H15" s="9">
        <f ca="1">F15+1</f>
        <v>9</v>
      </c>
      <c r="I15" s="10"/>
      <c r="J15" s="9">
        <f ca="1">H15+1</f>
        <v>10</v>
      </c>
      <c r="K15" s="10"/>
      <c r="L15" s="9">
        <f ca="1">J15+1</f>
        <v>11</v>
      </c>
      <c r="M15" s="10"/>
      <c r="N15" s="9">
        <f ca="1">L15+1</f>
        <v>12</v>
      </c>
      <c r="O15" s="10"/>
      <c r="P15" s="27"/>
    </row>
    <row r="16" spans="1:16" ht="11.25" customHeight="1" x14ac:dyDescent="0.2">
      <c r="A16" s="43" t="s">
        <v>16</v>
      </c>
      <c r="B16" s="35" t="s">
        <v>345</v>
      </c>
      <c r="C16" s="37" t="s">
        <v>359</v>
      </c>
      <c r="D16" s="35" t="s">
        <v>345</v>
      </c>
      <c r="E16" s="37" t="s">
        <v>359</v>
      </c>
      <c r="F16" s="35" t="s">
        <v>345</v>
      </c>
      <c r="G16" s="37" t="s">
        <v>359</v>
      </c>
      <c r="H16" s="35" t="s">
        <v>345</v>
      </c>
      <c r="I16" s="37" t="s">
        <v>359</v>
      </c>
      <c r="J16" s="35" t="s">
        <v>345</v>
      </c>
      <c r="K16" s="37" t="s">
        <v>359</v>
      </c>
      <c r="L16" s="35" t="s">
        <v>345</v>
      </c>
      <c r="M16" s="37" t="s">
        <v>359</v>
      </c>
      <c r="N16" s="35" t="s">
        <v>345</v>
      </c>
      <c r="O16" s="38" t="s">
        <v>359</v>
      </c>
      <c r="P16" s="51"/>
    </row>
    <row r="17" spans="1:16" ht="11.25" customHeight="1" x14ac:dyDescent="0.2">
      <c r="A17" s="43" t="s">
        <v>17</v>
      </c>
      <c r="B17" s="19"/>
      <c r="C17" s="55"/>
      <c r="D17" s="19"/>
      <c r="E17" s="55"/>
      <c r="F17" s="19"/>
      <c r="G17" s="55"/>
      <c r="H17" s="19"/>
      <c r="I17" s="55"/>
      <c r="J17" s="19"/>
      <c r="K17" s="55"/>
      <c r="L17" s="19"/>
      <c r="M17" s="55"/>
      <c r="N17" s="19"/>
      <c r="O17" s="59"/>
      <c r="P17" s="51"/>
    </row>
    <row r="18" spans="1:16" ht="11.25" customHeight="1" x14ac:dyDescent="0.2">
      <c r="B18" s="20"/>
      <c r="C18" s="56"/>
      <c r="D18" s="20"/>
      <c r="E18" s="56"/>
      <c r="F18" s="20"/>
      <c r="G18" s="56"/>
      <c r="H18" s="20"/>
      <c r="I18" s="56"/>
      <c r="J18" s="20"/>
      <c r="K18" s="56"/>
      <c r="L18" s="20"/>
      <c r="M18" s="56"/>
      <c r="N18" s="20"/>
      <c r="O18" s="60"/>
      <c r="P18" s="51"/>
    </row>
    <row r="19" spans="1:16" ht="11.25" customHeight="1" x14ac:dyDescent="0.2">
      <c r="B19" s="20"/>
      <c r="C19" s="56"/>
      <c r="D19" s="20"/>
      <c r="E19" s="56"/>
      <c r="F19" s="20"/>
      <c r="G19" s="56"/>
      <c r="H19" s="20"/>
      <c r="I19" s="56"/>
      <c r="J19" s="20"/>
      <c r="K19" s="56"/>
      <c r="L19" s="20"/>
      <c r="M19" s="56"/>
      <c r="N19" s="20"/>
      <c r="O19" s="60"/>
      <c r="P19" s="51"/>
    </row>
    <row r="20" spans="1:16" ht="11.25" customHeight="1" x14ac:dyDescent="0.2">
      <c r="B20" s="20"/>
      <c r="C20" s="56"/>
      <c r="D20" s="20"/>
      <c r="E20" s="56"/>
      <c r="F20" s="20"/>
      <c r="G20" s="56"/>
      <c r="H20" s="20"/>
      <c r="I20" s="56"/>
      <c r="J20" s="20"/>
      <c r="K20" s="56"/>
      <c r="L20" s="20"/>
      <c r="M20" s="56"/>
      <c r="N20" s="20"/>
      <c r="O20" s="60"/>
      <c r="P20" s="51"/>
    </row>
    <row r="21" spans="1:16" ht="11.25" customHeight="1" x14ac:dyDescent="0.2">
      <c r="B21" s="21"/>
      <c r="C21" s="57"/>
      <c r="D21" s="21"/>
      <c r="E21" s="57"/>
      <c r="F21" s="21"/>
      <c r="G21" s="57"/>
      <c r="H21" s="21"/>
      <c r="I21" s="57"/>
      <c r="J21" s="21"/>
      <c r="K21" s="57"/>
      <c r="L21" s="21"/>
      <c r="M21" s="57"/>
      <c r="N21" s="21"/>
      <c r="O21" s="61"/>
      <c r="P21" s="51"/>
    </row>
    <row r="22" spans="1:16" ht="11.25" customHeight="1" x14ac:dyDescent="0.2">
      <c r="A22" s="43" t="s">
        <v>18</v>
      </c>
      <c r="B22" s="53" t="s">
        <v>346</v>
      </c>
      <c r="C22" s="70">
        <f>SUM(C17:C21)</f>
        <v>0</v>
      </c>
      <c r="D22" s="77"/>
      <c r="E22" s="70">
        <f>SUM(E17:E21)</f>
        <v>0</v>
      </c>
      <c r="F22" s="77"/>
      <c r="G22" s="70">
        <f>SUM(G17:G21)</f>
        <v>0</v>
      </c>
      <c r="H22" s="77"/>
      <c r="I22" s="70">
        <f>SUM(I17:I21)</f>
        <v>0</v>
      </c>
      <c r="J22" s="77"/>
      <c r="K22" s="70">
        <f>SUM(K17:K21)</f>
        <v>0</v>
      </c>
      <c r="L22" s="77"/>
      <c r="M22" s="70">
        <f>SUM(M17:M21)</f>
        <v>0</v>
      </c>
      <c r="N22" s="77"/>
      <c r="O22" s="74">
        <f>SUM(O17:O21)</f>
        <v>0</v>
      </c>
      <c r="P22" s="75">
        <f>SUM(C22,E22,G22,I22,K22,M22,O22)</f>
        <v>0</v>
      </c>
    </row>
    <row r="23" spans="1:16" s="45" customFormat="1" ht="11.25" customHeight="1" x14ac:dyDescent="0.2">
      <c r="A23" s="46"/>
      <c r="C23" s="6"/>
      <c r="D23" s="6"/>
      <c r="E23" s="6"/>
      <c r="F23" s="6"/>
      <c r="G23" s="6"/>
      <c r="H23" s="6"/>
      <c r="I23" s="6"/>
      <c r="J23" s="6"/>
      <c r="K23" s="6"/>
      <c r="L23" s="6"/>
      <c r="M23" s="6"/>
      <c r="N23" s="6"/>
      <c r="O23" s="6"/>
    </row>
    <row r="24" spans="1:16" ht="15" customHeight="1" x14ac:dyDescent="0.2">
      <c r="A24" s="43" t="s">
        <v>19</v>
      </c>
      <c r="B24" s="9">
        <f ca="1">N15+1</f>
        <v>13</v>
      </c>
      <c r="C24" s="10"/>
      <c r="D24" s="9">
        <f ca="1">B24+1</f>
        <v>14</v>
      </c>
      <c r="E24" s="10"/>
      <c r="F24" s="9">
        <f ca="1">D24+1</f>
        <v>15</v>
      </c>
      <c r="G24" s="10"/>
      <c r="H24" s="9">
        <f ca="1">F24+1</f>
        <v>16</v>
      </c>
      <c r="I24" s="10"/>
      <c r="J24" s="9">
        <f ca="1">H24+1</f>
        <v>17</v>
      </c>
      <c r="K24" s="10"/>
      <c r="L24" s="9">
        <f ca="1">J24+1</f>
        <v>18</v>
      </c>
      <c r="M24" s="10"/>
      <c r="N24" s="9">
        <f ca="1">L24+1</f>
        <v>19</v>
      </c>
      <c r="O24" s="10"/>
      <c r="P24" s="27"/>
    </row>
    <row r="25" spans="1:16" ht="11.25" customHeight="1" x14ac:dyDescent="0.2">
      <c r="A25" s="43" t="s">
        <v>20</v>
      </c>
      <c r="B25" s="35" t="s">
        <v>345</v>
      </c>
      <c r="C25" s="37" t="s">
        <v>359</v>
      </c>
      <c r="D25" s="35" t="s">
        <v>345</v>
      </c>
      <c r="E25" s="37" t="s">
        <v>359</v>
      </c>
      <c r="F25" s="35" t="s">
        <v>345</v>
      </c>
      <c r="G25" s="37" t="s">
        <v>359</v>
      </c>
      <c r="H25" s="35" t="s">
        <v>345</v>
      </c>
      <c r="I25" s="37" t="s">
        <v>359</v>
      </c>
      <c r="J25" s="35" t="s">
        <v>345</v>
      </c>
      <c r="K25" s="37" t="s">
        <v>359</v>
      </c>
      <c r="L25" s="35" t="s">
        <v>345</v>
      </c>
      <c r="M25" s="37" t="s">
        <v>359</v>
      </c>
      <c r="N25" s="35" t="s">
        <v>345</v>
      </c>
      <c r="O25" s="38" t="s">
        <v>359</v>
      </c>
      <c r="P25" s="51"/>
    </row>
    <row r="26" spans="1:16" ht="11.25" customHeight="1" x14ac:dyDescent="0.2">
      <c r="A26" s="43" t="s">
        <v>21</v>
      </c>
      <c r="B26" s="19"/>
      <c r="C26" s="55"/>
      <c r="D26" s="19"/>
      <c r="E26" s="55"/>
      <c r="F26" s="19"/>
      <c r="G26" s="55"/>
      <c r="H26" s="19"/>
      <c r="I26" s="55"/>
      <c r="J26" s="19"/>
      <c r="K26" s="55"/>
      <c r="L26" s="19"/>
      <c r="M26" s="55"/>
      <c r="N26" s="19"/>
      <c r="O26" s="59"/>
      <c r="P26" s="51"/>
    </row>
    <row r="27" spans="1:16" ht="11.25" customHeight="1" x14ac:dyDescent="0.2">
      <c r="B27" s="20"/>
      <c r="C27" s="56"/>
      <c r="D27" s="20"/>
      <c r="E27" s="56"/>
      <c r="F27" s="20"/>
      <c r="G27" s="56"/>
      <c r="H27" s="20"/>
      <c r="I27" s="56"/>
      <c r="J27" s="20"/>
      <c r="K27" s="56"/>
      <c r="L27" s="20"/>
      <c r="M27" s="56"/>
      <c r="N27" s="20"/>
      <c r="O27" s="60"/>
      <c r="P27" s="51"/>
    </row>
    <row r="28" spans="1:16" ht="11.25" customHeight="1" x14ac:dyDescent="0.2">
      <c r="B28" s="20"/>
      <c r="C28" s="56"/>
      <c r="D28" s="20"/>
      <c r="E28" s="56"/>
      <c r="F28" s="20"/>
      <c r="G28" s="56"/>
      <c r="H28" s="20"/>
      <c r="I28" s="56"/>
      <c r="J28" s="20"/>
      <c r="K28" s="56"/>
      <c r="L28" s="20"/>
      <c r="M28" s="56"/>
      <c r="N28" s="20"/>
      <c r="O28" s="60"/>
      <c r="P28" s="51"/>
    </row>
    <row r="29" spans="1:16" ht="11.25" customHeight="1" x14ac:dyDescent="0.2">
      <c r="B29" s="20"/>
      <c r="C29" s="56"/>
      <c r="D29" s="20"/>
      <c r="E29" s="56"/>
      <c r="F29" s="20"/>
      <c r="G29" s="56"/>
      <c r="H29" s="20"/>
      <c r="I29" s="56"/>
      <c r="J29" s="20"/>
      <c r="K29" s="56"/>
      <c r="L29" s="20"/>
      <c r="M29" s="56"/>
      <c r="N29" s="20"/>
      <c r="O29" s="60"/>
      <c r="P29" s="51"/>
    </row>
    <row r="30" spans="1:16" ht="11.25" customHeight="1" x14ac:dyDescent="0.2">
      <c r="B30" s="21"/>
      <c r="C30" s="57"/>
      <c r="D30" s="21"/>
      <c r="E30" s="57"/>
      <c r="F30" s="21"/>
      <c r="G30" s="57"/>
      <c r="H30" s="21"/>
      <c r="I30" s="57"/>
      <c r="J30" s="21"/>
      <c r="K30" s="57"/>
      <c r="L30" s="21"/>
      <c r="M30" s="57"/>
      <c r="N30" s="21"/>
      <c r="O30" s="61"/>
      <c r="P30" s="51"/>
    </row>
    <row r="31" spans="1:16" ht="11.25" customHeight="1" x14ac:dyDescent="0.2">
      <c r="A31" s="43" t="s">
        <v>22</v>
      </c>
      <c r="B31" s="54" t="s">
        <v>346</v>
      </c>
      <c r="C31" s="70">
        <f>SUM(C26:C30)</f>
        <v>0</v>
      </c>
      <c r="D31" s="77"/>
      <c r="E31" s="70">
        <f>SUM(E26:E30)</f>
        <v>0</v>
      </c>
      <c r="F31" s="77"/>
      <c r="G31" s="70">
        <f>SUM(G26:G30)</f>
        <v>0</v>
      </c>
      <c r="H31" s="77"/>
      <c r="I31" s="70">
        <f>SUM(I26:I30)</f>
        <v>0</v>
      </c>
      <c r="J31" s="77"/>
      <c r="K31" s="70">
        <f>SUM(K26:K30)</f>
        <v>0</v>
      </c>
      <c r="L31" s="77"/>
      <c r="M31" s="70">
        <f>SUM(M26:M30)</f>
        <v>0</v>
      </c>
      <c r="N31" s="77"/>
      <c r="O31" s="74">
        <f>SUM(O26:O30)</f>
        <v>0</v>
      </c>
      <c r="P31" s="75">
        <f>SUM(C31,E31,G31,I31,K31,M31,O31)</f>
        <v>0</v>
      </c>
    </row>
    <row r="32" spans="1:16" s="45" customFormat="1" ht="11.25" customHeight="1" x14ac:dyDescent="0.2">
      <c r="A32" s="46"/>
      <c r="C32" s="6"/>
      <c r="D32" s="6"/>
      <c r="E32" s="6"/>
      <c r="F32" s="6"/>
      <c r="G32" s="6"/>
      <c r="H32" s="6"/>
      <c r="I32" s="6"/>
      <c r="J32" s="6"/>
      <c r="K32" s="6"/>
      <c r="L32" s="6"/>
      <c r="M32" s="6"/>
      <c r="N32" s="6"/>
      <c r="O32" s="6"/>
    </row>
    <row r="33" spans="1:16" ht="15" customHeight="1" x14ac:dyDescent="0.2">
      <c r="A33" s="43" t="s">
        <v>23</v>
      </c>
      <c r="B33" s="9">
        <f ca="1">N24+1</f>
        <v>20</v>
      </c>
      <c r="C33" s="10"/>
      <c r="D33" s="9">
        <f ca="1">B33+1</f>
        <v>21</v>
      </c>
      <c r="E33" s="10"/>
      <c r="F33" s="9">
        <f ca="1">D33+1</f>
        <v>22</v>
      </c>
      <c r="G33" s="10"/>
      <c r="H33" s="9">
        <f ca="1">F33+1</f>
        <v>23</v>
      </c>
      <c r="I33" s="10"/>
      <c r="J33" s="9">
        <f ca="1">H33+1</f>
        <v>24</v>
      </c>
      <c r="K33" s="10"/>
      <c r="L33" s="9">
        <f ca="1">J33+1</f>
        <v>25</v>
      </c>
      <c r="M33" s="10"/>
      <c r="N33" s="9">
        <f ca="1">L33+1</f>
        <v>26</v>
      </c>
      <c r="O33" s="10"/>
      <c r="P33" s="27"/>
    </row>
    <row r="34" spans="1:16" ht="11.25" customHeight="1" x14ac:dyDescent="0.2">
      <c r="A34" s="43" t="s">
        <v>24</v>
      </c>
      <c r="B34" s="35" t="s">
        <v>345</v>
      </c>
      <c r="C34" s="37" t="s">
        <v>359</v>
      </c>
      <c r="D34" s="35" t="s">
        <v>345</v>
      </c>
      <c r="E34" s="37" t="s">
        <v>359</v>
      </c>
      <c r="F34" s="35" t="s">
        <v>345</v>
      </c>
      <c r="G34" s="37" t="s">
        <v>359</v>
      </c>
      <c r="H34" s="35" t="s">
        <v>345</v>
      </c>
      <c r="I34" s="37" t="s">
        <v>359</v>
      </c>
      <c r="J34" s="35" t="s">
        <v>345</v>
      </c>
      <c r="K34" s="37" t="s">
        <v>359</v>
      </c>
      <c r="L34" s="35" t="s">
        <v>345</v>
      </c>
      <c r="M34" s="37" t="s">
        <v>359</v>
      </c>
      <c r="N34" s="35" t="s">
        <v>345</v>
      </c>
      <c r="O34" s="38" t="s">
        <v>359</v>
      </c>
      <c r="P34" s="51"/>
    </row>
    <row r="35" spans="1:16" ht="11.25" customHeight="1" x14ac:dyDescent="0.2">
      <c r="A35" s="43" t="s">
        <v>25</v>
      </c>
      <c r="B35" s="19"/>
      <c r="C35" s="55"/>
      <c r="D35" s="19"/>
      <c r="E35" s="55"/>
      <c r="F35" s="19"/>
      <c r="G35" s="55"/>
      <c r="H35" s="19"/>
      <c r="I35" s="55"/>
      <c r="J35" s="19"/>
      <c r="K35" s="55"/>
      <c r="L35" s="19"/>
      <c r="M35" s="55"/>
      <c r="N35" s="19"/>
      <c r="O35" s="59"/>
      <c r="P35" s="51"/>
    </row>
    <row r="36" spans="1:16" ht="11.25" customHeight="1" x14ac:dyDescent="0.2">
      <c r="B36" s="20"/>
      <c r="C36" s="56"/>
      <c r="D36" s="20"/>
      <c r="E36" s="56"/>
      <c r="F36" s="20"/>
      <c r="G36" s="56"/>
      <c r="H36" s="20"/>
      <c r="I36" s="56"/>
      <c r="J36" s="20"/>
      <c r="K36" s="56"/>
      <c r="L36" s="20"/>
      <c r="M36" s="56"/>
      <c r="N36" s="20"/>
      <c r="O36" s="60"/>
      <c r="P36" s="51"/>
    </row>
    <row r="37" spans="1:16" ht="11.25" customHeight="1" x14ac:dyDescent="0.2">
      <c r="B37" s="20"/>
      <c r="C37" s="56"/>
      <c r="D37" s="20"/>
      <c r="E37" s="56"/>
      <c r="F37" s="20"/>
      <c r="G37" s="56"/>
      <c r="H37" s="20"/>
      <c r="I37" s="56"/>
      <c r="J37" s="20"/>
      <c r="K37" s="56"/>
      <c r="L37" s="20"/>
      <c r="M37" s="56"/>
      <c r="N37" s="20"/>
      <c r="O37" s="60"/>
      <c r="P37" s="51"/>
    </row>
    <row r="38" spans="1:16" ht="11.25" customHeight="1" x14ac:dyDescent="0.2">
      <c r="B38" s="20"/>
      <c r="C38" s="56"/>
      <c r="D38" s="20"/>
      <c r="E38" s="56"/>
      <c r="F38" s="20"/>
      <c r="G38" s="56"/>
      <c r="H38" s="20"/>
      <c r="I38" s="56"/>
      <c r="J38" s="20"/>
      <c r="K38" s="56"/>
      <c r="L38" s="20"/>
      <c r="M38" s="56"/>
      <c r="N38" s="20"/>
      <c r="O38" s="60"/>
      <c r="P38" s="51"/>
    </row>
    <row r="39" spans="1:16" ht="11.25" customHeight="1" x14ac:dyDescent="0.2">
      <c r="B39" s="21"/>
      <c r="C39" s="57"/>
      <c r="D39" s="21"/>
      <c r="E39" s="57"/>
      <c r="F39" s="21"/>
      <c r="G39" s="57"/>
      <c r="H39" s="21"/>
      <c r="I39" s="57"/>
      <c r="J39" s="21"/>
      <c r="K39" s="57"/>
      <c r="L39" s="21"/>
      <c r="M39" s="57"/>
      <c r="N39" s="21"/>
      <c r="O39" s="61"/>
      <c r="P39" s="51"/>
    </row>
    <row r="40" spans="1:16" ht="11.25" customHeight="1" x14ac:dyDescent="0.2">
      <c r="A40" s="43" t="s">
        <v>26</v>
      </c>
      <c r="B40" s="53" t="s">
        <v>346</v>
      </c>
      <c r="C40" s="70">
        <f>SUM(C35:C39)</f>
        <v>0</v>
      </c>
      <c r="D40" s="77"/>
      <c r="E40" s="70">
        <f>SUM(E35:E39)</f>
        <v>0</v>
      </c>
      <c r="F40" s="77"/>
      <c r="G40" s="70">
        <f>SUM(G35:G39)</f>
        <v>0</v>
      </c>
      <c r="H40" s="77"/>
      <c r="I40" s="70">
        <f>SUM(I35:I39)</f>
        <v>0</v>
      </c>
      <c r="J40" s="77"/>
      <c r="K40" s="70">
        <f>SUM(K35:K39)</f>
        <v>0</v>
      </c>
      <c r="L40" s="77"/>
      <c r="M40" s="70">
        <f>SUM(M35:M39)</f>
        <v>0</v>
      </c>
      <c r="N40" s="77"/>
      <c r="O40" s="74">
        <f>SUM(O35:O39)</f>
        <v>0</v>
      </c>
      <c r="P40" s="75">
        <f>SUM(C40,E40,G40,I40,K40,M40,O40)</f>
        <v>0</v>
      </c>
    </row>
    <row r="41" spans="1:16" s="45" customFormat="1" ht="11.25" customHeight="1" x14ac:dyDescent="0.2">
      <c r="A41" s="46"/>
      <c r="C41" s="6"/>
      <c r="D41" s="6"/>
      <c r="E41" s="6"/>
      <c r="F41" s="6"/>
      <c r="G41" s="6"/>
      <c r="H41" s="6"/>
      <c r="I41" s="6"/>
      <c r="J41" s="6"/>
      <c r="K41" s="6"/>
      <c r="L41" s="6"/>
      <c r="M41" s="6"/>
      <c r="N41" s="6"/>
      <c r="O41" s="6"/>
    </row>
    <row r="42" spans="1:16" ht="15" customHeight="1" x14ac:dyDescent="0.2">
      <c r="A42" s="43" t="s">
        <v>27</v>
      </c>
      <c r="B42" s="9">
        <f ca="1">DAY(IF(DAY(JanSun1)=1,JanSun1+22,JanSun1+29))</f>
        <v>27</v>
      </c>
      <c r="C42" s="10"/>
      <c r="D42" s="9">
        <f ca="1">DAY(IF(DAY(JanSun1)=1,JanSun1+23,JanSun1+30))</f>
        <v>28</v>
      </c>
      <c r="E42" s="10"/>
      <c r="F42" s="9">
        <f ca="1">DAY(IF(DAY(JanSun1)=1,JanSun1+24,JanSun1+31))</f>
        <v>29</v>
      </c>
      <c r="G42" s="10"/>
      <c r="H42" s="9">
        <f ca="1">DAY(IF(DAY(JanSun1)=1,JanSun1+25,JanSun1+32))</f>
        <v>30</v>
      </c>
      <c r="I42" s="10"/>
      <c r="J42" s="9">
        <f ca="1">DAY(IF(DAY(JanSun1)=1,JanSun1+26,JanSun1+33))</f>
        <v>31</v>
      </c>
      <c r="K42" s="10"/>
      <c r="L42" s="9">
        <f ca="1">DAY(IF(DAY(JanSun1)=1,JanSun1+27,JanSun1+34))</f>
        <v>1</v>
      </c>
      <c r="M42" s="10"/>
      <c r="N42" s="9">
        <f ca="1">DAY(IF(DAY(JanSun1)=1,JanSun1+28,JanSun1+35))</f>
        <v>2</v>
      </c>
      <c r="O42" s="10"/>
      <c r="P42" s="27"/>
    </row>
    <row r="43" spans="1:16" ht="11.25" customHeight="1" x14ac:dyDescent="0.2">
      <c r="A43" s="43" t="s">
        <v>28</v>
      </c>
      <c r="B43" s="35" t="s">
        <v>345</v>
      </c>
      <c r="C43" s="37" t="s">
        <v>359</v>
      </c>
      <c r="D43" s="35" t="s">
        <v>345</v>
      </c>
      <c r="E43" s="37" t="s">
        <v>359</v>
      </c>
      <c r="F43" s="35" t="s">
        <v>345</v>
      </c>
      <c r="G43" s="37" t="s">
        <v>359</v>
      </c>
      <c r="H43" s="35" t="s">
        <v>345</v>
      </c>
      <c r="I43" s="37" t="s">
        <v>359</v>
      </c>
      <c r="J43" s="35" t="s">
        <v>345</v>
      </c>
      <c r="K43" s="37" t="s">
        <v>359</v>
      </c>
      <c r="L43" s="35" t="s">
        <v>345</v>
      </c>
      <c r="M43" s="37" t="s">
        <v>359</v>
      </c>
      <c r="N43" s="35" t="s">
        <v>345</v>
      </c>
      <c r="O43" s="38" t="s">
        <v>359</v>
      </c>
      <c r="P43" s="51"/>
    </row>
    <row r="44" spans="1:16" ht="11.25" customHeight="1" x14ac:dyDescent="0.2">
      <c r="A44" s="43" t="s">
        <v>29</v>
      </c>
      <c r="B44" s="14"/>
      <c r="C44" s="55"/>
      <c r="D44" s="17"/>
      <c r="E44" s="55"/>
      <c r="F44" s="14"/>
      <c r="G44" s="55"/>
      <c r="H44" s="14"/>
      <c r="I44" s="55"/>
      <c r="J44" s="14"/>
      <c r="K44" s="55"/>
      <c r="L44" s="14"/>
      <c r="M44" s="55"/>
      <c r="N44" s="23"/>
      <c r="O44" s="64"/>
      <c r="P44" s="51"/>
    </row>
    <row r="45" spans="1:16" ht="11.25" customHeight="1" x14ac:dyDescent="0.2">
      <c r="B45" s="15"/>
      <c r="C45" s="56"/>
      <c r="D45" s="15"/>
      <c r="E45" s="56"/>
      <c r="F45" s="15"/>
      <c r="G45" s="56"/>
      <c r="H45" s="15"/>
      <c r="I45" s="56"/>
      <c r="J45" s="15"/>
      <c r="K45" s="56"/>
      <c r="L45" s="15"/>
      <c r="M45" s="56"/>
      <c r="N45" s="24"/>
      <c r="O45" s="65"/>
      <c r="P45" s="51"/>
    </row>
    <row r="46" spans="1:16" ht="11.25" customHeight="1" x14ac:dyDescent="0.2">
      <c r="B46" s="15"/>
      <c r="C46" s="56"/>
      <c r="D46" s="15"/>
      <c r="E46" s="56"/>
      <c r="F46" s="15"/>
      <c r="G46" s="56"/>
      <c r="H46" s="15"/>
      <c r="I46" s="56"/>
      <c r="J46" s="15"/>
      <c r="K46" s="56"/>
      <c r="L46" s="15"/>
      <c r="M46" s="56"/>
      <c r="N46" s="24"/>
      <c r="O46" s="65"/>
      <c r="P46" s="51"/>
    </row>
    <row r="47" spans="1:16" ht="11.25" customHeight="1" x14ac:dyDescent="0.2">
      <c r="B47" s="15"/>
      <c r="C47" s="56"/>
      <c r="D47" s="15"/>
      <c r="E47" s="56"/>
      <c r="F47" s="15"/>
      <c r="G47" s="56"/>
      <c r="H47" s="15"/>
      <c r="I47" s="56"/>
      <c r="J47" s="15"/>
      <c r="K47" s="56"/>
      <c r="L47" s="15"/>
      <c r="M47" s="56"/>
      <c r="N47" s="24"/>
      <c r="O47" s="65"/>
      <c r="P47" s="51"/>
    </row>
    <row r="48" spans="1:16" ht="11.25" customHeight="1" x14ac:dyDescent="0.2">
      <c r="B48" s="16"/>
      <c r="C48" s="57"/>
      <c r="D48" s="16"/>
      <c r="E48" s="57"/>
      <c r="F48" s="16"/>
      <c r="G48" s="57"/>
      <c r="H48" s="16"/>
      <c r="I48" s="57"/>
      <c r="J48" s="16"/>
      <c r="K48" s="57"/>
      <c r="L48" s="16"/>
      <c r="M48" s="57"/>
      <c r="N48" s="25"/>
      <c r="O48" s="66"/>
      <c r="P48" s="51"/>
    </row>
    <row r="49" spans="1:16" ht="11.25" customHeight="1" x14ac:dyDescent="0.2">
      <c r="A49" s="43" t="s">
        <v>30</v>
      </c>
      <c r="B49" s="53" t="s">
        <v>346</v>
      </c>
      <c r="C49" s="70">
        <f>SUM(C44:C48)</f>
        <v>0</v>
      </c>
      <c r="D49" s="77"/>
      <c r="E49" s="70">
        <f>SUM(E44:E48)</f>
        <v>0</v>
      </c>
      <c r="F49" s="77"/>
      <c r="G49" s="70">
        <f>SUM(G44:G48)</f>
        <v>0</v>
      </c>
      <c r="H49" s="77"/>
      <c r="I49" s="70">
        <f>SUM(I44:I48)</f>
        <v>0</v>
      </c>
      <c r="J49" s="77"/>
      <c r="K49" s="70">
        <f>SUM(K44:K48)</f>
        <v>0</v>
      </c>
      <c r="L49" s="77"/>
      <c r="M49" s="70">
        <f>SUM(M44:M48)</f>
        <v>0</v>
      </c>
      <c r="N49" s="77"/>
      <c r="O49" s="74">
        <f>SUM(O44:O48)</f>
        <v>0</v>
      </c>
      <c r="P49" s="75">
        <f ca="1">SUMIF(B42:N42,"&gt;="&amp;15,C49:O49)</f>
        <v>0</v>
      </c>
    </row>
    <row r="50" spans="1:16" s="45" customFormat="1" ht="11.25" customHeight="1" x14ac:dyDescent="0.2">
      <c r="A50" s="46"/>
      <c r="C50" s="6"/>
      <c r="D50" s="6"/>
      <c r="E50" s="6"/>
      <c r="F50" s="6"/>
      <c r="G50" s="6"/>
      <c r="H50" s="6"/>
      <c r="I50" s="6"/>
      <c r="J50" s="6"/>
      <c r="K50" s="6"/>
      <c r="L50" s="6"/>
      <c r="M50" s="6"/>
      <c r="N50" s="6"/>
      <c r="O50" s="6"/>
    </row>
    <row r="51" spans="1:16" ht="15" customHeight="1" x14ac:dyDescent="0.2">
      <c r="A51" s="43" t="s">
        <v>31</v>
      </c>
      <c r="B51" s="9">
        <f ca="1">DAY(IF(DAY(JanSun1)=1,JanSun1+29,JanSun1+36))</f>
        <v>3</v>
      </c>
      <c r="C51" s="8"/>
      <c r="D51" s="9">
        <f ca="1">DAY(IF(DAY(JanSun1)=1,JanSun1+30,JanSun1+37))</f>
        <v>4</v>
      </c>
      <c r="E51" s="10"/>
      <c r="F51" s="7">
        <f ca="1">DAY(IF(DAY(JanSun1)=1,JanSun1+31,JanSun1+38))</f>
        <v>5</v>
      </c>
      <c r="G51" s="10"/>
      <c r="H51" s="9">
        <f ca="1">DAY(IF(DAY(JanSun1)=1,JanSun1+32,JanSun1+39))</f>
        <v>6</v>
      </c>
      <c r="I51" s="10"/>
      <c r="J51" s="9">
        <f ca="1">DAY(IF(DAY(JanSun1)=1,JanSun1+33,JanSun1+40))</f>
        <v>7</v>
      </c>
      <c r="K51" s="10"/>
      <c r="L51" s="9">
        <f ca="1">DAY(IF(DAY(JanSun1)=1,JanSun1+34,JanSun1+41))</f>
        <v>8</v>
      </c>
      <c r="M51" s="10"/>
      <c r="N51" s="9">
        <f ca="1">DAY(IF(DAY(JanSun1)=1,JanSun1+35,JanSun1+42))</f>
        <v>9</v>
      </c>
      <c r="O51" s="10"/>
      <c r="P51" s="27"/>
    </row>
    <row r="52" spans="1:16" ht="11.25" customHeight="1" x14ac:dyDescent="0.2">
      <c r="A52" s="43" t="s">
        <v>32</v>
      </c>
      <c r="B52" s="35" t="s">
        <v>345</v>
      </c>
      <c r="C52" s="37" t="s">
        <v>359</v>
      </c>
      <c r="D52" s="35" t="s">
        <v>345</v>
      </c>
      <c r="E52" s="37" t="s">
        <v>359</v>
      </c>
      <c r="F52" s="35" t="s">
        <v>345</v>
      </c>
      <c r="G52" s="37" t="s">
        <v>359</v>
      </c>
      <c r="H52" s="35" t="s">
        <v>345</v>
      </c>
      <c r="I52" s="37" t="s">
        <v>359</v>
      </c>
      <c r="J52" s="35" t="s">
        <v>345</v>
      </c>
      <c r="K52" s="37" t="s">
        <v>359</v>
      </c>
      <c r="L52" s="35" t="s">
        <v>345</v>
      </c>
      <c r="M52" s="37" t="s">
        <v>359</v>
      </c>
      <c r="N52" s="35" t="s">
        <v>345</v>
      </c>
      <c r="O52" s="38" t="s">
        <v>359</v>
      </c>
      <c r="P52" s="51"/>
    </row>
    <row r="53" spans="1:16" ht="11.25" customHeight="1" x14ac:dyDescent="0.2">
      <c r="A53" s="43" t="s">
        <v>33</v>
      </c>
      <c r="B53" s="14"/>
      <c r="C53" s="55"/>
      <c r="D53" s="17"/>
      <c r="E53" s="55"/>
      <c r="F53" s="14"/>
      <c r="G53" s="55"/>
      <c r="H53" s="14"/>
      <c r="I53" s="55"/>
      <c r="J53" s="14"/>
      <c r="K53" s="55"/>
      <c r="L53" s="14"/>
      <c r="M53" s="55"/>
      <c r="N53" s="14"/>
      <c r="O53" s="59"/>
      <c r="P53" s="51"/>
    </row>
    <row r="54" spans="1:16" ht="11.25" customHeight="1" x14ac:dyDescent="0.2">
      <c r="B54" s="15"/>
      <c r="C54" s="56"/>
      <c r="D54" s="15"/>
      <c r="E54" s="56"/>
      <c r="F54" s="15"/>
      <c r="G54" s="56"/>
      <c r="H54" s="15"/>
      <c r="I54" s="56"/>
      <c r="J54" s="15"/>
      <c r="K54" s="56"/>
      <c r="L54" s="15"/>
      <c r="M54" s="56"/>
      <c r="N54" s="15"/>
      <c r="O54" s="60"/>
      <c r="P54" s="51"/>
    </row>
    <row r="55" spans="1:16" ht="11.25" customHeight="1" x14ac:dyDescent="0.2">
      <c r="B55" s="15"/>
      <c r="C55" s="56"/>
      <c r="D55" s="15"/>
      <c r="E55" s="56"/>
      <c r="F55" s="15"/>
      <c r="G55" s="56"/>
      <c r="H55" s="15"/>
      <c r="I55" s="56"/>
      <c r="J55" s="15"/>
      <c r="K55" s="56"/>
      <c r="L55" s="15"/>
      <c r="M55" s="56"/>
      <c r="N55" s="15"/>
      <c r="O55" s="60"/>
      <c r="P55" s="51"/>
    </row>
    <row r="56" spans="1:16" ht="11.25" customHeight="1" x14ac:dyDescent="0.2">
      <c r="B56" s="15"/>
      <c r="C56" s="56"/>
      <c r="D56" s="15"/>
      <c r="E56" s="56"/>
      <c r="F56" s="15"/>
      <c r="G56" s="56"/>
      <c r="H56" s="15"/>
      <c r="I56" s="56"/>
      <c r="J56" s="15"/>
      <c r="K56" s="56"/>
      <c r="L56" s="15"/>
      <c r="M56" s="56"/>
      <c r="N56" s="15"/>
      <c r="O56" s="60"/>
      <c r="P56" s="51"/>
    </row>
    <row r="57" spans="1:16" ht="11.25" customHeight="1" x14ac:dyDescent="0.2">
      <c r="B57" s="16"/>
      <c r="C57" s="57"/>
      <c r="D57" s="16"/>
      <c r="E57" s="57"/>
      <c r="F57" s="16"/>
      <c r="G57" s="57"/>
      <c r="H57" s="16"/>
      <c r="I57" s="57"/>
      <c r="J57" s="16"/>
      <c r="K57" s="57"/>
      <c r="L57" s="16"/>
      <c r="M57" s="57"/>
      <c r="N57" s="16"/>
      <c r="O57" s="61"/>
      <c r="P57" s="51"/>
    </row>
    <row r="58" spans="1:16" ht="11.25" customHeight="1" x14ac:dyDescent="0.2">
      <c r="A58" s="43" t="s">
        <v>34</v>
      </c>
      <c r="B58" s="53" t="s">
        <v>346</v>
      </c>
      <c r="C58" s="70">
        <f>SUM(C53:C57)</f>
        <v>0</v>
      </c>
      <c r="D58" s="77"/>
      <c r="E58" s="70">
        <f>SUM(E53:E57)</f>
        <v>0</v>
      </c>
      <c r="F58" s="77"/>
      <c r="G58" s="70">
        <f>SUM(G53:G57)</f>
        <v>0</v>
      </c>
      <c r="H58" s="77"/>
      <c r="I58" s="70">
        <f>SUM(I53:I57)</f>
        <v>0</v>
      </c>
      <c r="J58" s="77"/>
      <c r="K58" s="70">
        <f>SUM(K53:K57)</f>
        <v>0</v>
      </c>
      <c r="L58" s="77"/>
      <c r="M58" s="70">
        <f>SUM(M53:M57)</f>
        <v>0</v>
      </c>
      <c r="N58" s="77"/>
      <c r="O58" s="74">
        <f>SUM(O53:O57)</f>
        <v>0</v>
      </c>
      <c r="P58" s="75">
        <f ca="1">SUMIF(B51:N51,"&gt;="&amp;15,C58:O58)</f>
        <v>0</v>
      </c>
    </row>
    <row r="59" spans="1:16" s="45" customFormat="1" ht="18" customHeight="1" x14ac:dyDescent="0.2">
      <c r="A59" s="46"/>
      <c r="C59" s="6"/>
      <c r="D59" s="6"/>
      <c r="E59" s="6"/>
      <c r="F59" s="6"/>
      <c r="G59" s="6"/>
      <c r="H59" s="6"/>
      <c r="I59" s="6"/>
      <c r="J59" s="6"/>
      <c r="K59" s="6"/>
      <c r="L59" s="6"/>
      <c r="M59" s="6"/>
      <c r="N59" s="6"/>
      <c r="O59" s="6"/>
    </row>
    <row r="60" spans="1:16" ht="12" customHeight="1" x14ac:dyDescent="0.2">
      <c r="A60" s="43" t="s">
        <v>35</v>
      </c>
      <c r="B60" s="85" t="s">
        <v>347</v>
      </c>
      <c r="C60" s="85"/>
      <c r="D60" s="85"/>
      <c r="E60" s="85"/>
      <c r="F60" s="45"/>
      <c r="G60" s="6"/>
      <c r="H60" s="45"/>
      <c r="I60" s="6"/>
      <c r="J60" s="45"/>
      <c r="K60" s="6"/>
      <c r="L60" s="81" t="s">
        <v>369</v>
      </c>
      <c r="M60" s="81"/>
      <c r="N60" s="81" t="s">
        <v>371</v>
      </c>
      <c r="O60" s="81"/>
      <c r="P60" s="45"/>
    </row>
    <row r="61" spans="1:16" ht="25.5" customHeight="1" x14ac:dyDescent="0.2">
      <c r="A61" s="43" t="s">
        <v>36</v>
      </c>
      <c r="B61" s="85"/>
      <c r="C61" s="85"/>
      <c r="D61" s="85"/>
      <c r="E61" s="85"/>
      <c r="F61" s="47" t="str">
        <f ca="1">IFERROR(WEEKDAY(DATEVALUE(B60&amp;" 1, "&amp;Year1)),"")</f>
        <v/>
      </c>
      <c r="G61" s="6"/>
      <c r="H61" s="45"/>
      <c r="I61" s="6"/>
      <c r="J61" s="45"/>
      <c r="K61" s="6"/>
      <c r="L61" s="82">
        <f ca="1">SUM(P71,P80,P89,P98,P107,P116)</f>
        <v>200</v>
      </c>
      <c r="M61" s="83"/>
      <c r="N61" s="82">
        <f ca="1">SUM(P:P)</f>
        <v>439.95</v>
      </c>
      <c r="O61" s="84"/>
      <c r="P61" s="45"/>
    </row>
    <row r="62" spans="1:16" s="45" customFormat="1" ht="9" customHeight="1" x14ac:dyDescent="0.2">
      <c r="A62" s="46" t="s">
        <v>37</v>
      </c>
      <c r="B62" s="98">
        <v>1</v>
      </c>
      <c r="C62" s="98"/>
      <c r="D62" s="98">
        <v>2</v>
      </c>
      <c r="E62" s="98"/>
      <c r="F62" s="98">
        <v>3</v>
      </c>
      <c r="G62" s="98"/>
      <c r="H62" s="98">
        <v>4</v>
      </c>
      <c r="I62" s="98"/>
      <c r="J62" s="98">
        <v>5</v>
      </c>
      <c r="K62" s="98"/>
      <c r="L62" s="98">
        <v>6</v>
      </c>
      <c r="M62" s="98"/>
      <c r="N62" s="98">
        <v>7</v>
      </c>
      <c r="O62" s="98"/>
      <c r="P62" s="48"/>
    </row>
    <row r="63" spans="1:16" ht="15" customHeight="1" x14ac:dyDescent="0.2">
      <c r="A63" s="43" t="s">
        <v>38</v>
      </c>
      <c r="B63" s="87" t="s">
        <v>372</v>
      </c>
      <c r="C63" s="88"/>
      <c r="D63" s="89" t="s">
        <v>344</v>
      </c>
      <c r="E63" s="90"/>
      <c r="F63" s="91" t="s">
        <v>360</v>
      </c>
      <c r="G63" s="90" t="e">
        <f ca="1">IF(WEEKDAY(DATEVALUE(Month1&amp;" 1, "&amp;Year1))=COLUMN(#REF!),1,IF(LEN(E63)&gt;0,E63+1,""))</f>
        <v>#VALUE!</v>
      </c>
      <c r="H63" s="92" t="s">
        <v>361</v>
      </c>
      <c r="I63" s="92" t="e">
        <f ca="1">IF(WEEKDAY(DATEVALUE(Month1&amp;" 1, "&amp;Year1))=COLUMN(#REF!),1,IF(LEN(G63)&gt;0,G63+1,""))</f>
        <v>#VALUE!</v>
      </c>
      <c r="J63" s="91" t="s">
        <v>364</v>
      </c>
      <c r="K63" s="90" t="e">
        <f ca="1">IF(WEEKDAY(DATEVALUE(Month1&amp;" 1, "&amp;Year1))=COLUMN(#REF!),1,IF(LEN(I63)&gt;0,I63+1,""))</f>
        <v>#VALUE!</v>
      </c>
      <c r="L63" s="93" t="s">
        <v>368</v>
      </c>
      <c r="M63" s="94" t="e">
        <f ca="1">IF(WEEKDAY(DATEVALUE(Month1&amp;" 1, "&amp;Year1))=COLUMN(#REF!),1,IF(LEN(K63)&gt;0,K63+1,""))</f>
        <v>#VALUE!</v>
      </c>
      <c r="N63" s="95" t="s">
        <v>370</v>
      </c>
      <c r="O63" s="96" t="e">
        <f ca="1">IF(WEEKDAY(DATEVALUE(Month1&amp;" 1, "&amp;Year1))=COLUMN(#REF!),1,IF(LEN(M63)&gt;0,M63+1,""))</f>
        <v>#VALUE!</v>
      </c>
      <c r="P63" s="32" t="s">
        <v>373</v>
      </c>
    </row>
    <row r="64" spans="1:16" ht="15" customHeight="1" x14ac:dyDescent="0.2">
      <c r="A64" s="43" t="s">
        <v>39</v>
      </c>
      <c r="B64" s="11">
        <f ca="1">DAY(IF(DAY(FebSun1)=1,FebSun1-6,FebSun1+1))</f>
        <v>27</v>
      </c>
      <c r="C64" s="13"/>
      <c r="D64" s="18">
        <f ca="1">DAY(IF(DAY(FebSun1)=1,FebSun1-5,FebSun1+2))</f>
        <v>28</v>
      </c>
      <c r="E64" s="13"/>
      <c r="F64" s="18">
        <f ca="1">DAY(IF(DAY(FebSun1)=1,FebSun1-4,FebSun1+3))</f>
        <v>29</v>
      </c>
      <c r="G64" s="13"/>
      <c r="H64" s="18">
        <f ca="1">DAY(IF(DAY(FebSun1)=1,FebSun1-3,FebSun1+4))</f>
        <v>30</v>
      </c>
      <c r="I64" s="13"/>
      <c r="J64" s="18">
        <f ca="1">DAY(IF(DAY(FebSun1)=1,FebSun1-2,FebSun1+5))</f>
        <v>31</v>
      </c>
      <c r="K64" s="13"/>
      <c r="L64" s="18">
        <f ca="1">DAY(IF(DAY(FebSun1)=1,FebSun1-1,FebSun1+6))</f>
        <v>1</v>
      </c>
      <c r="M64" s="13"/>
      <c r="N64" s="22">
        <f ca="1">DAY(IF(DAY(FebSun1)=1,FebSun1,FebSun1+7))</f>
        <v>2</v>
      </c>
      <c r="O64" s="12"/>
      <c r="P64" s="51"/>
    </row>
    <row r="65" spans="1:16" ht="11.25" customHeight="1" x14ac:dyDescent="0.2">
      <c r="A65" s="43" t="s">
        <v>40</v>
      </c>
      <c r="B65" s="39" t="s">
        <v>345</v>
      </c>
      <c r="C65" s="34" t="s">
        <v>359</v>
      </c>
      <c r="D65" s="33" t="s">
        <v>345</v>
      </c>
      <c r="E65" s="34" t="s">
        <v>359</v>
      </c>
      <c r="F65" s="33" t="s">
        <v>345</v>
      </c>
      <c r="G65" s="34" t="s">
        <v>359</v>
      </c>
      <c r="H65" s="33" t="s">
        <v>345</v>
      </c>
      <c r="I65" s="34" t="s">
        <v>359</v>
      </c>
      <c r="J65" s="33" t="s">
        <v>345</v>
      </c>
      <c r="K65" s="34" t="s">
        <v>359</v>
      </c>
      <c r="L65" s="33" t="s">
        <v>345</v>
      </c>
      <c r="M65" s="34" t="s">
        <v>359</v>
      </c>
      <c r="N65" s="35" t="s">
        <v>345</v>
      </c>
      <c r="O65" s="36" t="s">
        <v>359</v>
      </c>
      <c r="P65" s="51"/>
    </row>
    <row r="66" spans="1:16" ht="11.25" customHeight="1" x14ac:dyDescent="0.2">
      <c r="A66" s="43" t="s">
        <v>41</v>
      </c>
      <c r="B66" s="14"/>
      <c r="C66" s="55"/>
      <c r="D66" s="17"/>
      <c r="E66" s="55"/>
      <c r="F66" s="14"/>
      <c r="G66" s="55"/>
      <c r="H66" s="14"/>
      <c r="I66" s="55"/>
      <c r="J66" s="17"/>
      <c r="K66" s="55"/>
      <c r="L66" s="14"/>
      <c r="M66" s="55"/>
      <c r="N66" s="14"/>
      <c r="O66" s="59"/>
      <c r="P66" s="51"/>
    </row>
    <row r="67" spans="1:16" x14ac:dyDescent="0.2">
      <c r="B67" s="15"/>
      <c r="C67" s="56"/>
      <c r="D67" s="15"/>
      <c r="E67" s="56"/>
      <c r="F67" s="15"/>
      <c r="G67" s="56"/>
      <c r="H67" s="15"/>
      <c r="I67" s="56"/>
      <c r="J67" s="15"/>
      <c r="K67" s="56"/>
      <c r="L67" s="15"/>
      <c r="M67" s="56"/>
      <c r="N67" s="15"/>
      <c r="O67" s="60"/>
      <c r="P67" s="51"/>
    </row>
    <row r="68" spans="1:16" x14ac:dyDescent="0.2">
      <c r="B68" s="15"/>
      <c r="C68" s="56"/>
      <c r="D68" s="15"/>
      <c r="E68" s="56"/>
      <c r="F68" s="15"/>
      <c r="G68" s="56"/>
      <c r="H68" s="15"/>
      <c r="I68" s="56"/>
      <c r="J68" s="15"/>
      <c r="K68" s="56"/>
      <c r="L68" s="15"/>
      <c r="M68" s="56"/>
      <c r="N68" s="15"/>
      <c r="O68" s="60"/>
      <c r="P68" s="51"/>
    </row>
    <row r="69" spans="1:16" x14ac:dyDescent="0.2">
      <c r="B69" s="15"/>
      <c r="C69" s="56"/>
      <c r="D69" s="15"/>
      <c r="E69" s="56"/>
      <c r="F69" s="15"/>
      <c r="G69" s="56"/>
      <c r="H69" s="15"/>
      <c r="I69" s="56"/>
      <c r="J69" s="15"/>
      <c r="K69" s="56"/>
      <c r="L69" s="15"/>
      <c r="M69" s="56"/>
      <c r="N69" s="15"/>
      <c r="O69" s="60"/>
      <c r="P69" s="51"/>
    </row>
    <row r="70" spans="1:16" x14ac:dyDescent="0.2">
      <c r="B70" s="16"/>
      <c r="C70" s="57"/>
      <c r="D70" s="16"/>
      <c r="E70" s="57"/>
      <c r="F70" s="16"/>
      <c r="G70" s="57"/>
      <c r="H70" s="16"/>
      <c r="I70" s="57"/>
      <c r="J70" s="16"/>
      <c r="K70" s="57"/>
      <c r="L70" s="16"/>
      <c r="M70" s="57"/>
      <c r="N70" s="16"/>
      <c r="O70" s="61"/>
      <c r="P70" s="51"/>
    </row>
    <row r="71" spans="1:16" ht="11.25" customHeight="1" x14ac:dyDescent="0.2">
      <c r="A71" s="43" t="s">
        <v>42</v>
      </c>
      <c r="B71" s="53" t="s">
        <v>346</v>
      </c>
      <c r="C71" s="70">
        <f>SUM(C66:C70)</f>
        <v>0</v>
      </c>
      <c r="D71" s="77"/>
      <c r="E71" s="70">
        <f>SUM(E66:E70)</f>
        <v>0</v>
      </c>
      <c r="F71" s="77"/>
      <c r="G71" s="70">
        <f>SUM(G66:G70)</f>
        <v>0</v>
      </c>
      <c r="H71" s="77"/>
      <c r="I71" s="70">
        <f>SUM(I66:I70)</f>
        <v>0</v>
      </c>
      <c r="J71" s="77"/>
      <c r="K71" s="70">
        <f>SUM(K66:K70)</f>
        <v>0</v>
      </c>
      <c r="L71" s="77"/>
      <c r="M71" s="70">
        <f>SUM(M66:M70)</f>
        <v>0</v>
      </c>
      <c r="N71" s="77"/>
      <c r="O71" s="74">
        <f>SUM(O66:O70)</f>
        <v>0</v>
      </c>
      <c r="P71" s="75">
        <f ca="1">SUMIF(B64:N64,"&lt;8",C71:O71)</f>
        <v>0</v>
      </c>
    </row>
    <row r="72" spans="1:16" s="45" customFormat="1" x14ac:dyDescent="0.2">
      <c r="A72" s="46"/>
      <c r="C72" s="6"/>
      <c r="D72" s="6"/>
      <c r="E72" s="6"/>
      <c r="F72" s="6"/>
      <c r="G72" s="6"/>
      <c r="H72" s="6"/>
      <c r="I72" s="6"/>
      <c r="J72" s="6"/>
      <c r="K72" s="6"/>
      <c r="L72" s="6"/>
      <c r="M72" s="6"/>
      <c r="N72" s="6"/>
      <c r="O72" s="6"/>
    </row>
    <row r="73" spans="1:16" ht="15" customHeight="1" x14ac:dyDescent="0.2">
      <c r="A73" s="43" t="s">
        <v>43</v>
      </c>
      <c r="B73" s="9">
        <f ca="1">N64+1</f>
        <v>3</v>
      </c>
      <c r="C73" s="10"/>
      <c r="D73" s="9">
        <f ca="1">B73+1</f>
        <v>4</v>
      </c>
      <c r="E73" s="10"/>
      <c r="F73" s="9">
        <f ca="1">D73+1</f>
        <v>5</v>
      </c>
      <c r="G73" s="10"/>
      <c r="H73" s="9">
        <f ca="1">F73+1</f>
        <v>6</v>
      </c>
      <c r="I73" s="10"/>
      <c r="J73" s="9">
        <f ca="1">H73+1</f>
        <v>7</v>
      </c>
      <c r="K73" s="10"/>
      <c r="L73" s="9">
        <f ca="1">J73+1</f>
        <v>8</v>
      </c>
      <c r="M73" s="10"/>
      <c r="N73" s="9">
        <f ca="1">L73+1</f>
        <v>9</v>
      </c>
      <c r="O73" s="10"/>
      <c r="P73" s="27"/>
    </row>
    <row r="74" spans="1:16" ht="11.25" customHeight="1" x14ac:dyDescent="0.2">
      <c r="A74" s="43" t="s">
        <v>44</v>
      </c>
      <c r="B74" s="35" t="s">
        <v>345</v>
      </c>
      <c r="C74" s="37" t="s">
        <v>359</v>
      </c>
      <c r="D74" s="35" t="s">
        <v>345</v>
      </c>
      <c r="E74" s="37" t="s">
        <v>359</v>
      </c>
      <c r="F74" s="35" t="s">
        <v>345</v>
      </c>
      <c r="G74" s="37" t="s">
        <v>359</v>
      </c>
      <c r="H74" s="35" t="s">
        <v>345</v>
      </c>
      <c r="I74" s="37" t="s">
        <v>359</v>
      </c>
      <c r="J74" s="35" t="s">
        <v>345</v>
      </c>
      <c r="K74" s="37" t="s">
        <v>359</v>
      </c>
      <c r="L74" s="35" t="s">
        <v>345</v>
      </c>
      <c r="M74" s="37" t="s">
        <v>359</v>
      </c>
      <c r="N74" s="35" t="s">
        <v>345</v>
      </c>
      <c r="O74" s="38" t="s">
        <v>359</v>
      </c>
      <c r="P74" s="51"/>
    </row>
    <row r="75" spans="1:16" ht="11.25" customHeight="1" x14ac:dyDescent="0.2">
      <c r="A75" s="43" t="s">
        <v>45</v>
      </c>
      <c r="B75" s="19"/>
      <c r="C75" s="55"/>
      <c r="D75" s="19"/>
      <c r="E75" s="55"/>
      <c r="F75" s="19"/>
      <c r="G75" s="55"/>
      <c r="H75" s="28"/>
      <c r="I75" s="55"/>
      <c r="J75" s="28" t="s">
        <v>367</v>
      </c>
      <c r="K75" s="55">
        <v>200</v>
      </c>
      <c r="L75" s="19"/>
      <c r="M75" s="55"/>
      <c r="N75" s="19"/>
      <c r="O75" s="59"/>
      <c r="P75" s="51"/>
    </row>
    <row r="76" spans="1:16" x14ac:dyDescent="0.2">
      <c r="B76" s="20"/>
      <c r="C76" s="56"/>
      <c r="D76" s="20"/>
      <c r="E76" s="56"/>
      <c r="F76" s="20"/>
      <c r="G76" s="56"/>
      <c r="H76" s="20"/>
      <c r="I76" s="56"/>
      <c r="J76" s="20"/>
      <c r="K76" s="56"/>
      <c r="L76" s="20"/>
      <c r="M76" s="56"/>
      <c r="N76" s="20"/>
      <c r="O76" s="60"/>
      <c r="P76" s="51"/>
    </row>
    <row r="77" spans="1:16" x14ac:dyDescent="0.2">
      <c r="B77" s="20"/>
      <c r="C77" s="56"/>
      <c r="D77" s="20"/>
      <c r="E77" s="56"/>
      <c r="F77" s="20"/>
      <c r="G77" s="56"/>
      <c r="H77" s="20"/>
      <c r="I77" s="56"/>
      <c r="J77" s="20"/>
      <c r="K77" s="56"/>
      <c r="L77" s="20"/>
      <c r="M77" s="56"/>
      <c r="N77" s="20"/>
      <c r="O77" s="60"/>
      <c r="P77" s="51"/>
    </row>
    <row r="78" spans="1:16" x14ac:dyDescent="0.2">
      <c r="B78" s="20"/>
      <c r="C78" s="56"/>
      <c r="D78" s="20"/>
      <c r="E78" s="56"/>
      <c r="F78" s="20"/>
      <c r="G78" s="56"/>
      <c r="H78" s="20"/>
      <c r="I78" s="56"/>
      <c r="J78" s="20"/>
      <c r="K78" s="56"/>
      <c r="L78" s="20"/>
      <c r="M78" s="56"/>
      <c r="N78" s="20"/>
      <c r="O78" s="60"/>
      <c r="P78" s="51"/>
    </row>
    <row r="79" spans="1:16" x14ac:dyDescent="0.2">
      <c r="B79" s="21"/>
      <c r="C79" s="57"/>
      <c r="D79" s="21"/>
      <c r="E79" s="57"/>
      <c r="F79" s="21"/>
      <c r="G79" s="57"/>
      <c r="H79" s="21"/>
      <c r="I79" s="57"/>
      <c r="J79" s="21"/>
      <c r="K79" s="57"/>
      <c r="L79" s="21"/>
      <c r="M79" s="57"/>
      <c r="N79" s="21"/>
      <c r="O79" s="61"/>
      <c r="P79" s="51"/>
    </row>
    <row r="80" spans="1:16" ht="11.25" customHeight="1" x14ac:dyDescent="0.2">
      <c r="A80" s="43" t="s">
        <v>46</v>
      </c>
      <c r="B80" s="53" t="s">
        <v>346</v>
      </c>
      <c r="C80" s="70">
        <f>SUM(C75:C79)</f>
        <v>0</v>
      </c>
      <c r="D80" s="77"/>
      <c r="E80" s="70">
        <f>SUM(E75:E79)</f>
        <v>0</v>
      </c>
      <c r="F80" s="77"/>
      <c r="G80" s="70">
        <f>SUM(G75:G79)</f>
        <v>0</v>
      </c>
      <c r="H80" s="77"/>
      <c r="I80" s="70">
        <f>SUM(I75:I79)</f>
        <v>0</v>
      </c>
      <c r="J80" s="77"/>
      <c r="K80" s="70">
        <f>SUM(K75:K79)</f>
        <v>200</v>
      </c>
      <c r="L80" s="77"/>
      <c r="M80" s="70">
        <f>SUM(M75:M79)</f>
        <v>0</v>
      </c>
      <c r="N80" s="77"/>
      <c r="O80" s="74">
        <f>SUM(O75:O79)</f>
        <v>0</v>
      </c>
      <c r="P80" s="75">
        <f>SUM(C80,E80,G80,I80,K80,M80,O80)</f>
        <v>200</v>
      </c>
    </row>
    <row r="81" spans="1:16" s="45" customFormat="1" x14ac:dyDescent="0.2">
      <c r="A81" s="46"/>
      <c r="C81" s="6"/>
      <c r="D81" s="6"/>
      <c r="E81" s="6"/>
      <c r="F81" s="6"/>
      <c r="G81" s="6"/>
      <c r="H81" s="6"/>
      <c r="I81" s="6"/>
      <c r="J81" s="6"/>
      <c r="K81" s="6"/>
      <c r="L81" s="6"/>
      <c r="M81" s="6"/>
      <c r="N81" s="6"/>
      <c r="O81" s="6"/>
    </row>
    <row r="82" spans="1:16" ht="15" customHeight="1" x14ac:dyDescent="0.2">
      <c r="A82" s="43" t="s">
        <v>47</v>
      </c>
      <c r="B82" s="9">
        <f ca="1">N73+1</f>
        <v>10</v>
      </c>
      <c r="C82" s="10"/>
      <c r="D82" s="9">
        <f ca="1">B82+1</f>
        <v>11</v>
      </c>
      <c r="E82" s="10"/>
      <c r="F82" s="9">
        <f ca="1">D82+1</f>
        <v>12</v>
      </c>
      <c r="G82" s="10"/>
      <c r="H82" s="9">
        <f ca="1">F82+1</f>
        <v>13</v>
      </c>
      <c r="I82" s="10"/>
      <c r="J82" s="9">
        <f ca="1">H82+1</f>
        <v>14</v>
      </c>
      <c r="K82" s="10"/>
      <c r="L82" s="9">
        <f ca="1">J82+1</f>
        <v>15</v>
      </c>
      <c r="M82" s="10"/>
      <c r="N82" s="9">
        <f ca="1">L82+1</f>
        <v>16</v>
      </c>
      <c r="O82" s="10"/>
      <c r="P82" s="27"/>
    </row>
    <row r="83" spans="1:16" ht="11.25" customHeight="1" x14ac:dyDescent="0.2">
      <c r="A83" s="43" t="s">
        <v>48</v>
      </c>
      <c r="B83" s="35" t="s">
        <v>345</v>
      </c>
      <c r="C83" s="37" t="s">
        <v>359</v>
      </c>
      <c r="D83" s="35" t="s">
        <v>345</v>
      </c>
      <c r="E83" s="37" t="s">
        <v>359</v>
      </c>
      <c r="F83" s="35" t="s">
        <v>345</v>
      </c>
      <c r="G83" s="37" t="s">
        <v>359</v>
      </c>
      <c r="H83" s="35" t="s">
        <v>345</v>
      </c>
      <c r="I83" s="37" t="s">
        <v>359</v>
      </c>
      <c r="J83" s="35" t="s">
        <v>345</v>
      </c>
      <c r="K83" s="37" t="s">
        <v>359</v>
      </c>
      <c r="L83" s="35" t="s">
        <v>345</v>
      </c>
      <c r="M83" s="37" t="s">
        <v>359</v>
      </c>
      <c r="N83" s="35" t="s">
        <v>345</v>
      </c>
      <c r="O83" s="38" t="s">
        <v>359</v>
      </c>
      <c r="P83" s="51"/>
    </row>
    <row r="84" spans="1:16" ht="11.25" customHeight="1" x14ac:dyDescent="0.2">
      <c r="A84" s="43" t="s">
        <v>49</v>
      </c>
      <c r="B84" s="19"/>
      <c r="C84" s="55"/>
      <c r="D84" s="19"/>
      <c r="E84" s="55"/>
      <c r="F84" s="19"/>
      <c r="G84" s="55"/>
      <c r="H84" s="19"/>
      <c r="I84" s="55"/>
      <c r="J84" s="19"/>
      <c r="K84" s="55"/>
      <c r="L84" s="19"/>
      <c r="M84" s="55"/>
      <c r="N84" s="19"/>
      <c r="O84" s="59"/>
      <c r="P84" s="51"/>
    </row>
    <row r="85" spans="1:16" ht="11.25" customHeight="1" x14ac:dyDescent="0.2">
      <c r="B85" s="20"/>
      <c r="C85" s="56"/>
      <c r="D85" s="20"/>
      <c r="E85" s="56"/>
      <c r="F85" s="20"/>
      <c r="G85" s="56"/>
      <c r="H85" s="20"/>
      <c r="I85" s="56"/>
      <c r="J85" s="20"/>
      <c r="K85" s="56"/>
      <c r="L85" s="20"/>
      <c r="M85" s="56"/>
      <c r="N85" s="20"/>
      <c r="O85" s="60"/>
      <c r="P85" s="51"/>
    </row>
    <row r="86" spans="1:16" ht="11.25" customHeight="1" x14ac:dyDescent="0.2">
      <c r="B86" s="20"/>
      <c r="C86" s="56"/>
      <c r="D86" s="20"/>
      <c r="E86" s="56"/>
      <c r="F86" s="20"/>
      <c r="G86" s="56"/>
      <c r="H86" s="20"/>
      <c r="I86" s="56"/>
      <c r="J86" s="20"/>
      <c r="K86" s="56"/>
      <c r="L86" s="20"/>
      <c r="M86" s="56"/>
      <c r="N86" s="20"/>
      <c r="O86" s="60"/>
      <c r="P86" s="51"/>
    </row>
    <row r="87" spans="1:16" ht="11.25" customHeight="1" x14ac:dyDescent="0.2">
      <c r="B87" s="20"/>
      <c r="C87" s="56"/>
      <c r="D87" s="20"/>
      <c r="E87" s="56"/>
      <c r="F87" s="20"/>
      <c r="G87" s="56"/>
      <c r="H87" s="20"/>
      <c r="I87" s="56"/>
      <c r="J87" s="20"/>
      <c r="K87" s="56"/>
      <c r="L87" s="20"/>
      <c r="M87" s="56"/>
      <c r="N87" s="20"/>
      <c r="O87" s="60"/>
      <c r="P87" s="51"/>
    </row>
    <row r="88" spans="1:16" ht="11.25" customHeight="1" x14ac:dyDescent="0.2">
      <c r="B88" s="21"/>
      <c r="C88" s="57"/>
      <c r="D88" s="21"/>
      <c r="E88" s="57"/>
      <c r="F88" s="21"/>
      <c r="G88" s="57"/>
      <c r="H88" s="21"/>
      <c r="I88" s="57"/>
      <c r="J88" s="21"/>
      <c r="K88" s="57"/>
      <c r="L88" s="21"/>
      <c r="M88" s="57"/>
      <c r="N88" s="21"/>
      <c r="O88" s="61"/>
      <c r="P88" s="51"/>
    </row>
    <row r="89" spans="1:16" ht="11.25" customHeight="1" x14ac:dyDescent="0.2">
      <c r="A89" s="43" t="s">
        <v>50</v>
      </c>
      <c r="B89" s="54" t="s">
        <v>346</v>
      </c>
      <c r="C89" s="70">
        <f>SUM(C84:C88)</f>
        <v>0</v>
      </c>
      <c r="D89" s="77"/>
      <c r="E89" s="70">
        <f>SUM(E84:E88)</f>
        <v>0</v>
      </c>
      <c r="F89" s="77"/>
      <c r="G89" s="70">
        <f>SUM(G84:G88)</f>
        <v>0</v>
      </c>
      <c r="H89" s="77"/>
      <c r="I89" s="70">
        <f>SUM(I84:I88)</f>
        <v>0</v>
      </c>
      <c r="J89" s="77"/>
      <c r="K89" s="70">
        <f>SUM(K84:K88)</f>
        <v>0</v>
      </c>
      <c r="L89" s="77"/>
      <c r="M89" s="70">
        <f>SUM(M84:M88)</f>
        <v>0</v>
      </c>
      <c r="N89" s="77"/>
      <c r="O89" s="74">
        <f>SUM(O84:O88)</f>
        <v>0</v>
      </c>
      <c r="P89" s="75">
        <f>SUM(C89,E89,G89,I89,K89,M89,O89)</f>
        <v>0</v>
      </c>
    </row>
    <row r="90" spans="1:16" s="45" customFormat="1" x14ac:dyDescent="0.2">
      <c r="A90" s="46"/>
      <c r="C90" s="6"/>
      <c r="D90" s="6"/>
      <c r="E90" s="6"/>
      <c r="F90" s="6"/>
      <c r="G90" s="6"/>
      <c r="H90" s="6"/>
      <c r="I90" s="6"/>
      <c r="J90" s="6"/>
      <c r="K90" s="6"/>
      <c r="L90" s="6"/>
      <c r="M90" s="6"/>
      <c r="N90" s="6"/>
      <c r="O90" s="6"/>
    </row>
    <row r="91" spans="1:16" ht="15" customHeight="1" x14ac:dyDescent="0.2">
      <c r="A91" s="43" t="s">
        <v>51</v>
      </c>
      <c r="B91" s="9">
        <f ca="1">N82+1</f>
        <v>17</v>
      </c>
      <c r="C91" s="10"/>
      <c r="D91" s="9">
        <f ca="1">B91+1</f>
        <v>18</v>
      </c>
      <c r="E91" s="10"/>
      <c r="F91" s="9">
        <f ca="1">D91+1</f>
        <v>19</v>
      </c>
      <c r="G91" s="10"/>
      <c r="H91" s="9">
        <f ca="1">F91+1</f>
        <v>20</v>
      </c>
      <c r="I91" s="10"/>
      <c r="J91" s="9">
        <f ca="1">H91+1</f>
        <v>21</v>
      </c>
      <c r="K91" s="10"/>
      <c r="L91" s="9">
        <f ca="1">J91+1</f>
        <v>22</v>
      </c>
      <c r="M91" s="10"/>
      <c r="N91" s="9">
        <f ca="1">L91+1</f>
        <v>23</v>
      </c>
      <c r="O91" s="10"/>
      <c r="P91" s="27"/>
    </row>
    <row r="92" spans="1:16" ht="11.25" customHeight="1" x14ac:dyDescent="0.2">
      <c r="A92" s="43" t="s">
        <v>52</v>
      </c>
      <c r="B92" s="35" t="s">
        <v>345</v>
      </c>
      <c r="C92" s="37" t="s">
        <v>359</v>
      </c>
      <c r="D92" s="35" t="s">
        <v>345</v>
      </c>
      <c r="E92" s="37" t="s">
        <v>359</v>
      </c>
      <c r="F92" s="35" t="s">
        <v>345</v>
      </c>
      <c r="G92" s="37" t="s">
        <v>359</v>
      </c>
      <c r="H92" s="35" t="s">
        <v>345</v>
      </c>
      <c r="I92" s="37" t="s">
        <v>359</v>
      </c>
      <c r="J92" s="35" t="s">
        <v>345</v>
      </c>
      <c r="K92" s="37" t="s">
        <v>359</v>
      </c>
      <c r="L92" s="35" t="s">
        <v>345</v>
      </c>
      <c r="M92" s="37" t="s">
        <v>359</v>
      </c>
      <c r="N92" s="35" t="s">
        <v>345</v>
      </c>
      <c r="O92" s="38" t="s">
        <v>359</v>
      </c>
      <c r="P92" s="51"/>
    </row>
    <row r="93" spans="1:16" ht="11.25" customHeight="1" x14ac:dyDescent="0.2">
      <c r="A93" s="43" t="s">
        <v>53</v>
      </c>
      <c r="B93" s="19"/>
      <c r="C93" s="55"/>
      <c r="D93" s="19"/>
      <c r="E93" s="55"/>
      <c r="F93" s="19"/>
      <c r="G93" s="55"/>
      <c r="H93" s="19"/>
      <c r="I93" s="55"/>
      <c r="J93" s="19"/>
      <c r="K93" s="55"/>
      <c r="L93" s="19"/>
      <c r="M93" s="55"/>
      <c r="N93" s="19"/>
      <c r="O93" s="59"/>
      <c r="P93" s="51"/>
    </row>
    <row r="94" spans="1:16" ht="11.25" customHeight="1" x14ac:dyDescent="0.2">
      <c r="B94" s="20"/>
      <c r="C94" s="56"/>
      <c r="D94" s="20"/>
      <c r="E94" s="56"/>
      <c r="F94" s="20"/>
      <c r="G94" s="56"/>
      <c r="H94" s="20"/>
      <c r="I94" s="56"/>
      <c r="J94" s="20"/>
      <c r="K94" s="56"/>
      <c r="L94" s="20"/>
      <c r="M94" s="56"/>
      <c r="N94" s="20"/>
      <c r="O94" s="60"/>
      <c r="P94" s="51"/>
    </row>
    <row r="95" spans="1:16" ht="11.25" customHeight="1" x14ac:dyDescent="0.2">
      <c r="B95" s="20"/>
      <c r="C95" s="56"/>
      <c r="D95" s="20"/>
      <c r="E95" s="56"/>
      <c r="F95" s="20"/>
      <c r="G95" s="56"/>
      <c r="H95" s="20"/>
      <c r="I95" s="56"/>
      <c r="J95" s="20"/>
      <c r="K95" s="56"/>
      <c r="L95" s="20"/>
      <c r="M95" s="56"/>
      <c r="N95" s="20"/>
      <c r="O95" s="60"/>
      <c r="P95" s="51"/>
    </row>
    <row r="96" spans="1:16" ht="11.25" customHeight="1" x14ac:dyDescent="0.2">
      <c r="B96" s="20"/>
      <c r="C96" s="56"/>
      <c r="D96" s="20"/>
      <c r="E96" s="56"/>
      <c r="F96" s="20"/>
      <c r="G96" s="56"/>
      <c r="H96" s="20"/>
      <c r="I96" s="56"/>
      <c r="J96" s="20"/>
      <c r="K96" s="56"/>
      <c r="L96" s="20"/>
      <c r="M96" s="56"/>
      <c r="N96" s="20"/>
      <c r="O96" s="60"/>
      <c r="P96" s="51"/>
    </row>
    <row r="97" spans="1:16" ht="11.25" customHeight="1" x14ac:dyDescent="0.2">
      <c r="B97" s="21"/>
      <c r="C97" s="57"/>
      <c r="D97" s="21"/>
      <c r="E97" s="57"/>
      <c r="F97" s="21"/>
      <c r="G97" s="57"/>
      <c r="H97" s="21"/>
      <c r="I97" s="57"/>
      <c r="J97" s="21"/>
      <c r="K97" s="57"/>
      <c r="L97" s="21"/>
      <c r="M97" s="57"/>
      <c r="N97" s="21"/>
      <c r="O97" s="61"/>
      <c r="P97" s="51"/>
    </row>
    <row r="98" spans="1:16" ht="11.25" customHeight="1" x14ac:dyDescent="0.2">
      <c r="A98" s="43" t="s">
        <v>54</v>
      </c>
      <c r="B98" s="53" t="s">
        <v>346</v>
      </c>
      <c r="C98" s="70">
        <f>SUM(C93:C97)</f>
        <v>0</v>
      </c>
      <c r="D98" s="77"/>
      <c r="E98" s="70">
        <f>SUM(E93:E97)</f>
        <v>0</v>
      </c>
      <c r="F98" s="77"/>
      <c r="G98" s="70">
        <f>SUM(G93:G97)</f>
        <v>0</v>
      </c>
      <c r="H98" s="77"/>
      <c r="I98" s="70">
        <f>SUM(I93:I97)</f>
        <v>0</v>
      </c>
      <c r="J98" s="77"/>
      <c r="K98" s="70">
        <f>SUM(K93:K97)</f>
        <v>0</v>
      </c>
      <c r="L98" s="77"/>
      <c r="M98" s="70">
        <f>SUM(M93:M97)</f>
        <v>0</v>
      </c>
      <c r="N98" s="77"/>
      <c r="O98" s="74">
        <f>SUM(O93:O97)</f>
        <v>0</v>
      </c>
      <c r="P98" s="75">
        <f>SUM(C98,E98,G98,I98,K98,M98,O98)</f>
        <v>0</v>
      </c>
    </row>
    <row r="99" spans="1:16" s="45" customFormat="1" x14ac:dyDescent="0.2">
      <c r="A99" s="46"/>
      <c r="C99" s="6"/>
      <c r="D99" s="6"/>
      <c r="E99" s="6"/>
      <c r="F99" s="6"/>
      <c r="G99" s="6"/>
      <c r="H99" s="6"/>
      <c r="I99" s="6"/>
      <c r="J99" s="6"/>
      <c r="K99" s="6"/>
      <c r="L99" s="6"/>
      <c r="M99" s="6"/>
      <c r="N99" s="6"/>
      <c r="O99" s="6"/>
    </row>
    <row r="100" spans="1:16" ht="15" customHeight="1" x14ac:dyDescent="0.2">
      <c r="A100" s="43" t="s">
        <v>55</v>
      </c>
      <c r="B100" s="9">
        <f ca="1">DAY(IF(DAY(FebSun1)=1,FebSun1+22,FebSun1+29))</f>
        <v>24</v>
      </c>
      <c r="C100" s="10"/>
      <c r="D100" s="9">
        <f ca="1">DAY(IF(DAY(FebSun1)=1,FebSun1+23,FebSun1+30))</f>
        <v>25</v>
      </c>
      <c r="E100" s="10"/>
      <c r="F100" s="9">
        <f ca="1">DAY(IF(DAY(FebSun1)=1,FebSun1+24,FebSun1+31))</f>
        <v>26</v>
      </c>
      <c r="G100" s="10"/>
      <c r="H100" s="9">
        <f ca="1">DAY(IF(DAY(FebSun1)=1,FebSun1+25,FebSun1+32))</f>
        <v>27</v>
      </c>
      <c r="I100" s="10"/>
      <c r="J100" s="9">
        <f ca="1">DAY(IF(DAY(FebSun1)=1,FebSun1+26,FebSun1+33))</f>
        <v>28</v>
      </c>
      <c r="K100" s="10"/>
      <c r="L100" s="9">
        <f ca="1">DAY(IF(DAY(FebSun1)=1,FebSun1+27,FebSun1+34))</f>
        <v>1</v>
      </c>
      <c r="M100" s="10"/>
      <c r="N100" s="9">
        <f ca="1">DAY(IF(DAY(FebSun1)=1,FebSun1+28,FebSun1+35))</f>
        <v>2</v>
      </c>
      <c r="O100" s="10"/>
      <c r="P100" s="27"/>
    </row>
    <row r="101" spans="1:16" ht="11.25" customHeight="1" x14ac:dyDescent="0.2">
      <c r="A101" s="43" t="s">
        <v>56</v>
      </c>
      <c r="B101" s="35" t="s">
        <v>345</v>
      </c>
      <c r="C101" s="37" t="s">
        <v>359</v>
      </c>
      <c r="D101" s="35" t="s">
        <v>345</v>
      </c>
      <c r="E101" s="37" t="s">
        <v>359</v>
      </c>
      <c r="F101" s="35" t="s">
        <v>345</v>
      </c>
      <c r="G101" s="37" t="s">
        <v>359</v>
      </c>
      <c r="H101" s="35" t="s">
        <v>345</v>
      </c>
      <c r="I101" s="37" t="s">
        <v>359</v>
      </c>
      <c r="J101" s="35" t="s">
        <v>345</v>
      </c>
      <c r="K101" s="37" t="s">
        <v>359</v>
      </c>
      <c r="L101" s="35" t="s">
        <v>345</v>
      </c>
      <c r="M101" s="37" t="s">
        <v>359</v>
      </c>
      <c r="N101" s="35" t="s">
        <v>345</v>
      </c>
      <c r="O101" s="38" t="s">
        <v>359</v>
      </c>
      <c r="P101" s="51"/>
    </row>
    <row r="102" spans="1:16" ht="11.25" customHeight="1" x14ac:dyDescent="0.2">
      <c r="A102" s="43" t="s">
        <v>57</v>
      </c>
      <c r="B102" s="14"/>
      <c r="C102" s="55"/>
      <c r="D102" s="17"/>
      <c r="E102" s="55"/>
      <c r="F102" s="14"/>
      <c r="G102" s="55"/>
      <c r="H102" s="14"/>
      <c r="I102" s="55"/>
      <c r="J102" s="14"/>
      <c r="K102" s="55"/>
      <c r="L102" s="14"/>
      <c r="M102" s="55"/>
      <c r="N102" s="23"/>
      <c r="O102" s="64"/>
      <c r="P102" s="51"/>
    </row>
    <row r="103" spans="1:16" ht="11.25" customHeight="1" x14ac:dyDescent="0.2">
      <c r="B103" s="15"/>
      <c r="C103" s="56"/>
      <c r="D103" s="15"/>
      <c r="E103" s="56"/>
      <c r="F103" s="15"/>
      <c r="G103" s="56"/>
      <c r="H103" s="15"/>
      <c r="I103" s="56"/>
      <c r="J103" s="15"/>
      <c r="K103" s="56"/>
      <c r="L103" s="15"/>
      <c r="M103" s="56"/>
      <c r="N103" s="24"/>
      <c r="O103" s="65"/>
      <c r="P103" s="51"/>
    </row>
    <row r="104" spans="1:16" ht="11.25" customHeight="1" x14ac:dyDescent="0.2">
      <c r="B104" s="15"/>
      <c r="C104" s="56"/>
      <c r="D104" s="15"/>
      <c r="E104" s="56"/>
      <c r="F104" s="15"/>
      <c r="G104" s="56"/>
      <c r="H104" s="15"/>
      <c r="I104" s="56"/>
      <c r="J104" s="15"/>
      <c r="K104" s="56"/>
      <c r="L104" s="15"/>
      <c r="M104" s="56"/>
      <c r="N104" s="24"/>
      <c r="O104" s="65"/>
      <c r="P104" s="51"/>
    </row>
    <row r="105" spans="1:16" ht="11.25" customHeight="1" x14ac:dyDescent="0.2">
      <c r="B105" s="15"/>
      <c r="C105" s="56"/>
      <c r="D105" s="15"/>
      <c r="E105" s="56"/>
      <c r="F105" s="15"/>
      <c r="G105" s="56"/>
      <c r="H105" s="15"/>
      <c r="I105" s="56"/>
      <c r="J105" s="15"/>
      <c r="K105" s="56"/>
      <c r="L105" s="15"/>
      <c r="M105" s="56"/>
      <c r="N105" s="24"/>
      <c r="O105" s="65"/>
      <c r="P105" s="51"/>
    </row>
    <row r="106" spans="1:16" ht="11.25" customHeight="1" x14ac:dyDescent="0.2">
      <c r="B106" s="16"/>
      <c r="C106" s="57"/>
      <c r="D106" s="16"/>
      <c r="E106" s="57"/>
      <c r="F106" s="16"/>
      <c r="G106" s="57"/>
      <c r="H106" s="16"/>
      <c r="I106" s="57"/>
      <c r="J106" s="16"/>
      <c r="K106" s="57"/>
      <c r="L106" s="16"/>
      <c r="M106" s="57"/>
      <c r="N106" s="25"/>
      <c r="O106" s="66"/>
      <c r="P106" s="51"/>
    </row>
    <row r="107" spans="1:16" ht="11.25" customHeight="1" x14ac:dyDescent="0.2">
      <c r="A107" s="43" t="s">
        <v>58</v>
      </c>
      <c r="B107" s="53" t="s">
        <v>346</v>
      </c>
      <c r="C107" s="70">
        <f>SUM(C102:C106)</f>
        <v>0</v>
      </c>
      <c r="D107" s="77"/>
      <c r="E107" s="70">
        <f>SUM(E102:E106)</f>
        <v>0</v>
      </c>
      <c r="F107" s="77"/>
      <c r="G107" s="70">
        <f>SUM(G102:G106)</f>
        <v>0</v>
      </c>
      <c r="H107" s="77"/>
      <c r="I107" s="70">
        <f>SUM(I102:I106)</f>
        <v>0</v>
      </c>
      <c r="J107" s="77"/>
      <c r="K107" s="70">
        <f>SUM(K102:K106)</f>
        <v>0</v>
      </c>
      <c r="L107" s="77"/>
      <c r="M107" s="70">
        <f>SUM(M102:M106)</f>
        <v>0</v>
      </c>
      <c r="N107" s="77"/>
      <c r="O107" s="74">
        <f>SUM(O102:O106)</f>
        <v>0</v>
      </c>
      <c r="P107" s="75">
        <f ca="1">SUMIF(B100:N100,"&gt;="&amp;15,C107:O107)</f>
        <v>0</v>
      </c>
    </row>
    <row r="108" spans="1:16" s="45" customFormat="1" x14ac:dyDescent="0.2">
      <c r="A108" s="46"/>
      <c r="C108" s="6"/>
      <c r="D108" s="6"/>
      <c r="E108" s="6"/>
      <c r="F108" s="6"/>
      <c r="G108" s="6"/>
      <c r="H108" s="6"/>
      <c r="I108" s="6"/>
      <c r="J108" s="6"/>
      <c r="K108" s="6"/>
      <c r="L108" s="6"/>
      <c r="M108" s="6"/>
      <c r="N108" s="6"/>
      <c r="O108" s="6"/>
    </row>
    <row r="109" spans="1:16" ht="15" customHeight="1" x14ac:dyDescent="0.2">
      <c r="A109" s="43" t="s">
        <v>59</v>
      </c>
      <c r="B109" s="9">
        <f ca="1">DAY(IF(DAY(FebSun1)=1,FebSun1+29,FebSun1+36))</f>
        <v>3</v>
      </c>
      <c r="C109" s="8"/>
      <c r="D109" s="9">
        <f ca="1">DAY(IF(DAY(FebSun1)=1,FebSun1+30,FebSun1+37))</f>
        <v>4</v>
      </c>
      <c r="E109" s="10"/>
      <c r="F109" s="7">
        <f ca="1">DAY(IF(DAY(FebSun1)=1,FebSun1+31,FebSun1+38))</f>
        <v>5</v>
      </c>
      <c r="G109" s="10"/>
      <c r="H109" s="9">
        <f ca="1">DAY(IF(DAY(FebSun1)=1,FebSun1+32,FebSun1+39))</f>
        <v>6</v>
      </c>
      <c r="I109" s="10"/>
      <c r="J109" s="9">
        <f ca="1">DAY(IF(DAY(FebSun1)=1,FebSun1+33,FebSun1+40))</f>
        <v>7</v>
      </c>
      <c r="K109" s="10"/>
      <c r="L109" s="9">
        <f ca="1">DAY(IF(DAY(FebSun1)=1,FebSun1+34,FebSun1+41))</f>
        <v>8</v>
      </c>
      <c r="M109" s="10"/>
      <c r="N109" s="9">
        <f ca="1">DAY(IF(DAY(FebSun1)=1,FebSun1+35,FebSun1+42))</f>
        <v>9</v>
      </c>
      <c r="O109" s="10"/>
      <c r="P109" s="27"/>
    </row>
    <row r="110" spans="1:16" ht="11.25" customHeight="1" x14ac:dyDescent="0.2">
      <c r="A110" s="43" t="s">
        <v>60</v>
      </c>
      <c r="B110" s="35" t="s">
        <v>345</v>
      </c>
      <c r="C110" s="37" t="s">
        <v>359</v>
      </c>
      <c r="D110" s="35" t="s">
        <v>345</v>
      </c>
      <c r="E110" s="37" t="s">
        <v>359</v>
      </c>
      <c r="F110" s="35" t="s">
        <v>345</v>
      </c>
      <c r="G110" s="37" t="s">
        <v>359</v>
      </c>
      <c r="H110" s="35" t="s">
        <v>345</v>
      </c>
      <c r="I110" s="37" t="s">
        <v>359</v>
      </c>
      <c r="J110" s="35" t="s">
        <v>345</v>
      </c>
      <c r="K110" s="37" t="s">
        <v>359</v>
      </c>
      <c r="L110" s="35" t="s">
        <v>345</v>
      </c>
      <c r="M110" s="37" t="s">
        <v>359</v>
      </c>
      <c r="N110" s="35" t="s">
        <v>345</v>
      </c>
      <c r="O110" s="38" t="s">
        <v>359</v>
      </c>
      <c r="P110" s="51"/>
    </row>
    <row r="111" spans="1:16" ht="11.25" customHeight="1" x14ac:dyDescent="0.2">
      <c r="A111" s="43" t="s">
        <v>61</v>
      </c>
      <c r="B111" s="14"/>
      <c r="C111" s="55"/>
      <c r="D111" s="17"/>
      <c r="E111" s="55"/>
      <c r="F111" s="14"/>
      <c r="G111" s="55"/>
      <c r="H111" s="14"/>
      <c r="I111" s="55"/>
      <c r="J111" s="14"/>
      <c r="K111" s="55"/>
      <c r="L111" s="14"/>
      <c r="M111" s="55"/>
      <c r="N111" s="14"/>
      <c r="O111" s="59"/>
      <c r="P111" s="51"/>
    </row>
    <row r="112" spans="1:16" ht="11.25" customHeight="1" x14ac:dyDescent="0.2">
      <c r="B112" s="15"/>
      <c r="C112" s="56"/>
      <c r="D112" s="15"/>
      <c r="E112" s="56"/>
      <c r="F112" s="15"/>
      <c r="G112" s="56"/>
      <c r="H112" s="15"/>
      <c r="I112" s="56"/>
      <c r="J112" s="15"/>
      <c r="K112" s="56"/>
      <c r="L112" s="15"/>
      <c r="M112" s="56"/>
      <c r="N112" s="15"/>
      <c r="O112" s="60"/>
      <c r="P112" s="51"/>
    </row>
    <row r="113" spans="1:16" ht="11.25" customHeight="1" x14ac:dyDescent="0.2">
      <c r="B113" s="15"/>
      <c r="C113" s="56"/>
      <c r="D113" s="15"/>
      <c r="E113" s="56"/>
      <c r="F113" s="15"/>
      <c r="G113" s="56"/>
      <c r="H113" s="15"/>
      <c r="I113" s="56"/>
      <c r="J113" s="15"/>
      <c r="K113" s="56"/>
      <c r="L113" s="15"/>
      <c r="M113" s="56"/>
      <c r="N113" s="15"/>
      <c r="O113" s="60"/>
      <c r="P113" s="51"/>
    </row>
    <row r="114" spans="1:16" ht="11.25" customHeight="1" x14ac:dyDescent="0.2">
      <c r="B114" s="15"/>
      <c r="C114" s="56"/>
      <c r="D114" s="15"/>
      <c r="E114" s="56"/>
      <c r="F114" s="15"/>
      <c r="G114" s="56"/>
      <c r="H114" s="15"/>
      <c r="I114" s="56"/>
      <c r="J114" s="15"/>
      <c r="K114" s="56"/>
      <c r="L114" s="15"/>
      <c r="M114" s="56"/>
      <c r="N114" s="15"/>
      <c r="O114" s="60"/>
      <c r="P114" s="51"/>
    </row>
    <row r="115" spans="1:16" ht="11.25" customHeight="1" x14ac:dyDescent="0.2">
      <c r="B115" s="16"/>
      <c r="C115" s="57"/>
      <c r="D115" s="16"/>
      <c r="E115" s="57"/>
      <c r="F115" s="16"/>
      <c r="G115" s="57"/>
      <c r="H115" s="16"/>
      <c r="I115" s="57"/>
      <c r="J115" s="16"/>
      <c r="K115" s="57"/>
      <c r="L115" s="16"/>
      <c r="M115" s="57"/>
      <c r="N115" s="16"/>
      <c r="O115" s="61"/>
      <c r="P115" s="51"/>
    </row>
    <row r="116" spans="1:16" ht="11.25" customHeight="1" x14ac:dyDescent="0.2">
      <c r="A116" s="43" t="s">
        <v>62</v>
      </c>
      <c r="B116" s="53" t="s">
        <v>346</v>
      </c>
      <c r="C116" s="70">
        <f>SUM(C111:C115)</f>
        <v>0</v>
      </c>
      <c r="D116" s="77"/>
      <c r="E116" s="70">
        <f>SUM(E111:E115)</f>
        <v>0</v>
      </c>
      <c r="F116" s="77"/>
      <c r="G116" s="70">
        <f>SUM(G111:G115)</f>
        <v>0</v>
      </c>
      <c r="H116" s="77"/>
      <c r="I116" s="70">
        <f>SUM(I111:I115)</f>
        <v>0</v>
      </c>
      <c r="J116" s="77"/>
      <c r="K116" s="70">
        <f>SUM(K111:K115)</f>
        <v>0</v>
      </c>
      <c r="L116" s="77"/>
      <c r="M116" s="70">
        <f>SUM(M111:M115)</f>
        <v>0</v>
      </c>
      <c r="N116" s="77"/>
      <c r="O116" s="74">
        <f>SUM(O111:O115)</f>
        <v>0</v>
      </c>
      <c r="P116" s="75">
        <f ca="1">SUMIF(B109:N109,"&gt;="&amp;15,C116:O116)</f>
        <v>0</v>
      </c>
    </row>
    <row r="117" spans="1:16" s="45" customFormat="1" ht="17.25" customHeight="1" x14ac:dyDescent="0.2">
      <c r="A117" s="46"/>
      <c r="B117" s="49"/>
      <c r="C117" s="50"/>
      <c r="D117" s="49"/>
      <c r="E117" s="50"/>
      <c r="F117" s="49"/>
      <c r="G117" s="50"/>
      <c r="H117" s="49"/>
      <c r="I117" s="50"/>
      <c r="J117" s="49"/>
      <c r="K117" s="50"/>
      <c r="L117" s="49"/>
      <c r="M117" s="50"/>
      <c r="N117" s="49"/>
      <c r="O117" s="50"/>
      <c r="P117" s="49"/>
    </row>
    <row r="118" spans="1:16" ht="12" customHeight="1" x14ac:dyDescent="0.2">
      <c r="A118" s="43" t="s">
        <v>63</v>
      </c>
      <c r="B118" s="97" t="s">
        <v>348</v>
      </c>
      <c r="C118" s="97"/>
      <c r="D118" s="97"/>
      <c r="E118" s="97"/>
      <c r="F118"/>
      <c r="G118" s="4"/>
      <c r="H118"/>
      <c r="I118" s="4"/>
      <c r="J118"/>
      <c r="K118" s="4"/>
      <c r="L118" s="81" t="s">
        <v>369</v>
      </c>
      <c r="M118" s="81"/>
      <c r="N118" s="81" t="s">
        <v>371</v>
      </c>
      <c r="O118" s="81"/>
      <c r="P118"/>
    </row>
    <row r="119" spans="1:16" ht="25.5" customHeight="1" x14ac:dyDescent="0.2">
      <c r="A119" s="43" t="s">
        <v>64</v>
      </c>
      <c r="B119" s="97"/>
      <c r="C119" s="97"/>
      <c r="D119" s="97"/>
      <c r="E119" s="97"/>
      <c r="F119" s="47" t="str">
        <f ca="1">IFERROR(WEEKDAY(DATEVALUE(B118&amp;" 1, "&amp;Year1)),"")</f>
        <v/>
      </c>
      <c r="G119" s="6"/>
      <c r="H119" s="45"/>
      <c r="I119" s="6"/>
      <c r="J119" s="45"/>
      <c r="K119" s="6"/>
      <c r="L119" s="82">
        <f ca="1">SUM(P129,P138,P147,P156,P165,P174)</f>
        <v>0</v>
      </c>
      <c r="M119" s="83"/>
      <c r="N119" s="82">
        <f ca="1">SUM(P:P)</f>
        <v>439.95</v>
      </c>
      <c r="O119" s="84"/>
      <c r="P119"/>
    </row>
    <row r="120" spans="1:16" s="45" customFormat="1" ht="9" customHeight="1" x14ac:dyDescent="0.2">
      <c r="A120" s="46" t="s">
        <v>65</v>
      </c>
      <c r="B120" s="98">
        <v>1</v>
      </c>
      <c r="C120" s="98"/>
      <c r="D120" s="98">
        <v>2</v>
      </c>
      <c r="E120" s="98"/>
      <c r="F120" s="98">
        <v>3</v>
      </c>
      <c r="G120" s="98"/>
      <c r="H120" s="98">
        <v>4</v>
      </c>
      <c r="I120" s="98"/>
      <c r="J120" s="98">
        <v>5</v>
      </c>
      <c r="K120" s="98"/>
      <c r="L120" s="98">
        <v>6</v>
      </c>
      <c r="M120" s="98"/>
      <c r="N120" s="98">
        <v>7</v>
      </c>
      <c r="O120" s="98"/>
      <c r="P120" s="48"/>
    </row>
    <row r="121" spans="1:16" ht="15" customHeight="1" x14ac:dyDescent="0.2">
      <c r="A121" s="43" t="s">
        <v>66</v>
      </c>
      <c r="B121" s="87" t="s">
        <v>372</v>
      </c>
      <c r="C121" s="88"/>
      <c r="D121" s="89" t="s">
        <v>344</v>
      </c>
      <c r="E121" s="90"/>
      <c r="F121" s="91" t="s">
        <v>360</v>
      </c>
      <c r="G121" s="90" t="e">
        <f ca="1">IF(WEEKDAY(DATEVALUE(Month1&amp;" 1, "&amp;Year1))=COLUMN(#REF!),1,IF(LEN(E121)&gt;0,E121+1,""))</f>
        <v>#VALUE!</v>
      </c>
      <c r="H121" s="92" t="s">
        <v>361</v>
      </c>
      <c r="I121" s="92" t="e">
        <f ca="1">IF(WEEKDAY(DATEVALUE(Month1&amp;" 1, "&amp;Year1))=COLUMN(#REF!),1,IF(LEN(G121)&gt;0,G121+1,""))</f>
        <v>#VALUE!</v>
      </c>
      <c r="J121" s="91" t="s">
        <v>364</v>
      </c>
      <c r="K121" s="90" t="e">
        <f ca="1">IF(WEEKDAY(DATEVALUE(Month1&amp;" 1, "&amp;Year1))=COLUMN(#REF!),1,IF(LEN(I121)&gt;0,I121+1,""))</f>
        <v>#VALUE!</v>
      </c>
      <c r="L121" s="93" t="s">
        <v>368</v>
      </c>
      <c r="M121" s="94" t="e">
        <f ca="1">IF(WEEKDAY(DATEVALUE(Month1&amp;" 1, "&amp;Year1))=COLUMN(#REF!),1,IF(LEN(K121)&gt;0,K121+1,""))</f>
        <v>#VALUE!</v>
      </c>
      <c r="N121" s="95" t="s">
        <v>370</v>
      </c>
      <c r="O121" s="96" t="e">
        <f ca="1">IF(WEEKDAY(DATEVALUE(Month1&amp;" 1, "&amp;Year1))=COLUMN(#REF!),1,IF(LEN(M121)&gt;0,M121+1,""))</f>
        <v>#VALUE!</v>
      </c>
      <c r="P121" s="40" t="s">
        <v>373</v>
      </c>
    </row>
    <row r="122" spans="1:16" ht="15" customHeight="1" x14ac:dyDescent="0.2">
      <c r="A122" s="43" t="s">
        <v>67</v>
      </c>
      <c r="B122" s="11">
        <f ca="1">DAY(IF(DAY(MarSun1)=1,MarSun1-6,MarSun1+1))</f>
        <v>24</v>
      </c>
      <c r="C122" s="13"/>
      <c r="D122" s="18">
        <f ca="1">DAY(IF(DAY(MarSun1)=1,MarSun1-5,MarSun1+2))</f>
        <v>25</v>
      </c>
      <c r="E122" s="13"/>
      <c r="F122" s="18">
        <f ca="1">DAY(IF(DAY(MarSun1)=1,MarSun1-4,MarSun1+3))</f>
        <v>26</v>
      </c>
      <c r="G122" s="13"/>
      <c r="H122" s="18">
        <f ca="1">DAY(IF(DAY(MarSun1)=1,MarSun1-3,MarSun1+4))</f>
        <v>27</v>
      </c>
      <c r="I122" s="13"/>
      <c r="J122" s="18">
        <f ca="1">DAY(IF(DAY(MarSun1)=1,MarSun1-2,MarSun1+5))</f>
        <v>28</v>
      </c>
      <c r="K122" s="13"/>
      <c r="L122" s="18">
        <f ca="1">DAY(IF(DAY(MarSun1)=1,MarSun1-1,MarSun1+6))</f>
        <v>1</v>
      </c>
      <c r="M122" s="13"/>
      <c r="N122" s="22">
        <f ca="1">DAY(IF(DAY(MarSun1)=1,MarSun1,MarSun1+7))</f>
        <v>2</v>
      </c>
      <c r="O122" s="12"/>
      <c r="P122" s="51"/>
    </row>
    <row r="123" spans="1:16" ht="11.25" customHeight="1" x14ac:dyDescent="0.2">
      <c r="A123" s="43" t="s">
        <v>68</v>
      </c>
      <c r="B123" s="39" t="s">
        <v>345</v>
      </c>
      <c r="C123" s="34" t="s">
        <v>359</v>
      </c>
      <c r="D123" s="33" t="s">
        <v>345</v>
      </c>
      <c r="E123" s="34" t="s">
        <v>359</v>
      </c>
      <c r="F123" s="33" t="s">
        <v>345</v>
      </c>
      <c r="G123" s="34" t="s">
        <v>359</v>
      </c>
      <c r="H123" s="33" t="s">
        <v>345</v>
      </c>
      <c r="I123" s="34" t="s">
        <v>359</v>
      </c>
      <c r="J123" s="33" t="s">
        <v>345</v>
      </c>
      <c r="K123" s="34" t="s">
        <v>359</v>
      </c>
      <c r="L123" s="33" t="s">
        <v>345</v>
      </c>
      <c r="M123" s="34" t="s">
        <v>359</v>
      </c>
      <c r="N123" s="35" t="s">
        <v>345</v>
      </c>
      <c r="O123" s="36" t="s">
        <v>359</v>
      </c>
      <c r="P123" s="51"/>
    </row>
    <row r="124" spans="1:16" ht="11.25" customHeight="1" x14ac:dyDescent="0.2">
      <c r="A124" s="43" t="s">
        <v>69</v>
      </c>
      <c r="B124" s="14"/>
      <c r="C124" s="55"/>
      <c r="D124" s="17"/>
      <c r="E124" s="55"/>
      <c r="F124" s="14"/>
      <c r="G124" s="55"/>
      <c r="H124" s="14"/>
      <c r="I124" s="55"/>
      <c r="J124" s="14"/>
      <c r="K124" s="55"/>
      <c r="L124" s="14"/>
      <c r="M124" s="55"/>
      <c r="N124" s="14"/>
      <c r="O124" s="59"/>
      <c r="P124" s="51"/>
    </row>
    <row r="125" spans="1:16" ht="11.25" customHeight="1" x14ac:dyDescent="0.2">
      <c r="B125" s="15"/>
      <c r="C125" s="56"/>
      <c r="D125" s="15"/>
      <c r="E125" s="56"/>
      <c r="F125" s="15"/>
      <c r="G125" s="56"/>
      <c r="H125" s="15"/>
      <c r="I125" s="56"/>
      <c r="J125" s="15"/>
      <c r="K125" s="56"/>
      <c r="L125" s="15"/>
      <c r="M125" s="56"/>
      <c r="N125" s="15"/>
      <c r="O125" s="60"/>
      <c r="P125" s="51"/>
    </row>
    <row r="126" spans="1:16" ht="11.25" customHeight="1" x14ac:dyDescent="0.2">
      <c r="B126" s="15"/>
      <c r="C126" s="56"/>
      <c r="D126" s="15"/>
      <c r="E126" s="56"/>
      <c r="F126" s="15"/>
      <c r="G126" s="56"/>
      <c r="H126" s="15"/>
      <c r="I126" s="56"/>
      <c r="J126" s="15"/>
      <c r="K126" s="56"/>
      <c r="L126" s="15"/>
      <c r="M126" s="56"/>
      <c r="N126" s="15"/>
      <c r="O126" s="60"/>
      <c r="P126" s="51"/>
    </row>
    <row r="127" spans="1:16" ht="11.25" customHeight="1" x14ac:dyDescent="0.2">
      <c r="B127" s="15"/>
      <c r="C127" s="56"/>
      <c r="D127" s="15"/>
      <c r="E127" s="56"/>
      <c r="F127" s="15"/>
      <c r="G127" s="56"/>
      <c r="H127" s="15"/>
      <c r="I127" s="56"/>
      <c r="J127" s="15"/>
      <c r="K127" s="56"/>
      <c r="L127" s="15"/>
      <c r="M127" s="56"/>
      <c r="N127" s="15"/>
      <c r="O127" s="60"/>
      <c r="P127" s="51"/>
    </row>
    <row r="128" spans="1:16" ht="11.25" customHeight="1" x14ac:dyDescent="0.2">
      <c r="B128" s="16"/>
      <c r="C128" s="57"/>
      <c r="D128" s="16"/>
      <c r="E128" s="57"/>
      <c r="F128" s="16"/>
      <c r="G128" s="57"/>
      <c r="H128" s="16"/>
      <c r="I128" s="57"/>
      <c r="J128" s="16"/>
      <c r="K128" s="57"/>
      <c r="L128" s="16"/>
      <c r="M128" s="57"/>
      <c r="N128" s="16"/>
      <c r="O128" s="61"/>
      <c r="P128" s="51"/>
    </row>
    <row r="129" spans="1:16" ht="11.25" customHeight="1" x14ac:dyDescent="0.2">
      <c r="A129" s="43" t="s">
        <v>70</v>
      </c>
      <c r="B129" s="53" t="s">
        <v>346</v>
      </c>
      <c r="C129" s="70">
        <f>SUM(C124:C128)</f>
        <v>0</v>
      </c>
      <c r="D129" s="77"/>
      <c r="E129" s="70">
        <f>SUM(E124:E128)</f>
        <v>0</v>
      </c>
      <c r="F129" s="77"/>
      <c r="G129" s="70">
        <f>SUM(G124:G128)</f>
        <v>0</v>
      </c>
      <c r="H129" s="77"/>
      <c r="I129" s="70">
        <f>SUM(I124:I128)</f>
        <v>0</v>
      </c>
      <c r="J129" s="77"/>
      <c r="K129" s="70">
        <f>SUM(K124:K128)</f>
        <v>0</v>
      </c>
      <c r="L129" s="77"/>
      <c r="M129" s="70">
        <f>SUM(M124:M128)</f>
        <v>0</v>
      </c>
      <c r="N129" s="77"/>
      <c r="O129" s="74">
        <f>SUM(O124:O128)</f>
        <v>0</v>
      </c>
      <c r="P129" s="75">
        <f ca="1">SUMIF(B122:N122,"&lt;8",C129:O129)</f>
        <v>0</v>
      </c>
    </row>
    <row r="130" spans="1:16" s="45" customFormat="1" x14ac:dyDescent="0.2">
      <c r="A130" s="46"/>
      <c r="C130" s="6"/>
      <c r="D130" s="6"/>
      <c r="E130" s="6"/>
      <c r="F130" s="6"/>
      <c r="G130" s="6"/>
      <c r="H130" s="6"/>
      <c r="I130" s="6"/>
      <c r="J130" s="6"/>
      <c r="K130" s="6"/>
      <c r="L130" s="6"/>
      <c r="M130" s="6"/>
      <c r="N130" s="6"/>
      <c r="O130" s="6"/>
    </row>
    <row r="131" spans="1:16" ht="15" customHeight="1" x14ac:dyDescent="0.2">
      <c r="A131" s="44" t="s">
        <v>71</v>
      </c>
      <c r="B131" s="9">
        <f ca="1">N122+1</f>
        <v>3</v>
      </c>
      <c r="C131" s="10"/>
      <c r="D131" s="9">
        <f ca="1">B131+1</f>
        <v>4</v>
      </c>
      <c r="E131" s="10"/>
      <c r="F131" s="9">
        <f ca="1">D131+1</f>
        <v>5</v>
      </c>
      <c r="G131" s="10"/>
      <c r="H131" s="9">
        <f ca="1">F131+1</f>
        <v>6</v>
      </c>
      <c r="I131" s="10"/>
      <c r="J131" s="9">
        <f ca="1">H131+1</f>
        <v>7</v>
      </c>
      <c r="K131" s="10"/>
      <c r="L131" s="9">
        <f ca="1">J131+1</f>
        <v>8</v>
      </c>
      <c r="M131" s="10"/>
      <c r="N131" s="9">
        <f ca="1">L131+1</f>
        <v>9</v>
      </c>
      <c r="O131" s="10"/>
      <c r="P131" s="27"/>
    </row>
    <row r="132" spans="1:16" ht="11.25" customHeight="1" x14ac:dyDescent="0.2">
      <c r="A132" s="43" t="s">
        <v>72</v>
      </c>
      <c r="B132" s="35" t="s">
        <v>345</v>
      </c>
      <c r="C132" s="37" t="s">
        <v>359</v>
      </c>
      <c r="D132" s="35" t="s">
        <v>345</v>
      </c>
      <c r="E132" s="37" t="s">
        <v>359</v>
      </c>
      <c r="F132" s="35" t="s">
        <v>345</v>
      </c>
      <c r="G132" s="37" t="s">
        <v>359</v>
      </c>
      <c r="H132" s="35" t="s">
        <v>345</v>
      </c>
      <c r="I132" s="37" t="s">
        <v>359</v>
      </c>
      <c r="J132" s="35" t="s">
        <v>345</v>
      </c>
      <c r="K132" s="37" t="s">
        <v>359</v>
      </c>
      <c r="L132" s="35" t="s">
        <v>345</v>
      </c>
      <c r="M132" s="37" t="s">
        <v>359</v>
      </c>
      <c r="N132" s="35" t="s">
        <v>345</v>
      </c>
      <c r="O132" s="38" t="s">
        <v>359</v>
      </c>
      <c r="P132" s="51"/>
    </row>
    <row r="133" spans="1:16" ht="11.25" customHeight="1" x14ac:dyDescent="0.2">
      <c r="A133" s="43" t="s">
        <v>73</v>
      </c>
      <c r="B133" s="19"/>
      <c r="C133" s="55"/>
      <c r="D133" s="19"/>
      <c r="E133" s="55"/>
      <c r="F133" s="19"/>
      <c r="G133" s="55"/>
      <c r="H133" s="19"/>
      <c r="I133" s="55"/>
      <c r="J133" s="19"/>
      <c r="K133" s="55"/>
      <c r="L133" s="19"/>
      <c r="M133" s="55"/>
      <c r="N133" s="19"/>
      <c r="O133" s="59"/>
      <c r="P133" s="51"/>
    </row>
    <row r="134" spans="1:16" ht="11.25" customHeight="1" x14ac:dyDescent="0.2">
      <c r="B134" s="20"/>
      <c r="C134" s="56"/>
      <c r="D134" s="20"/>
      <c r="E134" s="56"/>
      <c r="F134" s="20"/>
      <c r="G134" s="56"/>
      <c r="H134" s="20"/>
      <c r="I134" s="56"/>
      <c r="J134" s="20"/>
      <c r="K134" s="56"/>
      <c r="L134" s="20"/>
      <c r="M134" s="56"/>
      <c r="N134" s="20"/>
      <c r="O134" s="60"/>
      <c r="P134" s="51"/>
    </row>
    <row r="135" spans="1:16" ht="11.25" customHeight="1" x14ac:dyDescent="0.2">
      <c r="B135" s="20"/>
      <c r="C135" s="56"/>
      <c r="D135" s="20"/>
      <c r="E135" s="56"/>
      <c r="F135" s="20"/>
      <c r="G135" s="56"/>
      <c r="H135" s="20"/>
      <c r="I135" s="56"/>
      <c r="J135" s="20"/>
      <c r="K135" s="56"/>
      <c r="L135" s="20"/>
      <c r="M135" s="56"/>
      <c r="N135" s="20"/>
      <c r="O135" s="60"/>
      <c r="P135" s="51"/>
    </row>
    <row r="136" spans="1:16" ht="11.25" customHeight="1" x14ac:dyDescent="0.2">
      <c r="B136" s="20"/>
      <c r="C136" s="56"/>
      <c r="D136" s="20"/>
      <c r="E136" s="56"/>
      <c r="F136" s="20"/>
      <c r="G136" s="56"/>
      <c r="H136" s="20"/>
      <c r="I136" s="56"/>
      <c r="J136" s="20"/>
      <c r="K136" s="56"/>
      <c r="L136" s="20"/>
      <c r="M136" s="56"/>
      <c r="N136" s="20"/>
      <c r="O136" s="60"/>
      <c r="P136" s="51"/>
    </row>
    <row r="137" spans="1:16" ht="11.25" customHeight="1" x14ac:dyDescent="0.2">
      <c r="B137" s="21"/>
      <c r="C137" s="57"/>
      <c r="D137" s="21"/>
      <c r="E137" s="57"/>
      <c r="F137" s="21"/>
      <c r="G137" s="57"/>
      <c r="H137" s="21"/>
      <c r="I137" s="57"/>
      <c r="J137" s="21"/>
      <c r="K137" s="57"/>
      <c r="L137" s="21"/>
      <c r="M137" s="57"/>
      <c r="N137" s="21"/>
      <c r="O137" s="61"/>
      <c r="P137" s="51"/>
    </row>
    <row r="138" spans="1:16" ht="11.25" customHeight="1" x14ac:dyDescent="0.2">
      <c r="A138" s="43" t="s">
        <v>74</v>
      </c>
      <c r="B138" s="53" t="s">
        <v>346</v>
      </c>
      <c r="C138" s="70">
        <f>SUM(C133:C137)</f>
        <v>0</v>
      </c>
      <c r="D138" s="77"/>
      <c r="E138" s="70">
        <f>SUM(E133:E137)</f>
        <v>0</v>
      </c>
      <c r="F138" s="77"/>
      <c r="G138" s="70">
        <f>SUM(G133:G137)</f>
        <v>0</v>
      </c>
      <c r="H138" s="77"/>
      <c r="I138" s="70">
        <f>SUM(I133:I137)</f>
        <v>0</v>
      </c>
      <c r="J138" s="77"/>
      <c r="K138" s="70">
        <f>SUM(K133:K137)</f>
        <v>0</v>
      </c>
      <c r="L138" s="77"/>
      <c r="M138" s="70">
        <f>SUM(M133:M137)</f>
        <v>0</v>
      </c>
      <c r="N138" s="77"/>
      <c r="O138" s="74">
        <f>SUM(O133:O137)</f>
        <v>0</v>
      </c>
      <c r="P138" s="75">
        <f>SUM(C138,E138,G138,I138,K138,M138,O138)</f>
        <v>0</v>
      </c>
    </row>
    <row r="139" spans="1:16" s="45" customFormat="1" x14ac:dyDescent="0.2">
      <c r="A139" s="46"/>
      <c r="C139" s="6"/>
      <c r="D139" s="6"/>
      <c r="E139" s="6"/>
      <c r="F139" s="6"/>
      <c r="G139" s="6"/>
      <c r="H139" s="6"/>
      <c r="I139" s="6"/>
      <c r="J139" s="6"/>
      <c r="K139" s="6"/>
      <c r="L139" s="6"/>
      <c r="M139" s="6"/>
      <c r="N139" s="6"/>
      <c r="O139" s="6"/>
    </row>
    <row r="140" spans="1:16" ht="15" customHeight="1" x14ac:dyDescent="0.2">
      <c r="A140" s="43" t="s">
        <v>75</v>
      </c>
      <c r="B140" s="9">
        <f ca="1">N131+1</f>
        <v>10</v>
      </c>
      <c r="C140" s="10"/>
      <c r="D140" s="9">
        <f ca="1">B140+1</f>
        <v>11</v>
      </c>
      <c r="E140" s="10"/>
      <c r="F140" s="9">
        <f ca="1">D140+1</f>
        <v>12</v>
      </c>
      <c r="G140" s="10"/>
      <c r="H140" s="9">
        <f ca="1">F140+1</f>
        <v>13</v>
      </c>
      <c r="I140" s="10"/>
      <c r="J140" s="9">
        <f ca="1">H140+1</f>
        <v>14</v>
      </c>
      <c r="K140" s="10"/>
      <c r="L140" s="9">
        <f ca="1">J140+1</f>
        <v>15</v>
      </c>
      <c r="M140" s="10"/>
      <c r="N140" s="9">
        <f ca="1">L140+1</f>
        <v>16</v>
      </c>
      <c r="O140" s="10"/>
      <c r="P140" s="27"/>
    </row>
    <row r="141" spans="1:16" ht="11.25" customHeight="1" x14ac:dyDescent="0.2">
      <c r="A141" s="43" t="s">
        <v>76</v>
      </c>
      <c r="B141" s="35" t="s">
        <v>345</v>
      </c>
      <c r="C141" s="37" t="s">
        <v>359</v>
      </c>
      <c r="D141" s="35" t="s">
        <v>345</v>
      </c>
      <c r="E141" s="37" t="s">
        <v>359</v>
      </c>
      <c r="F141" s="35" t="s">
        <v>345</v>
      </c>
      <c r="G141" s="37" t="s">
        <v>359</v>
      </c>
      <c r="H141" s="35" t="s">
        <v>345</v>
      </c>
      <c r="I141" s="37" t="s">
        <v>359</v>
      </c>
      <c r="J141" s="35" t="s">
        <v>345</v>
      </c>
      <c r="K141" s="37" t="s">
        <v>359</v>
      </c>
      <c r="L141" s="35" t="s">
        <v>345</v>
      </c>
      <c r="M141" s="37" t="s">
        <v>359</v>
      </c>
      <c r="N141" s="35" t="s">
        <v>345</v>
      </c>
      <c r="O141" s="38" t="s">
        <v>359</v>
      </c>
      <c r="P141" s="51"/>
    </row>
    <row r="142" spans="1:16" ht="11.25" customHeight="1" x14ac:dyDescent="0.2">
      <c r="A142" s="43" t="s">
        <v>77</v>
      </c>
      <c r="B142" s="19"/>
      <c r="C142" s="55"/>
      <c r="D142" s="19"/>
      <c r="E142" s="55"/>
      <c r="F142" s="19"/>
      <c r="G142" s="55"/>
      <c r="H142" s="19"/>
      <c r="I142" s="55"/>
      <c r="J142" s="19"/>
      <c r="K142" s="55"/>
      <c r="L142" s="19"/>
      <c r="M142" s="55"/>
      <c r="N142" s="19"/>
      <c r="O142" s="59"/>
      <c r="P142" s="51"/>
    </row>
    <row r="143" spans="1:16" ht="11.25" customHeight="1" x14ac:dyDescent="0.2">
      <c r="B143" s="20"/>
      <c r="C143" s="56"/>
      <c r="D143" s="20"/>
      <c r="E143" s="56"/>
      <c r="F143" s="20"/>
      <c r="G143" s="56"/>
      <c r="H143" s="20"/>
      <c r="I143" s="56"/>
      <c r="J143" s="20"/>
      <c r="K143" s="56"/>
      <c r="L143" s="20"/>
      <c r="M143" s="56"/>
      <c r="N143" s="20"/>
      <c r="O143" s="60"/>
      <c r="P143" s="51"/>
    </row>
    <row r="144" spans="1:16" ht="11.25" customHeight="1" x14ac:dyDescent="0.2">
      <c r="B144" s="20"/>
      <c r="C144" s="56"/>
      <c r="D144" s="20"/>
      <c r="E144" s="56"/>
      <c r="F144" s="20"/>
      <c r="G144" s="56"/>
      <c r="H144" s="20"/>
      <c r="I144" s="56"/>
      <c r="J144" s="20"/>
      <c r="K144" s="56"/>
      <c r="L144" s="20"/>
      <c r="M144" s="56"/>
      <c r="N144" s="20"/>
      <c r="O144" s="60"/>
      <c r="P144" s="51"/>
    </row>
    <row r="145" spans="1:16" ht="11.25" customHeight="1" x14ac:dyDescent="0.2">
      <c r="B145" s="20"/>
      <c r="C145" s="56"/>
      <c r="D145" s="20"/>
      <c r="E145" s="56"/>
      <c r="F145" s="20"/>
      <c r="G145" s="56"/>
      <c r="H145" s="20"/>
      <c r="I145" s="56"/>
      <c r="J145" s="20"/>
      <c r="K145" s="56"/>
      <c r="L145" s="20"/>
      <c r="M145" s="56"/>
      <c r="N145" s="20"/>
      <c r="O145" s="60"/>
      <c r="P145" s="51"/>
    </row>
    <row r="146" spans="1:16" ht="11.25" customHeight="1" x14ac:dyDescent="0.2">
      <c r="B146" s="21"/>
      <c r="C146" s="57"/>
      <c r="D146" s="21"/>
      <c r="E146" s="57"/>
      <c r="F146" s="21"/>
      <c r="G146" s="57"/>
      <c r="H146" s="21"/>
      <c r="I146" s="57"/>
      <c r="J146" s="21"/>
      <c r="K146" s="57"/>
      <c r="L146" s="21"/>
      <c r="M146" s="57"/>
      <c r="N146" s="21"/>
      <c r="O146" s="61"/>
      <c r="P146" s="51"/>
    </row>
    <row r="147" spans="1:16" ht="11.25" customHeight="1" x14ac:dyDescent="0.2">
      <c r="A147" s="43" t="s">
        <v>78</v>
      </c>
      <c r="B147" s="54" t="s">
        <v>346</v>
      </c>
      <c r="C147" s="70">
        <f>SUM(C142:C146)</f>
        <v>0</v>
      </c>
      <c r="D147" s="77"/>
      <c r="E147" s="70">
        <f>SUM(E142:E146)</f>
        <v>0</v>
      </c>
      <c r="F147" s="77"/>
      <c r="G147" s="70">
        <f>SUM(G142:G146)</f>
        <v>0</v>
      </c>
      <c r="H147" s="77"/>
      <c r="I147" s="70">
        <f>SUM(I142:I146)</f>
        <v>0</v>
      </c>
      <c r="J147" s="77"/>
      <c r="K147" s="70">
        <f>SUM(K142:K146)</f>
        <v>0</v>
      </c>
      <c r="L147" s="77"/>
      <c r="M147" s="70">
        <f>SUM(M142:M146)</f>
        <v>0</v>
      </c>
      <c r="N147" s="77"/>
      <c r="O147" s="74">
        <f>SUM(O142:O146)</f>
        <v>0</v>
      </c>
      <c r="P147" s="75">
        <f>SUM(C147,E147,G147,I147,K147,M147,O147)</f>
        <v>0</v>
      </c>
    </row>
    <row r="148" spans="1:16" s="45" customFormat="1" x14ac:dyDescent="0.2">
      <c r="A148" s="46"/>
      <c r="C148" s="6"/>
      <c r="D148" s="6"/>
      <c r="E148" s="6"/>
      <c r="F148" s="6"/>
      <c r="G148" s="6"/>
      <c r="H148" s="6"/>
      <c r="I148" s="6"/>
      <c r="J148" s="6"/>
      <c r="K148" s="6"/>
      <c r="L148" s="6"/>
      <c r="M148" s="6"/>
      <c r="N148" s="6"/>
      <c r="O148" s="6"/>
    </row>
    <row r="149" spans="1:16" ht="15" customHeight="1" x14ac:dyDescent="0.2">
      <c r="A149" s="43" t="s">
        <v>79</v>
      </c>
      <c r="B149" s="9">
        <f ca="1">N140+1</f>
        <v>17</v>
      </c>
      <c r="C149" s="10"/>
      <c r="D149" s="9">
        <f ca="1">B149+1</f>
        <v>18</v>
      </c>
      <c r="E149" s="10"/>
      <c r="F149" s="9">
        <f ca="1">D149+1</f>
        <v>19</v>
      </c>
      <c r="G149" s="10"/>
      <c r="H149" s="9">
        <f ca="1">F149+1</f>
        <v>20</v>
      </c>
      <c r="I149" s="10"/>
      <c r="J149" s="9">
        <f ca="1">H149+1</f>
        <v>21</v>
      </c>
      <c r="K149" s="10"/>
      <c r="L149" s="9">
        <f ca="1">J149+1</f>
        <v>22</v>
      </c>
      <c r="M149" s="10"/>
      <c r="N149" s="9">
        <f ca="1">L149+1</f>
        <v>23</v>
      </c>
      <c r="O149" s="10"/>
      <c r="P149" s="27"/>
    </row>
    <row r="150" spans="1:16" ht="11.25" customHeight="1" x14ac:dyDescent="0.2">
      <c r="A150" s="43" t="s">
        <v>80</v>
      </c>
      <c r="B150" s="35" t="s">
        <v>345</v>
      </c>
      <c r="C150" s="37" t="s">
        <v>359</v>
      </c>
      <c r="D150" s="35" t="s">
        <v>345</v>
      </c>
      <c r="E150" s="37" t="s">
        <v>359</v>
      </c>
      <c r="F150" s="35" t="s">
        <v>345</v>
      </c>
      <c r="G150" s="37" t="s">
        <v>359</v>
      </c>
      <c r="H150" s="35" t="s">
        <v>345</v>
      </c>
      <c r="I150" s="37" t="s">
        <v>359</v>
      </c>
      <c r="J150" s="35" t="s">
        <v>345</v>
      </c>
      <c r="K150" s="37" t="s">
        <v>359</v>
      </c>
      <c r="L150" s="35" t="s">
        <v>345</v>
      </c>
      <c r="M150" s="37" t="s">
        <v>359</v>
      </c>
      <c r="N150" s="35" t="s">
        <v>345</v>
      </c>
      <c r="O150" s="38" t="s">
        <v>359</v>
      </c>
      <c r="P150" s="51"/>
    </row>
    <row r="151" spans="1:16" ht="11.25" customHeight="1" x14ac:dyDescent="0.2">
      <c r="A151" s="43" t="s">
        <v>81</v>
      </c>
      <c r="B151" s="19"/>
      <c r="C151" s="55"/>
      <c r="D151" s="19"/>
      <c r="E151" s="55"/>
      <c r="F151" s="19"/>
      <c r="G151" s="55"/>
      <c r="H151" s="19"/>
      <c r="I151" s="55"/>
      <c r="J151" s="19"/>
      <c r="K151" s="55"/>
      <c r="L151" s="19"/>
      <c r="M151" s="55"/>
      <c r="N151" s="19"/>
      <c r="O151" s="59"/>
      <c r="P151" s="51"/>
    </row>
    <row r="152" spans="1:16" ht="11.25" customHeight="1" x14ac:dyDescent="0.2">
      <c r="B152" s="20"/>
      <c r="C152" s="56"/>
      <c r="D152" s="20"/>
      <c r="E152" s="56"/>
      <c r="F152" s="20"/>
      <c r="G152" s="56"/>
      <c r="H152" s="20"/>
      <c r="I152" s="56"/>
      <c r="J152" s="20"/>
      <c r="K152" s="56"/>
      <c r="L152" s="20"/>
      <c r="M152" s="56"/>
      <c r="N152" s="20"/>
      <c r="O152" s="60"/>
      <c r="P152" s="51"/>
    </row>
    <row r="153" spans="1:16" ht="11.25" customHeight="1" x14ac:dyDescent="0.2">
      <c r="B153" s="20"/>
      <c r="C153" s="56"/>
      <c r="D153" s="20"/>
      <c r="E153" s="56"/>
      <c r="F153" s="20"/>
      <c r="G153" s="56"/>
      <c r="H153" s="20"/>
      <c r="I153" s="56"/>
      <c r="J153" s="20"/>
      <c r="K153" s="56"/>
      <c r="L153" s="20"/>
      <c r="M153" s="56"/>
      <c r="N153" s="20"/>
      <c r="O153" s="60"/>
      <c r="P153" s="51"/>
    </row>
    <row r="154" spans="1:16" ht="11.25" customHeight="1" x14ac:dyDescent="0.2">
      <c r="B154" s="20"/>
      <c r="C154" s="56"/>
      <c r="D154" s="20"/>
      <c r="E154" s="56"/>
      <c r="F154" s="20"/>
      <c r="G154" s="56"/>
      <c r="H154" s="20"/>
      <c r="I154" s="56"/>
      <c r="J154" s="20"/>
      <c r="K154" s="56"/>
      <c r="L154" s="20"/>
      <c r="M154" s="56"/>
      <c r="N154" s="20"/>
      <c r="O154" s="60"/>
      <c r="P154" s="51"/>
    </row>
    <row r="155" spans="1:16" ht="11.25" customHeight="1" x14ac:dyDescent="0.2">
      <c r="B155" s="21"/>
      <c r="C155" s="57"/>
      <c r="D155" s="21"/>
      <c r="E155" s="57"/>
      <c r="F155" s="21"/>
      <c r="G155" s="57"/>
      <c r="H155" s="21"/>
      <c r="I155" s="57"/>
      <c r="J155" s="21"/>
      <c r="K155" s="57"/>
      <c r="L155" s="21"/>
      <c r="M155" s="57"/>
      <c r="N155" s="21"/>
      <c r="O155" s="61"/>
      <c r="P155" s="51"/>
    </row>
    <row r="156" spans="1:16" ht="11.25" customHeight="1" x14ac:dyDescent="0.2">
      <c r="A156" s="43" t="s">
        <v>82</v>
      </c>
      <c r="B156" s="53" t="s">
        <v>346</v>
      </c>
      <c r="C156" s="70">
        <f>SUM(C151:C155)</f>
        <v>0</v>
      </c>
      <c r="D156" s="77"/>
      <c r="E156" s="70">
        <f>SUM(E151:E155)</f>
        <v>0</v>
      </c>
      <c r="F156" s="77"/>
      <c r="G156" s="70">
        <f>SUM(G151:G155)</f>
        <v>0</v>
      </c>
      <c r="H156" s="77"/>
      <c r="I156" s="70">
        <f>SUM(I151:I155)</f>
        <v>0</v>
      </c>
      <c r="J156" s="77"/>
      <c r="K156" s="70">
        <f>SUM(K151:K155)</f>
        <v>0</v>
      </c>
      <c r="L156" s="77"/>
      <c r="M156" s="70">
        <f>SUM(M151:M155)</f>
        <v>0</v>
      </c>
      <c r="N156" s="77"/>
      <c r="O156" s="74">
        <f>SUM(O151:O155)</f>
        <v>0</v>
      </c>
      <c r="P156" s="75">
        <f>SUM(C156,E156,G156,I156,K156,M156,O156)</f>
        <v>0</v>
      </c>
    </row>
    <row r="157" spans="1:16" s="45" customFormat="1" x14ac:dyDescent="0.2">
      <c r="A157" s="46"/>
      <c r="C157" s="6"/>
      <c r="D157" s="6"/>
      <c r="E157" s="6"/>
      <c r="F157" s="6"/>
      <c r="G157" s="6"/>
      <c r="H157" s="6"/>
      <c r="I157" s="6"/>
      <c r="J157" s="6"/>
      <c r="K157" s="6"/>
      <c r="L157" s="6"/>
      <c r="M157" s="6"/>
      <c r="N157" s="6"/>
      <c r="O157" s="6"/>
    </row>
    <row r="158" spans="1:16" ht="15" customHeight="1" x14ac:dyDescent="0.2">
      <c r="A158" s="43" t="s">
        <v>83</v>
      </c>
      <c r="B158" s="9">
        <f ca="1">DAY(IF(DAY(MarSun1)=1,MarSun1+22,MarSun1+29))</f>
        <v>24</v>
      </c>
      <c r="C158" s="10"/>
      <c r="D158" s="9">
        <f ca="1">DAY(IF(DAY(MarSun1)=1,MarSun1+23,MarSun1+30))</f>
        <v>25</v>
      </c>
      <c r="E158" s="10"/>
      <c r="F158" s="9">
        <f ca="1">DAY(IF(DAY(MarSun1)=1,MarSun1+24,MarSun1+31))</f>
        <v>26</v>
      </c>
      <c r="G158" s="10"/>
      <c r="H158" s="9">
        <f ca="1">DAY(IF(DAY(MarSun1)=1,MarSun1+25,MarSun1+32))</f>
        <v>27</v>
      </c>
      <c r="I158" s="10"/>
      <c r="J158" s="9">
        <f ca="1">DAY(IF(DAY(MarSun1)=1,MarSun1+26,MarSun1+33))</f>
        <v>28</v>
      </c>
      <c r="K158" s="10"/>
      <c r="L158" s="9">
        <f ca="1">DAY(IF(DAY(MarSun1)=1,MarSun1+27,MarSun1+34))</f>
        <v>29</v>
      </c>
      <c r="M158" s="10"/>
      <c r="N158" s="9">
        <f ca="1">DAY(IF(DAY(MarSun1)=1,MarSun1+28,MarSun1+35))</f>
        <v>30</v>
      </c>
      <c r="O158" s="10"/>
      <c r="P158" s="27"/>
    </row>
    <row r="159" spans="1:16" ht="11.25" customHeight="1" x14ac:dyDescent="0.2">
      <c r="A159" s="43" t="s">
        <v>84</v>
      </c>
      <c r="B159" s="35" t="s">
        <v>345</v>
      </c>
      <c r="C159" s="37" t="s">
        <v>359</v>
      </c>
      <c r="D159" s="35" t="s">
        <v>345</v>
      </c>
      <c r="E159" s="37" t="s">
        <v>359</v>
      </c>
      <c r="F159" s="35" t="s">
        <v>345</v>
      </c>
      <c r="G159" s="37" t="s">
        <v>359</v>
      </c>
      <c r="H159" s="35" t="s">
        <v>345</v>
      </c>
      <c r="I159" s="37" t="s">
        <v>359</v>
      </c>
      <c r="J159" s="35" t="s">
        <v>345</v>
      </c>
      <c r="K159" s="37" t="s">
        <v>359</v>
      </c>
      <c r="L159" s="35" t="s">
        <v>345</v>
      </c>
      <c r="M159" s="37" t="s">
        <v>359</v>
      </c>
      <c r="N159" s="35" t="s">
        <v>345</v>
      </c>
      <c r="O159" s="38" t="s">
        <v>359</v>
      </c>
      <c r="P159" s="51"/>
    </row>
    <row r="160" spans="1:16" ht="11.25" customHeight="1" x14ac:dyDescent="0.2">
      <c r="A160" s="43" t="s">
        <v>85</v>
      </c>
      <c r="B160" s="14"/>
      <c r="C160" s="55"/>
      <c r="D160" s="17"/>
      <c r="E160" s="55"/>
      <c r="F160" s="14"/>
      <c r="G160" s="55"/>
      <c r="H160" s="14"/>
      <c r="I160" s="55"/>
      <c r="J160" s="14"/>
      <c r="K160" s="55"/>
      <c r="L160" s="14"/>
      <c r="M160" s="55"/>
      <c r="N160" s="23"/>
      <c r="O160" s="64"/>
      <c r="P160" s="51"/>
    </row>
    <row r="161" spans="1:16" ht="11.25" customHeight="1" x14ac:dyDescent="0.2">
      <c r="B161" s="15"/>
      <c r="C161" s="56"/>
      <c r="D161" s="15"/>
      <c r="E161" s="56"/>
      <c r="F161" s="15"/>
      <c r="G161" s="56"/>
      <c r="H161" s="15"/>
      <c r="I161" s="56"/>
      <c r="J161" s="15"/>
      <c r="K161" s="56"/>
      <c r="L161" s="15"/>
      <c r="M161" s="56"/>
      <c r="N161" s="24"/>
      <c r="O161" s="65"/>
      <c r="P161" s="51"/>
    </row>
    <row r="162" spans="1:16" ht="11.25" customHeight="1" x14ac:dyDescent="0.2">
      <c r="B162" s="15"/>
      <c r="C162" s="56"/>
      <c r="D162" s="15"/>
      <c r="E162" s="56"/>
      <c r="F162" s="15"/>
      <c r="G162" s="56"/>
      <c r="H162" s="15"/>
      <c r="I162" s="56"/>
      <c r="J162" s="15"/>
      <c r="K162" s="56"/>
      <c r="L162" s="15"/>
      <c r="M162" s="56"/>
      <c r="N162" s="24"/>
      <c r="O162" s="65"/>
      <c r="P162" s="51"/>
    </row>
    <row r="163" spans="1:16" ht="11.25" customHeight="1" x14ac:dyDescent="0.2">
      <c r="B163" s="15"/>
      <c r="C163" s="56"/>
      <c r="D163" s="15"/>
      <c r="E163" s="56"/>
      <c r="F163" s="15"/>
      <c r="G163" s="56"/>
      <c r="H163" s="15"/>
      <c r="I163" s="56"/>
      <c r="J163" s="15"/>
      <c r="K163" s="56"/>
      <c r="L163" s="15"/>
      <c r="M163" s="56"/>
      <c r="N163" s="24"/>
      <c r="O163" s="65"/>
      <c r="P163" s="51"/>
    </row>
    <row r="164" spans="1:16" ht="11.25" customHeight="1" x14ac:dyDescent="0.2">
      <c r="B164" s="16"/>
      <c r="C164" s="57"/>
      <c r="D164" s="16"/>
      <c r="E164" s="57"/>
      <c r="F164" s="16"/>
      <c r="G164" s="57"/>
      <c r="H164" s="16"/>
      <c r="I164" s="57"/>
      <c r="J164" s="16"/>
      <c r="K164" s="57"/>
      <c r="L164" s="16"/>
      <c r="M164" s="57"/>
      <c r="N164" s="25"/>
      <c r="O164" s="66"/>
      <c r="P164" s="51"/>
    </row>
    <row r="165" spans="1:16" ht="11.25" customHeight="1" x14ac:dyDescent="0.2">
      <c r="A165" s="43" t="s">
        <v>86</v>
      </c>
      <c r="B165" s="53" t="s">
        <v>346</v>
      </c>
      <c r="C165" s="70">
        <f>SUM(C160:C164)</f>
        <v>0</v>
      </c>
      <c r="D165" s="77"/>
      <c r="E165" s="70">
        <f>SUM(E160:E164)</f>
        <v>0</v>
      </c>
      <c r="F165" s="77"/>
      <c r="G165" s="70">
        <f>SUM(G160:G164)</f>
        <v>0</v>
      </c>
      <c r="H165" s="77"/>
      <c r="I165" s="70">
        <f>SUM(I160:I164)</f>
        <v>0</v>
      </c>
      <c r="J165" s="77"/>
      <c r="K165" s="70">
        <f>SUM(K160:K164)</f>
        <v>0</v>
      </c>
      <c r="L165" s="77"/>
      <c r="M165" s="70">
        <f>SUM(M160:M164)</f>
        <v>0</v>
      </c>
      <c r="N165" s="77"/>
      <c r="O165" s="74">
        <f>SUM(O160:O164)</f>
        <v>0</v>
      </c>
      <c r="P165" s="75">
        <f ca="1">SUMIF(B158:N158,"&gt;="&amp;15,C165:O165)</f>
        <v>0</v>
      </c>
    </row>
    <row r="166" spans="1:16" s="45" customFormat="1" x14ac:dyDescent="0.2">
      <c r="A166" s="46"/>
      <c r="C166" s="6"/>
      <c r="D166" s="6"/>
      <c r="E166" s="6"/>
      <c r="F166" s="6"/>
      <c r="G166" s="6"/>
      <c r="H166" s="6"/>
      <c r="I166" s="6"/>
      <c r="J166" s="6"/>
      <c r="K166" s="6"/>
      <c r="L166" s="6"/>
      <c r="M166" s="6"/>
      <c r="N166" s="6"/>
      <c r="O166" s="6"/>
    </row>
    <row r="167" spans="1:16" ht="15" customHeight="1" x14ac:dyDescent="0.2">
      <c r="A167" s="43" t="s">
        <v>87</v>
      </c>
      <c r="B167" s="9">
        <f ca="1">DAY(IF(DAY(MarSun1)=1,MarSun1+29,MarSun1+36))</f>
        <v>31</v>
      </c>
      <c r="C167" s="8"/>
      <c r="D167" s="9">
        <f ca="1">DAY(IF(DAY(MarSun1)=1,MarSun1+30,MarSun1+37))</f>
        <v>1</v>
      </c>
      <c r="E167" s="10"/>
      <c r="F167" s="7">
        <f ca="1">DAY(IF(DAY(MarSun1)=1,MarSun1+31,MarSun1+38))</f>
        <v>2</v>
      </c>
      <c r="G167" s="10"/>
      <c r="H167" s="9">
        <f ca="1">DAY(IF(DAY(MarSun1)=1,MarSun1+32,MarSun1+39))</f>
        <v>3</v>
      </c>
      <c r="I167" s="10"/>
      <c r="J167" s="9">
        <f ca="1">DAY(IF(DAY(MarSun1)=1,MarSun1+33,MarSun1+40))</f>
        <v>4</v>
      </c>
      <c r="K167" s="10"/>
      <c r="L167" s="9">
        <f ca="1">DAY(IF(DAY(MarSun1)=1,MarSun1+34,MarSun1+41))</f>
        <v>5</v>
      </c>
      <c r="M167" s="10"/>
      <c r="N167" s="9">
        <f ca="1">DAY(IF(DAY(MarSun1)=1,MarSun1+35,MarSun1+42))</f>
        <v>6</v>
      </c>
      <c r="O167" s="10"/>
      <c r="P167" s="27"/>
    </row>
    <row r="168" spans="1:16" ht="11.25" customHeight="1" x14ac:dyDescent="0.2">
      <c r="A168" s="43" t="s">
        <v>88</v>
      </c>
      <c r="B168" s="35" t="s">
        <v>345</v>
      </c>
      <c r="C168" s="37" t="s">
        <v>359</v>
      </c>
      <c r="D168" s="35" t="s">
        <v>345</v>
      </c>
      <c r="E168" s="37" t="s">
        <v>359</v>
      </c>
      <c r="F168" s="35" t="s">
        <v>345</v>
      </c>
      <c r="G168" s="37" t="s">
        <v>359</v>
      </c>
      <c r="H168" s="35" t="s">
        <v>345</v>
      </c>
      <c r="I168" s="37" t="s">
        <v>359</v>
      </c>
      <c r="J168" s="35" t="s">
        <v>345</v>
      </c>
      <c r="K168" s="37" t="s">
        <v>359</v>
      </c>
      <c r="L168" s="35" t="s">
        <v>345</v>
      </c>
      <c r="M168" s="37" t="s">
        <v>359</v>
      </c>
      <c r="N168" s="35" t="s">
        <v>345</v>
      </c>
      <c r="O168" s="38" t="s">
        <v>359</v>
      </c>
      <c r="P168" s="51"/>
    </row>
    <row r="169" spans="1:16" ht="11.25" customHeight="1" x14ac:dyDescent="0.2">
      <c r="A169" s="43" t="s">
        <v>89</v>
      </c>
      <c r="B169" s="14"/>
      <c r="C169" s="55"/>
      <c r="D169" s="17"/>
      <c r="E169" s="55"/>
      <c r="F169" s="14"/>
      <c r="G169" s="55"/>
      <c r="H169" s="14"/>
      <c r="I169" s="55"/>
      <c r="J169" s="14"/>
      <c r="K169" s="55"/>
      <c r="L169" s="14"/>
      <c r="M169" s="55"/>
      <c r="N169" s="14"/>
      <c r="O169" s="59"/>
      <c r="P169" s="51"/>
    </row>
    <row r="170" spans="1:16" ht="11.25" customHeight="1" x14ac:dyDescent="0.2">
      <c r="B170" s="15"/>
      <c r="C170" s="56"/>
      <c r="D170" s="15"/>
      <c r="E170" s="56"/>
      <c r="F170" s="15"/>
      <c r="G170" s="56"/>
      <c r="H170" s="15"/>
      <c r="I170" s="56"/>
      <c r="J170" s="15"/>
      <c r="K170" s="56"/>
      <c r="L170" s="15"/>
      <c r="M170" s="56"/>
      <c r="N170" s="15"/>
      <c r="O170" s="60"/>
      <c r="P170" s="51"/>
    </row>
    <row r="171" spans="1:16" ht="11.25" customHeight="1" x14ac:dyDescent="0.2">
      <c r="B171" s="15"/>
      <c r="C171" s="56"/>
      <c r="D171" s="15"/>
      <c r="E171" s="56"/>
      <c r="F171" s="15"/>
      <c r="G171" s="56"/>
      <c r="H171" s="15"/>
      <c r="I171" s="56"/>
      <c r="J171" s="15"/>
      <c r="K171" s="56"/>
      <c r="L171" s="15"/>
      <c r="M171" s="56"/>
      <c r="N171" s="15"/>
      <c r="O171" s="60"/>
      <c r="P171" s="51"/>
    </row>
    <row r="172" spans="1:16" ht="11.25" customHeight="1" x14ac:dyDescent="0.2">
      <c r="B172" s="15"/>
      <c r="C172" s="56"/>
      <c r="D172" s="15"/>
      <c r="E172" s="56"/>
      <c r="F172" s="15"/>
      <c r="G172" s="56"/>
      <c r="H172" s="15"/>
      <c r="I172" s="56"/>
      <c r="J172" s="15"/>
      <c r="K172" s="56"/>
      <c r="L172" s="15"/>
      <c r="M172" s="56"/>
      <c r="N172" s="15"/>
      <c r="O172" s="60"/>
      <c r="P172" s="51"/>
    </row>
    <row r="173" spans="1:16" ht="11.25" customHeight="1" x14ac:dyDescent="0.2">
      <c r="B173" s="16"/>
      <c r="C173" s="57"/>
      <c r="D173" s="16"/>
      <c r="E173" s="57"/>
      <c r="F173" s="16"/>
      <c r="G173" s="57"/>
      <c r="H173" s="16"/>
      <c r="I173" s="57"/>
      <c r="J173" s="16"/>
      <c r="K173" s="57"/>
      <c r="L173" s="16"/>
      <c r="M173" s="57"/>
      <c r="N173" s="16"/>
      <c r="O173" s="61"/>
      <c r="P173" s="51"/>
    </row>
    <row r="174" spans="1:16" ht="11.25" customHeight="1" x14ac:dyDescent="0.2">
      <c r="A174" s="43" t="s">
        <v>90</v>
      </c>
      <c r="B174" s="53" t="s">
        <v>346</v>
      </c>
      <c r="C174" s="70">
        <f>SUM(C169:C173)</f>
        <v>0</v>
      </c>
      <c r="D174" s="77"/>
      <c r="E174" s="70">
        <f>SUM(E169:E173)</f>
        <v>0</v>
      </c>
      <c r="F174" s="77"/>
      <c r="G174" s="70">
        <f>SUM(G169:G173)</f>
        <v>0</v>
      </c>
      <c r="H174" s="77"/>
      <c r="I174" s="70">
        <f>SUM(I169:I173)</f>
        <v>0</v>
      </c>
      <c r="J174" s="77"/>
      <c r="K174" s="70">
        <f>SUM(K169:K173)</f>
        <v>0</v>
      </c>
      <c r="L174" s="77"/>
      <c r="M174" s="70">
        <f>SUM(M169:M173)</f>
        <v>0</v>
      </c>
      <c r="N174" s="77"/>
      <c r="O174" s="74">
        <f>SUM(O169:O173)</f>
        <v>0</v>
      </c>
      <c r="P174" s="75">
        <f ca="1">SUMIF(B167:N167,"&gt;="&amp;15,C174:O174)</f>
        <v>0</v>
      </c>
    </row>
    <row r="175" spans="1:16" s="45" customFormat="1" ht="17.25" customHeight="1" x14ac:dyDescent="0.2">
      <c r="A175" s="46"/>
      <c r="B175" s="49"/>
      <c r="C175" s="50"/>
      <c r="D175" s="49"/>
      <c r="E175" s="50"/>
      <c r="F175" s="49"/>
      <c r="G175" s="50"/>
      <c r="H175" s="49"/>
      <c r="I175" s="50"/>
      <c r="J175" s="49"/>
      <c r="K175" s="50"/>
      <c r="L175" s="49"/>
      <c r="M175" s="50"/>
      <c r="N175" s="49"/>
      <c r="O175" s="50"/>
      <c r="P175" s="49"/>
    </row>
    <row r="176" spans="1:16" ht="12" customHeight="1" x14ac:dyDescent="0.2">
      <c r="A176" s="43" t="s">
        <v>91</v>
      </c>
      <c r="B176" s="97" t="s">
        <v>349</v>
      </c>
      <c r="C176" s="97"/>
      <c r="D176" s="97"/>
      <c r="E176" s="97"/>
      <c r="F176"/>
      <c r="G176" s="4"/>
      <c r="H176"/>
      <c r="I176" s="4"/>
      <c r="J176"/>
      <c r="K176" s="4"/>
      <c r="L176" s="81" t="s">
        <v>369</v>
      </c>
      <c r="M176" s="81"/>
      <c r="N176" s="81" t="s">
        <v>371</v>
      </c>
      <c r="O176" s="81"/>
      <c r="P176"/>
    </row>
    <row r="177" spans="1:16" ht="25.5" customHeight="1" x14ac:dyDescent="0.2">
      <c r="A177" s="43" t="s">
        <v>92</v>
      </c>
      <c r="B177" s="97"/>
      <c r="C177" s="97"/>
      <c r="D177" s="97"/>
      <c r="E177" s="97"/>
      <c r="F177" s="47" t="str">
        <f ca="1">IFERROR(WEEKDAY(DATEVALUE(B176&amp;" 1, "&amp;Year1)),"")</f>
        <v/>
      </c>
      <c r="G177" s="6"/>
      <c r="H177" s="45"/>
      <c r="I177" s="6"/>
      <c r="J177" s="45"/>
      <c r="K177" s="6"/>
      <c r="L177" s="82">
        <f ca="1">SUM(P187,P196,P205,P214,P223,P232)</f>
        <v>0</v>
      </c>
      <c r="M177" s="83"/>
      <c r="N177" s="82">
        <f ca="1">SUM(P:P)</f>
        <v>439.95</v>
      </c>
      <c r="O177" s="84"/>
      <c r="P177"/>
    </row>
    <row r="178" spans="1:16" s="45" customFormat="1" ht="9" customHeight="1" x14ac:dyDescent="0.2">
      <c r="A178" s="46" t="s">
        <v>93</v>
      </c>
      <c r="B178" s="98">
        <v>1</v>
      </c>
      <c r="C178" s="98"/>
      <c r="D178" s="98">
        <v>2</v>
      </c>
      <c r="E178" s="98"/>
      <c r="F178" s="98">
        <v>3</v>
      </c>
      <c r="G178" s="98"/>
      <c r="H178" s="98">
        <v>4</v>
      </c>
      <c r="I178" s="98"/>
      <c r="J178" s="98">
        <v>5</v>
      </c>
      <c r="K178" s="98"/>
      <c r="L178" s="98">
        <v>6</v>
      </c>
      <c r="M178" s="98"/>
      <c r="N178" s="98">
        <v>7</v>
      </c>
      <c r="O178" s="98"/>
      <c r="P178" s="48"/>
    </row>
    <row r="179" spans="1:16" ht="15" customHeight="1" x14ac:dyDescent="0.2">
      <c r="A179" s="43" t="s">
        <v>94</v>
      </c>
      <c r="B179" s="87" t="s">
        <v>372</v>
      </c>
      <c r="C179" s="88"/>
      <c r="D179" s="89" t="s">
        <v>344</v>
      </c>
      <c r="E179" s="90"/>
      <c r="F179" s="91" t="s">
        <v>360</v>
      </c>
      <c r="G179" s="90" t="e">
        <f ca="1">IF(WEEKDAY(DATEVALUE(Month1&amp;" 1, "&amp;Year1))=COLUMN(#REF!),1,IF(LEN(E179)&gt;0,E179+1,""))</f>
        <v>#VALUE!</v>
      </c>
      <c r="H179" s="92" t="s">
        <v>361</v>
      </c>
      <c r="I179" s="92" t="e">
        <f ca="1">IF(WEEKDAY(DATEVALUE(Month1&amp;" 1, "&amp;Year1))=COLUMN(#REF!),1,IF(LEN(G179)&gt;0,G179+1,""))</f>
        <v>#VALUE!</v>
      </c>
      <c r="J179" s="91" t="s">
        <v>364</v>
      </c>
      <c r="K179" s="90" t="e">
        <f ca="1">IF(WEEKDAY(DATEVALUE(Month1&amp;" 1, "&amp;Year1))=COLUMN(#REF!),1,IF(LEN(I179)&gt;0,I179+1,""))</f>
        <v>#VALUE!</v>
      </c>
      <c r="L179" s="93" t="s">
        <v>368</v>
      </c>
      <c r="M179" s="94" t="e">
        <f ca="1">IF(WEEKDAY(DATEVALUE(Month1&amp;" 1, "&amp;Year1))=COLUMN(#REF!),1,IF(LEN(K179)&gt;0,K179+1,""))</f>
        <v>#VALUE!</v>
      </c>
      <c r="N179" s="95" t="s">
        <v>370</v>
      </c>
      <c r="O179" s="96" t="e">
        <f ca="1">IF(WEEKDAY(DATEVALUE(Month1&amp;" 1, "&amp;Year1))=COLUMN(#REF!),1,IF(LEN(M179)&gt;0,M179+1,""))</f>
        <v>#VALUE!</v>
      </c>
      <c r="P179" s="40" t="s">
        <v>373</v>
      </c>
    </row>
    <row r="180" spans="1:16" ht="15" customHeight="1" x14ac:dyDescent="0.2">
      <c r="A180" s="43" t="s">
        <v>95</v>
      </c>
      <c r="B180" s="11">
        <f ca="1">DAY(IF(DAY(AprSun1)=1,AprSun1-6,AprSun1+1))</f>
        <v>31</v>
      </c>
      <c r="C180" s="13"/>
      <c r="D180" s="18">
        <f ca="1">DAY(IF(DAY(AprSun1)=1,AprSun1-5,AprSun1+2))</f>
        <v>1</v>
      </c>
      <c r="E180" s="13"/>
      <c r="F180" s="18">
        <f ca="1">DAY(IF(DAY(AprSun1)=1,AprSun1-4,AprSun1+3))</f>
        <v>2</v>
      </c>
      <c r="G180" s="13"/>
      <c r="H180" s="18">
        <f ca="1">DAY(IF(DAY(AprSun1)=1,AprSun1-3,AprSun1+4))</f>
        <v>3</v>
      </c>
      <c r="I180" s="13"/>
      <c r="J180" s="18">
        <f ca="1">DAY(IF(DAY(AprSun1)=1,AprSun1-2,AprSun1+5))</f>
        <v>4</v>
      </c>
      <c r="K180" s="13"/>
      <c r="L180" s="18">
        <f ca="1">DAY(IF(DAY(AprSun1)=1,AprSun1-1,AprSun1+6))</f>
        <v>5</v>
      </c>
      <c r="M180" s="13"/>
      <c r="N180" s="22">
        <f ca="1">DAY(IF(DAY(AprSun1)=1,AprSun1,AprSun1+7))</f>
        <v>6</v>
      </c>
      <c r="O180" s="12"/>
      <c r="P180" s="51"/>
    </row>
    <row r="181" spans="1:16" ht="11.25" customHeight="1" x14ac:dyDescent="0.2">
      <c r="A181" s="43" t="s">
        <v>96</v>
      </c>
      <c r="B181" s="39" t="s">
        <v>345</v>
      </c>
      <c r="C181" s="34" t="s">
        <v>359</v>
      </c>
      <c r="D181" s="33" t="s">
        <v>345</v>
      </c>
      <c r="E181" s="34" t="s">
        <v>359</v>
      </c>
      <c r="F181" s="33" t="s">
        <v>345</v>
      </c>
      <c r="G181" s="34" t="s">
        <v>359</v>
      </c>
      <c r="H181" s="33" t="s">
        <v>345</v>
      </c>
      <c r="I181" s="34" t="s">
        <v>359</v>
      </c>
      <c r="J181" s="33" t="s">
        <v>345</v>
      </c>
      <c r="K181" s="34" t="s">
        <v>359</v>
      </c>
      <c r="L181" s="33" t="s">
        <v>345</v>
      </c>
      <c r="M181" s="34" t="s">
        <v>359</v>
      </c>
      <c r="N181" s="35" t="s">
        <v>345</v>
      </c>
      <c r="O181" s="36" t="s">
        <v>359</v>
      </c>
      <c r="P181" s="51"/>
    </row>
    <row r="182" spans="1:16" ht="11.25" customHeight="1" x14ac:dyDescent="0.2">
      <c r="A182" s="43" t="s">
        <v>97</v>
      </c>
      <c r="B182" s="14"/>
      <c r="C182" s="67"/>
      <c r="D182" s="17"/>
      <c r="E182" s="67"/>
      <c r="F182" s="14"/>
      <c r="G182" s="67"/>
      <c r="H182" s="14"/>
      <c r="I182" s="67"/>
      <c r="J182" s="14"/>
      <c r="K182" s="67"/>
      <c r="L182" s="14"/>
      <c r="M182" s="67"/>
      <c r="N182" s="14"/>
      <c r="O182" s="71"/>
      <c r="P182" s="51"/>
    </row>
    <row r="183" spans="1:16" ht="11.25" customHeight="1" x14ac:dyDescent="0.2">
      <c r="B183" s="15"/>
      <c r="C183" s="68"/>
      <c r="D183" s="15"/>
      <c r="E183" s="68"/>
      <c r="F183" s="15"/>
      <c r="G183" s="68"/>
      <c r="H183" s="15"/>
      <c r="I183" s="68"/>
      <c r="J183" s="15"/>
      <c r="K183" s="68"/>
      <c r="L183" s="15"/>
      <c r="M183" s="68"/>
      <c r="N183" s="15"/>
      <c r="O183" s="72"/>
      <c r="P183" s="51"/>
    </row>
    <row r="184" spans="1:16" ht="11.25" customHeight="1" x14ac:dyDescent="0.2">
      <c r="B184" s="15"/>
      <c r="C184" s="68"/>
      <c r="D184" s="15"/>
      <c r="E184" s="68"/>
      <c r="F184" s="15"/>
      <c r="G184" s="68"/>
      <c r="H184" s="15"/>
      <c r="I184" s="68"/>
      <c r="J184" s="15"/>
      <c r="K184" s="68"/>
      <c r="L184" s="15"/>
      <c r="M184" s="68"/>
      <c r="N184" s="15"/>
      <c r="O184" s="72"/>
      <c r="P184" s="51"/>
    </row>
    <row r="185" spans="1:16" ht="11.25" customHeight="1" x14ac:dyDescent="0.2">
      <c r="B185" s="15"/>
      <c r="C185" s="68"/>
      <c r="D185" s="15"/>
      <c r="E185" s="68"/>
      <c r="F185" s="15"/>
      <c r="G185" s="68"/>
      <c r="H185" s="15"/>
      <c r="I185" s="68"/>
      <c r="J185" s="15"/>
      <c r="K185" s="68"/>
      <c r="L185" s="15"/>
      <c r="M185" s="68"/>
      <c r="N185" s="15"/>
      <c r="O185" s="72"/>
      <c r="P185" s="51"/>
    </row>
    <row r="186" spans="1:16" ht="11.25" customHeight="1" x14ac:dyDescent="0.2">
      <c r="B186" s="16"/>
      <c r="C186" s="69"/>
      <c r="D186" s="16"/>
      <c r="E186" s="69"/>
      <c r="F186" s="16"/>
      <c r="G186" s="69"/>
      <c r="H186" s="16"/>
      <c r="I186" s="69"/>
      <c r="J186" s="16"/>
      <c r="K186" s="69"/>
      <c r="L186" s="16"/>
      <c r="M186" s="69"/>
      <c r="N186" s="16"/>
      <c r="O186" s="73"/>
      <c r="P186" s="51"/>
    </row>
    <row r="187" spans="1:16" ht="11.25" customHeight="1" x14ac:dyDescent="0.2">
      <c r="A187" s="43" t="s">
        <v>98</v>
      </c>
      <c r="B187" s="53" t="s">
        <v>346</v>
      </c>
      <c r="C187" s="58">
        <f>SUM(C182:C186)</f>
        <v>0</v>
      </c>
      <c r="D187" s="76"/>
      <c r="E187" s="58">
        <f>SUM(E182:E186)</f>
        <v>0</v>
      </c>
      <c r="F187" s="76"/>
      <c r="G187" s="58">
        <f>SUM(G182:G186)</f>
        <v>0</v>
      </c>
      <c r="H187" s="76"/>
      <c r="I187" s="58">
        <f>SUM(I182:I186)</f>
        <v>0</v>
      </c>
      <c r="J187" s="76"/>
      <c r="K187" s="58">
        <f>SUM(K182:K186)</f>
        <v>0</v>
      </c>
      <c r="L187" s="76"/>
      <c r="M187" s="58">
        <f>SUM(M182:M186)</f>
        <v>0</v>
      </c>
      <c r="N187" s="76"/>
      <c r="O187" s="62">
        <f>SUM(O182:O186)</f>
        <v>0</v>
      </c>
      <c r="P187" s="63">
        <f ca="1">SUMIF(B180:N180,"&lt;8",C187:O187)</f>
        <v>0</v>
      </c>
    </row>
    <row r="188" spans="1:16" s="45" customFormat="1" x14ac:dyDescent="0.2">
      <c r="A188" s="46"/>
      <c r="C188" s="6"/>
      <c r="D188" s="6"/>
      <c r="E188" s="6"/>
      <c r="F188" s="6"/>
      <c r="G188" s="6"/>
      <c r="H188" s="6"/>
      <c r="I188" s="6"/>
      <c r="J188" s="6"/>
      <c r="K188" s="6"/>
      <c r="L188" s="6"/>
      <c r="M188" s="6"/>
      <c r="N188" s="6"/>
      <c r="O188" s="6"/>
    </row>
    <row r="189" spans="1:16" ht="15" customHeight="1" x14ac:dyDescent="0.2">
      <c r="A189" s="43" t="s">
        <v>99</v>
      </c>
      <c r="B189" s="9">
        <f ca="1">N180+1</f>
        <v>7</v>
      </c>
      <c r="C189" s="10"/>
      <c r="D189" s="9">
        <f ca="1">B189+1</f>
        <v>8</v>
      </c>
      <c r="E189" s="10"/>
      <c r="F189" s="9">
        <f ca="1">D189+1</f>
        <v>9</v>
      </c>
      <c r="G189" s="10"/>
      <c r="H189" s="9">
        <f ca="1">F189+1</f>
        <v>10</v>
      </c>
      <c r="I189" s="10"/>
      <c r="J189" s="9">
        <f ca="1">H189+1</f>
        <v>11</v>
      </c>
      <c r="K189" s="10"/>
      <c r="L189" s="9">
        <f ca="1">J189+1</f>
        <v>12</v>
      </c>
      <c r="M189" s="10"/>
      <c r="N189" s="9">
        <f ca="1">L189+1</f>
        <v>13</v>
      </c>
      <c r="O189" s="10"/>
      <c r="P189" s="27"/>
    </row>
    <row r="190" spans="1:16" ht="11.25" customHeight="1" x14ac:dyDescent="0.2">
      <c r="A190" s="43" t="s">
        <v>100</v>
      </c>
      <c r="B190" s="35" t="s">
        <v>345</v>
      </c>
      <c r="C190" s="37" t="s">
        <v>359</v>
      </c>
      <c r="D190" s="35" t="s">
        <v>345</v>
      </c>
      <c r="E190" s="37" t="s">
        <v>359</v>
      </c>
      <c r="F190" s="35" t="s">
        <v>345</v>
      </c>
      <c r="G190" s="37" t="s">
        <v>359</v>
      </c>
      <c r="H190" s="35" t="s">
        <v>345</v>
      </c>
      <c r="I190" s="37" t="s">
        <v>359</v>
      </c>
      <c r="J190" s="35" t="s">
        <v>345</v>
      </c>
      <c r="K190" s="37" t="s">
        <v>359</v>
      </c>
      <c r="L190" s="35" t="s">
        <v>345</v>
      </c>
      <c r="M190" s="37" t="s">
        <v>359</v>
      </c>
      <c r="N190" s="35" t="s">
        <v>345</v>
      </c>
      <c r="O190" s="38" t="s">
        <v>359</v>
      </c>
      <c r="P190" s="51"/>
    </row>
    <row r="191" spans="1:16" ht="11.25" customHeight="1" x14ac:dyDescent="0.2">
      <c r="A191" s="43" t="s">
        <v>101</v>
      </c>
      <c r="B191" s="19"/>
      <c r="C191" s="55"/>
      <c r="D191" s="19"/>
      <c r="E191" s="55"/>
      <c r="F191" s="19"/>
      <c r="G191" s="55"/>
      <c r="H191" s="19"/>
      <c r="I191" s="55"/>
      <c r="J191" s="19"/>
      <c r="K191" s="55"/>
      <c r="L191" s="19"/>
      <c r="M191" s="55"/>
      <c r="N191" s="19"/>
      <c r="O191" s="59"/>
      <c r="P191" s="51"/>
    </row>
    <row r="192" spans="1:16" ht="11.25" customHeight="1" x14ac:dyDescent="0.2">
      <c r="B192" s="20"/>
      <c r="C192" s="56"/>
      <c r="D192" s="20"/>
      <c r="E192" s="56"/>
      <c r="F192" s="20"/>
      <c r="G192" s="56"/>
      <c r="H192" s="20"/>
      <c r="I192" s="56"/>
      <c r="J192" s="20"/>
      <c r="K192" s="56"/>
      <c r="L192" s="20"/>
      <c r="M192" s="56"/>
      <c r="N192" s="20"/>
      <c r="O192" s="60"/>
      <c r="P192" s="51"/>
    </row>
    <row r="193" spans="1:16" ht="11.25" customHeight="1" x14ac:dyDescent="0.2">
      <c r="B193" s="20"/>
      <c r="C193" s="56"/>
      <c r="D193" s="20"/>
      <c r="E193" s="56"/>
      <c r="F193" s="20"/>
      <c r="G193" s="56"/>
      <c r="H193" s="20"/>
      <c r="I193" s="56"/>
      <c r="J193" s="20"/>
      <c r="K193" s="56"/>
      <c r="L193" s="20"/>
      <c r="M193" s="56"/>
      <c r="N193" s="20"/>
      <c r="O193" s="60"/>
      <c r="P193" s="51"/>
    </row>
    <row r="194" spans="1:16" ht="11.25" customHeight="1" x14ac:dyDescent="0.2">
      <c r="B194" s="20"/>
      <c r="C194" s="56"/>
      <c r="D194" s="20"/>
      <c r="E194" s="56"/>
      <c r="F194" s="20"/>
      <c r="G194" s="56"/>
      <c r="H194" s="20"/>
      <c r="I194" s="56"/>
      <c r="J194" s="20"/>
      <c r="K194" s="56"/>
      <c r="L194" s="20"/>
      <c r="M194" s="56"/>
      <c r="N194" s="20"/>
      <c r="O194" s="60"/>
      <c r="P194" s="51"/>
    </row>
    <row r="195" spans="1:16" ht="11.25" customHeight="1" x14ac:dyDescent="0.2">
      <c r="B195" s="21"/>
      <c r="C195" s="57"/>
      <c r="D195" s="21"/>
      <c r="E195" s="57"/>
      <c r="F195" s="21"/>
      <c r="G195" s="57"/>
      <c r="H195" s="21"/>
      <c r="I195" s="57"/>
      <c r="J195" s="21"/>
      <c r="K195" s="57"/>
      <c r="L195" s="21"/>
      <c r="M195" s="57"/>
      <c r="N195" s="21"/>
      <c r="O195" s="61"/>
      <c r="P195" s="51"/>
    </row>
    <row r="196" spans="1:16" ht="11.25" customHeight="1" x14ac:dyDescent="0.2">
      <c r="A196" s="43" t="s">
        <v>102</v>
      </c>
      <c r="B196" s="53" t="s">
        <v>346</v>
      </c>
      <c r="C196" s="58">
        <f>SUM(C191:C195)</f>
        <v>0</v>
      </c>
      <c r="D196" s="76"/>
      <c r="E196" s="58">
        <f>SUM(E191:E195)</f>
        <v>0</v>
      </c>
      <c r="F196" s="76"/>
      <c r="G196" s="58">
        <f>SUM(G191:G195)</f>
        <v>0</v>
      </c>
      <c r="H196" s="76"/>
      <c r="I196" s="58">
        <f>SUM(I191:I195)</f>
        <v>0</v>
      </c>
      <c r="J196" s="76"/>
      <c r="K196" s="58">
        <f>SUM(K191:K195)</f>
        <v>0</v>
      </c>
      <c r="L196" s="76"/>
      <c r="M196" s="58">
        <f>SUM(M191:M195)</f>
        <v>0</v>
      </c>
      <c r="N196" s="76"/>
      <c r="O196" s="62">
        <f>SUM(O191:O195)</f>
        <v>0</v>
      </c>
      <c r="P196" s="63">
        <f>SUM(C196,E196,G196,I196,K196,M196,O196)</f>
        <v>0</v>
      </c>
    </row>
    <row r="197" spans="1:16" s="45" customFormat="1" x14ac:dyDescent="0.2">
      <c r="A197" s="46"/>
      <c r="C197" s="6"/>
      <c r="D197" s="6"/>
      <c r="E197" s="6"/>
      <c r="F197" s="6"/>
      <c r="G197" s="6"/>
      <c r="H197" s="6"/>
      <c r="I197" s="6"/>
      <c r="J197" s="6"/>
      <c r="K197" s="6"/>
      <c r="L197" s="6"/>
      <c r="M197" s="6"/>
      <c r="N197" s="6"/>
      <c r="O197" s="6"/>
    </row>
    <row r="198" spans="1:16" ht="15" customHeight="1" x14ac:dyDescent="0.2">
      <c r="A198" s="43" t="s">
        <v>103</v>
      </c>
      <c r="B198" s="9">
        <f ca="1">N189+1</f>
        <v>14</v>
      </c>
      <c r="C198" s="10"/>
      <c r="D198" s="9">
        <f ca="1">B198+1</f>
        <v>15</v>
      </c>
      <c r="E198" s="10"/>
      <c r="F198" s="9">
        <f ca="1">D198+1</f>
        <v>16</v>
      </c>
      <c r="G198" s="10"/>
      <c r="H198" s="9">
        <f ca="1">F198+1</f>
        <v>17</v>
      </c>
      <c r="I198" s="10"/>
      <c r="J198" s="9">
        <f ca="1">H198+1</f>
        <v>18</v>
      </c>
      <c r="K198" s="10"/>
      <c r="L198" s="9">
        <f ca="1">J198+1</f>
        <v>19</v>
      </c>
      <c r="M198" s="10"/>
      <c r="N198" s="9">
        <f ca="1">L198+1</f>
        <v>20</v>
      </c>
      <c r="O198" s="10"/>
      <c r="P198" s="27"/>
    </row>
    <row r="199" spans="1:16" ht="11.25" customHeight="1" x14ac:dyDescent="0.2">
      <c r="A199" s="43" t="s">
        <v>104</v>
      </c>
      <c r="B199" s="35" t="s">
        <v>345</v>
      </c>
      <c r="C199" s="37" t="s">
        <v>359</v>
      </c>
      <c r="D199" s="35" t="s">
        <v>345</v>
      </c>
      <c r="E199" s="37" t="s">
        <v>359</v>
      </c>
      <c r="F199" s="35" t="s">
        <v>345</v>
      </c>
      <c r="G199" s="37" t="s">
        <v>359</v>
      </c>
      <c r="H199" s="35" t="s">
        <v>345</v>
      </c>
      <c r="I199" s="37" t="s">
        <v>359</v>
      </c>
      <c r="J199" s="35" t="s">
        <v>345</v>
      </c>
      <c r="K199" s="37" t="s">
        <v>359</v>
      </c>
      <c r="L199" s="35" t="s">
        <v>345</v>
      </c>
      <c r="M199" s="37" t="s">
        <v>359</v>
      </c>
      <c r="N199" s="35" t="s">
        <v>345</v>
      </c>
      <c r="O199" s="38" t="s">
        <v>359</v>
      </c>
      <c r="P199" s="51"/>
    </row>
    <row r="200" spans="1:16" ht="11.25" customHeight="1" x14ac:dyDescent="0.2">
      <c r="A200" s="43" t="s">
        <v>105</v>
      </c>
      <c r="B200" s="19"/>
      <c r="C200" s="67"/>
      <c r="D200" s="19"/>
      <c r="E200" s="67"/>
      <c r="F200" s="19"/>
      <c r="G200" s="67"/>
      <c r="H200" s="19"/>
      <c r="I200" s="67"/>
      <c r="J200" s="19"/>
      <c r="K200" s="67"/>
      <c r="L200" s="19"/>
      <c r="M200" s="67"/>
      <c r="N200" s="19"/>
      <c r="O200" s="71"/>
      <c r="P200" s="51"/>
    </row>
    <row r="201" spans="1:16" ht="11.25" customHeight="1" x14ac:dyDescent="0.2">
      <c r="B201" s="20"/>
      <c r="C201" s="68"/>
      <c r="D201" s="20"/>
      <c r="E201" s="68"/>
      <c r="F201" s="20"/>
      <c r="G201" s="68"/>
      <c r="H201" s="20"/>
      <c r="I201" s="68"/>
      <c r="J201" s="20"/>
      <c r="K201" s="68"/>
      <c r="L201" s="20"/>
      <c r="M201" s="68"/>
      <c r="N201" s="20"/>
      <c r="O201" s="72"/>
      <c r="P201" s="51"/>
    </row>
    <row r="202" spans="1:16" ht="11.25" customHeight="1" x14ac:dyDescent="0.2">
      <c r="B202" s="20"/>
      <c r="C202" s="68"/>
      <c r="D202" s="20"/>
      <c r="E202" s="68"/>
      <c r="F202" s="20"/>
      <c r="G202" s="68"/>
      <c r="H202" s="20"/>
      <c r="I202" s="68"/>
      <c r="J202" s="20"/>
      <c r="K202" s="68"/>
      <c r="L202" s="20"/>
      <c r="M202" s="68"/>
      <c r="N202" s="20"/>
      <c r="O202" s="72"/>
      <c r="P202" s="51"/>
    </row>
    <row r="203" spans="1:16" ht="11.25" customHeight="1" x14ac:dyDescent="0.2">
      <c r="B203" s="20"/>
      <c r="C203" s="68"/>
      <c r="D203" s="20"/>
      <c r="E203" s="68"/>
      <c r="F203" s="20"/>
      <c r="G203" s="68"/>
      <c r="H203" s="20"/>
      <c r="I203" s="68"/>
      <c r="J203" s="20"/>
      <c r="K203" s="68"/>
      <c r="L203" s="20"/>
      <c r="M203" s="68"/>
      <c r="N203" s="20"/>
      <c r="O203" s="72"/>
      <c r="P203" s="51"/>
    </row>
    <row r="204" spans="1:16" ht="11.25" customHeight="1" x14ac:dyDescent="0.2">
      <c r="B204" s="21"/>
      <c r="C204" s="69"/>
      <c r="D204" s="21"/>
      <c r="E204" s="69"/>
      <c r="F204" s="21"/>
      <c r="G204" s="69"/>
      <c r="H204" s="21"/>
      <c r="I204" s="69"/>
      <c r="J204" s="21"/>
      <c r="K204" s="69"/>
      <c r="L204" s="21"/>
      <c r="M204" s="69"/>
      <c r="N204" s="21"/>
      <c r="O204" s="73"/>
      <c r="P204" s="51"/>
    </row>
    <row r="205" spans="1:16" ht="11.25" customHeight="1" x14ac:dyDescent="0.2">
      <c r="A205" s="43" t="s">
        <v>106</v>
      </c>
      <c r="B205" s="54" t="s">
        <v>346</v>
      </c>
      <c r="C205" s="70">
        <f>SUM(C200:C204)</f>
        <v>0</v>
      </c>
      <c r="D205" s="77"/>
      <c r="E205" s="70">
        <f>SUM(E200:E204)</f>
        <v>0</v>
      </c>
      <c r="F205" s="77"/>
      <c r="G205" s="70">
        <f>SUM(G200:G204)</f>
        <v>0</v>
      </c>
      <c r="H205" s="77"/>
      <c r="I205" s="70">
        <f>SUM(I200:I204)</f>
        <v>0</v>
      </c>
      <c r="J205" s="77"/>
      <c r="K205" s="70">
        <f>SUM(K200:K204)</f>
        <v>0</v>
      </c>
      <c r="L205" s="77"/>
      <c r="M205" s="70">
        <f>SUM(M200:M204)</f>
        <v>0</v>
      </c>
      <c r="N205" s="77"/>
      <c r="O205" s="74">
        <f>SUM(O200:O204)</f>
        <v>0</v>
      </c>
      <c r="P205" s="75">
        <f>SUM(C205,E205,G205,I205,K205,M205,O205)</f>
        <v>0</v>
      </c>
    </row>
    <row r="206" spans="1:16" s="45" customFormat="1" x14ac:dyDescent="0.2">
      <c r="A206" s="46"/>
      <c r="C206" s="6"/>
      <c r="D206" s="6"/>
      <c r="E206" s="6"/>
      <c r="F206" s="6"/>
      <c r="G206" s="6"/>
      <c r="H206" s="6"/>
      <c r="I206" s="6"/>
      <c r="J206" s="6"/>
      <c r="K206" s="6"/>
      <c r="L206" s="6"/>
      <c r="M206" s="6"/>
      <c r="N206" s="6"/>
      <c r="O206" s="6"/>
    </row>
    <row r="207" spans="1:16" ht="15" customHeight="1" x14ac:dyDescent="0.2">
      <c r="A207" s="43" t="s">
        <v>107</v>
      </c>
      <c r="B207" s="9">
        <f ca="1">N198+1</f>
        <v>21</v>
      </c>
      <c r="C207" s="10"/>
      <c r="D207" s="9">
        <f ca="1">B207+1</f>
        <v>22</v>
      </c>
      <c r="E207" s="10"/>
      <c r="F207" s="9">
        <f ca="1">D207+1</f>
        <v>23</v>
      </c>
      <c r="G207" s="10"/>
      <c r="H207" s="9">
        <f ca="1">F207+1</f>
        <v>24</v>
      </c>
      <c r="I207" s="10"/>
      <c r="J207" s="9">
        <f ca="1">H207+1</f>
        <v>25</v>
      </c>
      <c r="K207" s="10"/>
      <c r="L207" s="9">
        <f ca="1">J207+1</f>
        <v>26</v>
      </c>
      <c r="M207" s="10"/>
      <c r="N207" s="9">
        <f ca="1">L207+1</f>
        <v>27</v>
      </c>
      <c r="O207" s="10"/>
      <c r="P207" s="27"/>
    </row>
    <row r="208" spans="1:16" ht="11.25" customHeight="1" x14ac:dyDescent="0.2">
      <c r="A208" s="43" t="s">
        <v>108</v>
      </c>
      <c r="B208" s="35" t="s">
        <v>345</v>
      </c>
      <c r="C208" s="37" t="s">
        <v>359</v>
      </c>
      <c r="D208" s="35" t="s">
        <v>345</v>
      </c>
      <c r="E208" s="37" t="s">
        <v>359</v>
      </c>
      <c r="F208" s="35" t="s">
        <v>345</v>
      </c>
      <c r="G208" s="37" t="s">
        <v>359</v>
      </c>
      <c r="H208" s="35" t="s">
        <v>345</v>
      </c>
      <c r="I208" s="37" t="s">
        <v>359</v>
      </c>
      <c r="J208" s="35" t="s">
        <v>345</v>
      </c>
      <c r="K208" s="37" t="s">
        <v>359</v>
      </c>
      <c r="L208" s="35" t="s">
        <v>345</v>
      </c>
      <c r="M208" s="37" t="s">
        <v>359</v>
      </c>
      <c r="N208" s="35" t="s">
        <v>345</v>
      </c>
      <c r="O208" s="38" t="s">
        <v>359</v>
      </c>
      <c r="P208" s="51"/>
    </row>
    <row r="209" spans="1:16" ht="11.25" customHeight="1" x14ac:dyDescent="0.2">
      <c r="A209" s="43" t="s">
        <v>109</v>
      </c>
      <c r="B209" s="19"/>
      <c r="C209" s="67"/>
      <c r="D209" s="19"/>
      <c r="E209" s="67"/>
      <c r="F209" s="19"/>
      <c r="G209" s="67"/>
      <c r="H209" s="19"/>
      <c r="I209" s="67"/>
      <c r="J209" s="19"/>
      <c r="K209" s="67"/>
      <c r="L209" s="19"/>
      <c r="M209" s="67"/>
      <c r="N209" s="19"/>
      <c r="O209" s="71"/>
      <c r="P209" s="51"/>
    </row>
    <row r="210" spans="1:16" ht="11.25" customHeight="1" x14ac:dyDescent="0.2">
      <c r="B210" s="20"/>
      <c r="C210" s="68"/>
      <c r="D210" s="20"/>
      <c r="E210" s="68"/>
      <c r="F210" s="20"/>
      <c r="G210" s="68"/>
      <c r="H210" s="20"/>
      <c r="I210" s="68"/>
      <c r="J210" s="20"/>
      <c r="K210" s="68"/>
      <c r="L210" s="20"/>
      <c r="M210" s="68"/>
      <c r="N210" s="20"/>
      <c r="O210" s="72"/>
      <c r="P210" s="51"/>
    </row>
    <row r="211" spans="1:16" ht="11.25" customHeight="1" x14ac:dyDescent="0.2">
      <c r="B211" s="20"/>
      <c r="C211" s="68"/>
      <c r="D211" s="20"/>
      <c r="E211" s="68"/>
      <c r="F211" s="20"/>
      <c r="G211" s="68"/>
      <c r="H211" s="20"/>
      <c r="I211" s="68"/>
      <c r="J211" s="20"/>
      <c r="K211" s="68"/>
      <c r="L211" s="20"/>
      <c r="M211" s="68"/>
      <c r="N211" s="20"/>
      <c r="O211" s="72"/>
      <c r="P211" s="51"/>
    </row>
    <row r="212" spans="1:16" ht="11.25" customHeight="1" x14ac:dyDescent="0.2">
      <c r="B212" s="20"/>
      <c r="C212" s="68"/>
      <c r="D212" s="20"/>
      <c r="E212" s="68"/>
      <c r="F212" s="20"/>
      <c r="G212" s="68"/>
      <c r="H212" s="20"/>
      <c r="I212" s="68"/>
      <c r="J212" s="20"/>
      <c r="K212" s="68"/>
      <c r="L212" s="20"/>
      <c r="M212" s="68"/>
      <c r="N212" s="20"/>
      <c r="O212" s="72"/>
      <c r="P212" s="51"/>
    </row>
    <row r="213" spans="1:16" ht="11.25" customHeight="1" x14ac:dyDescent="0.2">
      <c r="B213" s="21"/>
      <c r="C213" s="69"/>
      <c r="D213" s="21"/>
      <c r="E213" s="69"/>
      <c r="F213" s="21"/>
      <c r="G213" s="69"/>
      <c r="H213" s="21"/>
      <c r="I213" s="69"/>
      <c r="J213" s="21"/>
      <c r="K213" s="69"/>
      <c r="L213" s="21"/>
      <c r="M213" s="69"/>
      <c r="N213" s="21"/>
      <c r="O213" s="73"/>
      <c r="P213" s="51"/>
    </row>
    <row r="214" spans="1:16" ht="11.25" customHeight="1" x14ac:dyDescent="0.2">
      <c r="A214" s="43" t="s">
        <v>110</v>
      </c>
      <c r="B214" s="53" t="s">
        <v>346</v>
      </c>
      <c r="C214" s="70">
        <f>SUM(C209:C213)</f>
        <v>0</v>
      </c>
      <c r="D214" s="77"/>
      <c r="E214" s="70">
        <f>SUM(E209:E213)</f>
        <v>0</v>
      </c>
      <c r="F214" s="77"/>
      <c r="G214" s="70">
        <f>SUM(G209:G213)</f>
        <v>0</v>
      </c>
      <c r="H214" s="77"/>
      <c r="I214" s="70">
        <f>SUM(I209:I213)</f>
        <v>0</v>
      </c>
      <c r="J214" s="77"/>
      <c r="K214" s="70">
        <f>SUM(K209:K213)</f>
        <v>0</v>
      </c>
      <c r="L214" s="77"/>
      <c r="M214" s="70">
        <f>SUM(M209:M213)</f>
        <v>0</v>
      </c>
      <c r="N214" s="77"/>
      <c r="O214" s="74">
        <f>SUM(O209:O213)</f>
        <v>0</v>
      </c>
      <c r="P214" s="75">
        <f>SUM(C214,E214,G214,I214,K214,M214,O214)</f>
        <v>0</v>
      </c>
    </row>
    <row r="215" spans="1:16" s="45" customFormat="1" x14ac:dyDescent="0.2">
      <c r="A215" s="46"/>
      <c r="C215" s="6"/>
      <c r="D215" s="6"/>
      <c r="E215" s="6"/>
      <c r="F215" s="6"/>
      <c r="G215" s="6"/>
      <c r="H215" s="6"/>
      <c r="I215" s="6"/>
      <c r="J215" s="6"/>
      <c r="K215" s="6"/>
      <c r="L215" s="6"/>
      <c r="M215" s="6"/>
      <c r="N215" s="6"/>
      <c r="O215" s="6"/>
    </row>
    <row r="216" spans="1:16" ht="15" customHeight="1" x14ac:dyDescent="0.2">
      <c r="A216" s="43" t="s">
        <v>111</v>
      </c>
      <c r="B216" s="9">
        <f ca="1">DAY(IF(DAY(AprSun1)=1,AprSun1+22,AprSun1+29))</f>
        <v>28</v>
      </c>
      <c r="C216" s="10"/>
      <c r="D216" s="9">
        <f ca="1">DAY(IF(DAY(AprSun1)=1,AprSun1+23,AprSun1+30))</f>
        <v>29</v>
      </c>
      <c r="E216" s="10"/>
      <c r="F216" s="9">
        <f ca="1">DAY(IF(DAY(AprSun1)=1,AprSun1+24,AprSun1+31))</f>
        <v>30</v>
      </c>
      <c r="G216" s="10"/>
      <c r="H216" s="9">
        <f ca="1">DAY(IF(DAY(AprSun1)=1,AprSun1+25,AprSun1+32))</f>
        <v>1</v>
      </c>
      <c r="I216" s="10"/>
      <c r="J216" s="9">
        <f ca="1">DAY(IF(DAY(AprSun1)=1,AprSun1+26,AprSun1+33))</f>
        <v>2</v>
      </c>
      <c r="K216" s="10"/>
      <c r="L216" s="9">
        <f ca="1">DAY(IF(DAY(AprSun1)=1,AprSun1+27,AprSun1+34))</f>
        <v>3</v>
      </c>
      <c r="M216" s="10"/>
      <c r="N216" s="9">
        <f ca="1">DAY(IF(DAY(AprSun1)=1,AprSun1+28,AprSun1+35))</f>
        <v>4</v>
      </c>
      <c r="O216" s="10"/>
      <c r="P216" s="27"/>
    </row>
    <row r="217" spans="1:16" ht="11.25" customHeight="1" x14ac:dyDescent="0.2">
      <c r="A217" s="43" t="s">
        <v>112</v>
      </c>
      <c r="B217" s="35" t="s">
        <v>345</v>
      </c>
      <c r="C217" s="37" t="s">
        <v>359</v>
      </c>
      <c r="D217" s="35" t="s">
        <v>345</v>
      </c>
      <c r="E217" s="37" t="s">
        <v>359</v>
      </c>
      <c r="F217" s="35" t="s">
        <v>345</v>
      </c>
      <c r="G217" s="37" t="s">
        <v>359</v>
      </c>
      <c r="H217" s="35" t="s">
        <v>345</v>
      </c>
      <c r="I217" s="37" t="s">
        <v>359</v>
      </c>
      <c r="J217" s="35" t="s">
        <v>345</v>
      </c>
      <c r="K217" s="37" t="s">
        <v>359</v>
      </c>
      <c r="L217" s="35" t="s">
        <v>345</v>
      </c>
      <c r="M217" s="37" t="s">
        <v>359</v>
      </c>
      <c r="N217" s="35" t="s">
        <v>345</v>
      </c>
      <c r="O217" s="38" t="s">
        <v>359</v>
      </c>
      <c r="P217" s="51"/>
    </row>
    <row r="218" spans="1:16" ht="11.25" customHeight="1" x14ac:dyDescent="0.2">
      <c r="A218" s="43" t="s">
        <v>113</v>
      </c>
      <c r="B218" s="14"/>
      <c r="C218" s="67"/>
      <c r="D218" s="17"/>
      <c r="E218" s="67"/>
      <c r="F218" s="14"/>
      <c r="G218" s="67"/>
      <c r="H218" s="14"/>
      <c r="I218" s="67"/>
      <c r="J218" s="14"/>
      <c r="K218" s="67"/>
      <c r="L218" s="14"/>
      <c r="M218" s="67"/>
      <c r="N218" s="23"/>
      <c r="O218" s="78"/>
      <c r="P218" s="51"/>
    </row>
    <row r="219" spans="1:16" ht="11.25" customHeight="1" x14ac:dyDescent="0.2">
      <c r="B219" s="15"/>
      <c r="C219" s="68"/>
      <c r="D219" s="15"/>
      <c r="E219" s="68"/>
      <c r="F219" s="15"/>
      <c r="G219" s="68"/>
      <c r="H219" s="15"/>
      <c r="I219" s="68"/>
      <c r="J219" s="15"/>
      <c r="K219" s="68"/>
      <c r="L219" s="15"/>
      <c r="M219" s="68"/>
      <c r="N219" s="24"/>
      <c r="O219" s="79"/>
      <c r="P219" s="51"/>
    </row>
    <row r="220" spans="1:16" ht="11.25" customHeight="1" x14ac:dyDescent="0.2">
      <c r="B220" s="15"/>
      <c r="C220" s="68"/>
      <c r="D220" s="15"/>
      <c r="E220" s="68"/>
      <c r="F220" s="15"/>
      <c r="G220" s="68"/>
      <c r="H220" s="15"/>
      <c r="I220" s="68"/>
      <c r="J220" s="15"/>
      <c r="K220" s="68"/>
      <c r="L220" s="15"/>
      <c r="M220" s="68"/>
      <c r="N220" s="24"/>
      <c r="O220" s="79"/>
      <c r="P220" s="51"/>
    </row>
    <row r="221" spans="1:16" ht="11.25" customHeight="1" x14ac:dyDescent="0.2">
      <c r="B221" s="15"/>
      <c r="C221" s="68"/>
      <c r="D221" s="15"/>
      <c r="E221" s="68"/>
      <c r="F221" s="15"/>
      <c r="G221" s="68"/>
      <c r="H221" s="15"/>
      <c r="I221" s="68"/>
      <c r="J221" s="15"/>
      <c r="K221" s="68"/>
      <c r="L221" s="15"/>
      <c r="M221" s="68"/>
      <c r="N221" s="24"/>
      <c r="O221" s="79"/>
      <c r="P221" s="51"/>
    </row>
    <row r="222" spans="1:16" ht="11.25" customHeight="1" x14ac:dyDescent="0.2">
      <c r="B222" s="16"/>
      <c r="C222" s="69"/>
      <c r="D222" s="16"/>
      <c r="E222" s="69"/>
      <c r="F222" s="16"/>
      <c r="G222" s="69"/>
      <c r="H222" s="16"/>
      <c r="I222" s="69"/>
      <c r="J222" s="16"/>
      <c r="K222" s="69"/>
      <c r="L222" s="16"/>
      <c r="M222" s="69"/>
      <c r="N222" s="25"/>
      <c r="O222" s="80"/>
      <c r="P222" s="51"/>
    </row>
    <row r="223" spans="1:16" ht="11.25" customHeight="1" x14ac:dyDescent="0.2">
      <c r="A223" s="43" t="s">
        <v>114</v>
      </c>
      <c r="B223" s="53" t="s">
        <v>346</v>
      </c>
      <c r="C223" s="70">
        <f>SUM(C218:C222)</f>
        <v>0</v>
      </c>
      <c r="D223" s="77"/>
      <c r="E223" s="70">
        <f>SUM(E218:E222)</f>
        <v>0</v>
      </c>
      <c r="F223" s="77"/>
      <c r="G223" s="70">
        <f>SUM(G218:G222)</f>
        <v>0</v>
      </c>
      <c r="H223" s="77"/>
      <c r="I223" s="70">
        <f>SUM(I218:I222)</f>
        <v>0</v>
      </c>
      <c r="J223" s="77"/>
      <c r="K223" s="70">
        <f>SUM(K218:K222)</f>
        <v>0</v>
      </c>
      <c r="L223" s="77"/>
      <c r="M223" s="70">
        <f>SUM(M218:M222)</f>
        <v>0</v>
      </c>
      <c r="N223" s="77"/>
      <c r="O223" s="74">
        <f>SUM(O218:O222)</f>
        <v>0</v>
      </c>
      <c r="P223" s="75">
        <f ca="1">SUMIF(B216:N216,"&gt;="&amp;15,C223:O223)</f>
        <v>0</v>
      </c>
    </row>
    <row r="224" spans="1:16" s="45" customFormat="1" x14ac:dyDescent="0.2">
      <c r="A224" s="46"/>
      <c r="C224" s="6"/>
      <c r="D224" s="6"/>
      <c r="E224" s="6"/>
      <c r="F224" s="6"/>
      <c r="G224" s="6"/>
      <c r="H224" s="6"/>
      <c r="I224" s="6"/>
      <c r="J224" s="6"/>
      <c r="K224" s="6"/>
      <c r="L224" s="6"/>
      <c r="M224" s="6"/>
      <c r="N224" s="6"/>
      <c r="O224" s="6"/>
    </row>
    <row r="225" spans="1:16" ht="15" customHeight="1" x14ac:dyDescent="0.2">
      <c r="A225" s="43" t="s">
        <v>115</v>
      </c>
      <c r="B225" s="9">
        <f ca="1">DAY(IF(DAY(AprSun1)=1,AprSun1+29,AprSun1+36))</f>
        <v>5</v>
      </c>
      <c r="C225" s="8"/>
      <c r="D225" s="9">
        <f ca="1">DAY(IF(DAY(AprSun1)=1,AprSun1+30,AprSun1+37))</f>
        <v>6</v>
      </c>
      <c r="E225" s="10"/>
      <c r="F225" s="7">
        <f ca="1">DAY(IF(DAY(AprSun1)=1,AprSun1+31,AprSun1+38))</f>
        <v>7</v>
      </c>
      <c r="G225" s="10"/>
      <c r="H225" s="9">
        <f ca="1">DAY(IF(DAY(AprSun1)=1,AprSun1+32,AprSun1+39))</f>
        <v>8</v>
      </c>
      <c r="I225" s="10"/>
      <c r="J225" s="9">
        <f ca="1">DAY(IF(DAY(AprSun1)=1,AprSun1+33,AprSun1+40))</f>
        <v>9</v>
      </c>
      <c r="K225" s="10"/>
      <c r="L225" s="9">
        <f ca="1">DAY(IF(DAY(AprSun1)=1,AprSun1+34,AprSun1+41))</f>
        <v>10</v>
      </c>
      <c r="M225" s="10"/>
      <c r="N225" s="9">
        <f ca="1">DAY(IF(DAY(AprSun1)=1,AprSun1+35,AprSun1+42))</f>
        <v>11</v>
      </c>
      <c r="O225" s="10"/>
      <c r="P225" s="27"/>
    </row>
    <row r="226" spans="1:16" ht="11.25" customHeight="1" x14ac:dyDescent="0.2">
      <c r="A226" s="43" t="s">
        <v>116</v>
      </c>
      <c r="B226" s="35" t="s">
        <v>345</v>
      </c>
      <c r="C226" s="37" t="s">
        <v>359</v>
      </c>
      <c r="D226" s="35" t="s">
        <v>345</v>
      </c>
      <c r="E226" s="37" t="s">
        <v>359</v>
      </c>
      <c r="F226" s="35" t="s">
        <v>345</v>
      </c>
      <c r="G226" s="37" t="s">
        <v>359</v>
      </c>
      <c r="H226" s="35" t="s">
        <v>345</v>
      </c>
      <c r="I226" s="37" t="s">
        <v>359</v>
      </c>
      <c r="J226" s="35" t="s">
        <v>345</v>
      </c>
      <c r="K226" s="37" t="s">
        <v>359</v>
      </c>
      <c r="L226" s="35" t="s">
        <v>345</v>
      </c>
      <c r="M226" s="37" t="s">
        <v>359</v>
      </c>
      <c r="N226" s="35" t="s">
        <v>345</v>
      </c>
      <c r="O226" s="38" t="s">
        <v>359</v>
      </c>
      <c r="P226" s="51"/>
    </row>
    <row r="227" spans="1:16" ht="11.25" customHeight="1" x14ac:dyDescent="0.2">
      <c r="A227" s="43" t="s">
        <v>117</v>
      </c>
      <c r="B227" s="14"/>
      <c r="C227" s="67"/>
      <c r="D227" s="17"/>
      <c r="E227" s="67"/>
      <c r="F227" s="14"/>
      <c r="G227" s="67"/>
      <c r="H227" s="14"/>
      <c r="I227" s="67"/>
      <c r="J227" s="14"/>
      <c r="K227" s="67"/>
      <c r="L227" s="14"/>
      <c r="M227" s="67"/>
      <c r="N227" s="14"/>
      <c r="O227" s="71"/>
      <c r="P227" s="51"/>
    </row>
    <row r="228" spans="1:16" ht="11.25" customHeight="1" x14ac:dyDescent="0.2">
      <c r="B228" s="15"/>
      <c r="C228" s="68"/>
      <c r="D228" s="15"/>
      <c r="E228" s="68"/>
      <c r="F228" s="15"/>
      <c r="G228" s="68"/>
      <c r="H228" s="15"/>
      <c r="I228" s="68"/>
      <c r="J228" s="15"/>
      <c r="K228" s="68"/>
      <c r="L228" s="15"/>
      <c r="M228" s="68"/>
      <c r="N228" s="15"/>
      <c r="O228" s="72"/>
      <c r="P228" s="51"/>
    </row>
    <row r="229" spans="1:16" ht="11.25" customHeight="1" x14ac:dyDescent="0.2">
      <c r="B229" s="15"/>
      <c r="C229" s="68"/>
      <c r="D229" s="15"/>
      <c r="E229" s="68"/>
      <c r="F229" s="15"/>
      <c r="G229" s="68"/>
      <c r="H229" s="15"/>
      <c r="I229" s="68"/>
      <c r="J229" s="15"/>
      <c r="K229" s="68"/>
      <c r="L229" s="15"/>
      <c r="M229" s="68"/>
      <c r="N229" s="15"/>
      <c r="O229" s="72"/>
      <c r="P229" s="51"/>
    </row>
    <row r="230" spans="1:16" ht="11.25" customHeight="1" x14ac:dyDescent="0.2">
      <c r="B230" s="15"/>
      <c r="C230" s="68"/>
      <c r="D230" s="15"/>
      <c r="E230" s="68"/>
      <c r="F230" s="15"/>
      <c r="G230" s="68"/>
      <c r="H230" s="15"/>
      <c r="I230" s="68"/>
      <c r="J230" s="15"/>
      <c r="K230" s="68"/>
      <c r="L230" s="15"/>
      <c r="M230" s="68"/>
      <c r="N230" s="15"/>
      <c r="O230" s="72"/>
      <c r="P230" s="51"/>
    </row>
    <row r="231" spans="1:16" ht="11.25" customHeight="1" x14ac:dyDescent="0.2">
      <c r="B231" s="16"/>
      <c r="C231" s="69"/>
      <c r="D231" s="16"/>
      <c r="E231" s="69"/>
      <c r="F231" s="16"/>
      <c r="G231" s="69"/>
      <c r="H231" s="16"/>
      <c r="I231" s="69"/>
      <c r="J231" s="16"/>
      <c r="K231" s="69"/>
      <c r="L231" s="16"/>
      <c r="M231" s="69"/>
      <c r="N231" s="16"/>
      <c r="O231" s="73"/>
      <c r="P231" s="51"/>
    </row>
    <row r="232" spans="1:16" ht="11.25" customHeight="1" x14ac:dyDescent="0.2">
      <c r="A232" s="43" t="s">
        <v>118</v>
      </c>
      <c r="B232" s="53" t="s">
        <v>346</v>
      </c>
      <c r="C232" s="70">
        <f>SUM(C227:C231)</f>
        <v>0</v>
      </c>
      <c r="D232" s="77"/>
      <c r="E232" s="70">
        <f>SUM(E227:E231)</f>
        <v>0</v>
      </c>
      <c r="F232" s="77"/>
      <c r="G232" s="70">
        <f>SUM(G227:G231)</f>
        <v>0</v>
      </c>
      <c r="H232" s="77"/>
      <c r="I232" s="70">
        <f>SUM(I227:I231)</f>
        <v>0</v>
      </c>
      <c r="J232" s="77"/>
      <c r="K232" s="70">
        <f>SUM(K227:K231)</f>
        <v>0</v>
      </c>
      <c r="L232" s="77"/>
      <c r="M232" s="70">
        <f>SUM(M227:M231)</f>
        <v>0</v>
      </c>
      <c r="N232" s="77"/>
      <c r="O232" s="74">
        <f>SUM(O227:O231)</f>
        <v>0</v>
      </c>
      <c r="P232" s="75">
        <f ca="1">SUMIF(B225:N225,"&gt;="&amp;15,C232:O232)</f>
        <v>0</v>
      </c>
    </row>
    <row r="233" spans="1:16" s="45" customFormat="1" ht="17.25" customHeight="1" x14ac:dyDescent="0.2">
      <c r="A233" s="46"/>
      <c r="B233" s="49"/>
      <c r="C233" s="50"/>
      <c r="D233" s="49"/>
      <c r="E233" s="50"/>
      <c r="F233" s="49"/>
      <c r="G233" s="50"/>
      <c r="H233" s="49"/>
      <c r="I233" s="50"/>
      <c r="J233" s="49"/>
      <c r="K233" s="50"/>
      <c r="L233" s="49"/>
      <c r="M233" s="50"/>
      <c r="N233" s="49"/>
      <c r="O233" s="50"/>
      <c r="P233" s="49"/>
    </row>
    <row r="234" spans="1:16" ht="12" customHeight="1" x14ac:dyDescent="0.2">
      <c r="A234" s="43" t="s">
        <v>119</v>
      </c>
      <c r="B234" s="97" t="s">
        <v>350</v>
      </c>
      <c r="C234" s="97"/>
      <c r="D234" s="97"/>
      <c r="E234" s="97"/>
      <c r="F234"/>
      <c r="G234" s="4"/>
      <c r="H234"/>
      <c r="I234" s="4"/>
      <c r="J234"/>
      <c r="K234" s="4"/>
      <c r="L234" s="81" t="s">
        <v>369</v>
      </c>
      <c r="M234" s="81"/>
      <c r="N234" s="81" t="s">
        <v>371</v>
      </c>
      <c r="O234" s="81"/>
      <c r="P234"/>
    </row>
    <row r="235" spans="1:16" ht="25.5" customHeight="1" x14ac:dyDescent="0.2">
      <c r="A235" s="43" t="s">
        <v>120</v>
      </c>
      <c r="B235" s="97"/>
      <c r="C235" s="97"/>
      <c r="D235" s="97"/>
      <c r="E235" s="97"/>
      <c r="F235" s="47" t="str">
        <f ca="1">IFERROR(WEEKDAY(DATEVALUE(B234&amp;" 1, "&amp;Year1)),"")</f>
        <v/>
      </c>
      <c r="G235" s="6"/>
      <c r="H235" s="45"/>
      <c r="I235" s="6"/>
      <c r="J235" s="45"/>
      <c r="K235" s="6"/>
      <c r="L235" s="82">
        <f ca="1">SUM(P245,P254,P263,P272,P281,P290)</f>
        <v>0</v>
      </c>
      <c r="M235" s="83"/>
      <c r="N235" s="82">
        <f ca="1">SUM(P:P)</f>
        <v>439.95</v>
      </c>
      <c r="O235" s="84"/>
      <c r="P235"/>
    </row>
    <row r="236" spans="1:16" s="45" customFormat="1" ht="9" customHeight="1" x14ac:dyDescent="0.2">
      <c r="A236" s="46" t="s">
        <v>121</v>
      </c>
      <c r="B236" s="98">
        <v>1</v>
      </c>
      <c r="C236" s="98"/>
      <c r="D236" s="98">
        <v>2</v>
      </c>
      <c r="E236" s="98"/>
      <c r="F236" s="98">
        <v>3</v>
      </c>
      <c r="G236" s="98"/>
      <c r="H236" s="98">
        <v>4</v>
      </c>
      <c r="I236" s="98"/>
      <c r="J236" s="98">
        <v>5</v>
      </c>
      <c r="K236" s="98"/>
      <c r="L236" s="98">
        <v>6</v>
      </c>
      <c r="M236" s="98"/>
      <c r="N236" s="98">
        <v>7</v>
      </c>
      <c r="O236" s="98"/>
      <c r="P236" s="48"/>
    </row>
    <row r="237" spans="1:16" ht="15" customHeight="1" x14ac:dyDescent="0.2">
      <c r="A237" s="43" t="s">
        <v>122</v>
      </c>
      <c r="B237" s="87" t="s">
        <v>372</v>
      </c>
      <c r="C237" s="88"/>
      <c r="D237" s="89" t="s">
        <v>344</v>
      </c>
      <c r="E237" s="90"/>
      <c r="F237" s="91" t="s">
        <v>360</v>
      </c>
      <c r="G237" s="90" t="e">
        <f ca="1">IF(WEEKDAY(DATEVALUE(Month1&amp;" 1, "&amp;Year1))=COLUMN(#REF!),1,IF(LEN(E237)&gt;0,E237+1,""))</f>
        <v>#VALUE!</v>
      </c>
      <c r="H237" s="92" t="s">
        <v>361</v>
      </c>
      <c r="I237" s="92" t="e">
        <f ca="1">IF(WEEKDAY(DATEVALUE(Month1&amp;" 1, "&amp;Year1))=COLUMN(#REF!),1,IF(LEN(G237)&gt;0,G237+1,""))</f>
        <v>#VALUE!</v>
      </c>
      <c r="J237" s="91" t="s">
        <v>364</v>
      </c>
      <c r="K237" s="90" t="e">
        <f ca="1">IF(WEEKDAY(DATEVALUE(Month1&amp;" 1, "&amp;Year1))=COLUMN(#REF!),1,IF(LEN(I237)&gt;0,I237+1,""))</f>
        <v>#VALUE!</v>
      </c>
      <c r="L237" s="93" t="s">
        <v>368</v>
      </c>
      <c r="M237" s="94" t="e">
        <f ca="1">IF(WEEKDAY(DATEVALUE(Month1&amp;" 1, "&amp;Year1))=COLUMN(#REF!),1,IF(LEN(K237)&gt;0,K237+1,""))</f>
        <v>#VALUE!</v>
      </c>
      <c r="N237" s="95" t="s">
        <v>370</v>
      </c>
      <c r="O237" s="96" t="e">
        <f ca="1">IF(WEEKDAY(DATEVALUE(Month1&amp;" 1, "&amp;Year1))=COLUMN(#REF!),1,IF(LEN(M237)&gt;0,M237+1,""))</f>
        <v>#VALUE!</v>
      </c>
      <c r="P237" s="40" t="s">
        <v>373</v>
      </c>
    </row>
    <row r="238" spans="1:16" ht="15" customHeight="1" x14ac:dyDescent="0.2">
      <c r="A238" s="43" t="s">
        <v>123</v>
      </c>
      <c r="B238" s="11">
        <f ca="1">DAY(IF(DAY(MaySun1)=1,MaySun1-6,MaySun1+1))</f>
        <v>28</v>
      </c>
      <c r="C238" s="13"/>
      <c r="D238" s="18">
        <f ca="1">DAY(IF(DAY(MaySun1)=1,MaySun1-5,MaySun1+2))</f>
        <v>29</v>
      </c>
      <c r="E238" s="13"/>
      <c r="F238" s="18">
        <f ca="1">DAY(IF(DAY(MaySun1)=1,MaySun1-4,MaySun1+3))</f>
        <v>30</v>
      </c>
      <c r="G238" s="13"/>
      <c r="H238" s="18">
        <f ca="1">DAY(IF(DAY(MaySun1)=1,MaySun1-3,MaySun1+4))</f>
        <v>1</v>
      </c>
      <c r="I238" s="13"/>
      <c r="J238" s="18">
        <f ca="1">DAY(IF(DAY(MaySun1)=1,MaySun1-2,MaySun1+5))</f>
        <v>2</v>
      </c>
      <c r="K238" s="13"/>
      <c r="L238" s="18">
        <f ca="1">DAY(IF(DAY(MaySun1)=1,MaySun1-1,MaySun1+6))</f>
        <v>3</v>
      </c>
      <c r="M238" s="13"/>
      <c r="N238" s="22">
        <f ca="1">DAY(IF(DAY(MaySun1)=1,MaySun1,MaySun1+7))</f>
        <v>4</v>
      </c>
      <c r="O238" s="12"/>
      <c r="P238" s="51"/>
    </row>
    <row r="239" spans="1:16" ht="11.25" customHeight="1" x14ac:dyDescent="0.2">
      <c r="A239" s="43" t="s">
        <v>124</v>
      </c>
      <c r="B239" s="39" t="s">
        <v>345</v>
      </c>
      <c r="C239" s="34" t="s">
        <v>359</v>
      </c>
      <c r="D239" s="33" t="s">
        <v>345</v>
      </c>
      <c r="E239" s="34" t="s">
        <v>359</v>
      </c>
      <c r="F239" s="33" t="s">
        <v>345</v>
      </c>
      <c r="G239" s="34" t="s">
        <v>359</v>
      </c>
      <c r="H239" s="33" t="s">
        <v>345</v>
      </c>
      <c r="I239" s="34" t="s">
        <v>359</v>
      </c>
      <c r="J239" s="33" t="s">
        <v>345</v>
      </c>
      <c r="K239" s="34" t="s">
        <v>359</v>
      </c>
      <c r="L239" s="33" t="s">
        <v>345</v>
      </c>
      <c r="M239" s="34" t="s">
        <v>359</v>
      </c>
      <c r="N239" s="35" t="s">
        <v>345</v>
      </c>
      <c r="O239" s="36" t="s">
        <v>359</v>
      </c>
      <c r="P239" s="51"/>
    </row>
    <row r="240" spans="1:16" ht="11.25" customHeight="1" x14ac:dyDescent="0.2">
      <c r="A240" s="43" t="s">
        <v>125</v>
      </c>
      <c r="B240" s="14"/>
      <c r="C240" s="67"/>
      <c r="D240" s="17"/>
      <c r="E240" s="67"/>
      <c r="F240" s="14"/>
      <c r="G240" s="67"/>
      <c r="H240" s="14"/>
      <c r="I240" s="67"/>
      <c r="J240" s="14"/>
      <c r="K240" s="67"/>
      <c r="L240" s="14"/>
      <c r="M240" s="67"/>
      <c r="N240" s="14"/>
      <c r="O240" s="71"/>
      <c r="P240" s="51"/>
    </row>
    <row r="241" spans="1:16" ht="11.25" customHeight="1" x14ac:dyDescent="0.2">
      <c r="B241" s="15"/>
      <c r="C241" s="68"/>
      <c r="D241" s="15"/>
      <c r="E241" s="68"/>
      <c r="F241" s="15"/>
      <c r="G241" s="68"/>
      <c r="H241" s="15"/>
      <c r="I241" s="68"/>
      <c r="J241" s="15"/>
      <c r="K241" s="68"/>
      <c r="L241" s="15"/>
      <c r="M241" s="68"/>
      <c r="N241" s="15"/>
      <c r="O241" s="72"/>
      <c r="P241" s="51"/>
    </row>
    <row r="242" spans="1:16" ht="11.25" customHeight="1" x14ac:dyDescent="0.2">
      <c r="B242" s="15"/>
      <c r="C242" s="68"/>
      <c r="D242" s="15"/>
      <c r="E242" s="68"/>
      <c r="F242" s="15"/>
      <c r="G242" s="68"/>
      <c r="H242" s="15"/>
      <c r="I242" s="68"/>
      <c r="J242" s="15"/>
      <c r="K242" s="68"/>
      <c r="L242" s="15"/>
      <c r="M242" s="68"/>
      <c r="N242" s="15"/>
      <c r="O242" s="72"/>
      <c r="P242" s="51"/>
    </row>
    <row r="243" spans="1:16" ht="11.25" customHeight="1" x14ac:dyDescent="0.2">
      <c r="B243" s="15"/>
      <c r="C243" s="68"/>
      <c r="D243" s="15"/>
      <c r="E243" s="68"/>
      <c r="F243" s="15"/>
      <c r="G243" s="68"/>
      <c r="H243" s="15"/>
      <c r="I243" s="68"/>
      <c r="J243" s="15"/>
      <c r="K243" s="68"/>
      <c r="L243" s="15"/>
      <c r="M243" s="68"/>
      <c r="N243" s="15"/>
      <c r="O243" s="72"/>
      <c r="P243" s="51"/>
    </row>
    <row r="244" spans="1:16" ht="11.25" customHeight="1" x14ac:dyDescent="0.2">
      <c r="B244" s="16"/>
      <c r="C244" s="69"/>
      <c r="D244" s="16"/>
      <c r="E244" s="69"/>
      <c r="F244" s="16"/>
      <c r="G244" s="69"/>
      <c r="H244" s="16"/>
      <c r="I244" s="69"/>
      <c r="J244" s="16"/>
      <c r="K244" s="69"/>
      <c r="L244" s="16"/>
      <c r="M244" s="69"/>
      <c r="N244" s="16"/>
      <c r="O244" s="73"/>
      <c r="P244" s="51"/>
    </row>
    <row r="245" spans="1:16" ht="11.25" customHeight="1" x14ac:dyDescent="0.2">
      <c r="A245" s="43" t="s">
        <v>126</v>
      </c>
      <c r="B245" s="53" t="s">
        <v>346</v>
      </c>
      <c r="C245" s="70">
        <f>SUM(C240:C244)</f>
        <v>0</v>
      </c>
      <c r="D245" s="77"/>
      <c r="E245" s="70">
        <f>SUM(E240:E244)</f>
        <v>0</v>
      </c>
      <c r="F245" s="77"/>
      <c r="G245" s="70">
        <f>SUM(G240:G244)</f>
        <v>0</v>
      </c>
      <c r="H245" s="77"/>
      <c r="I245" s="70">
        <f>SUM(I240:I244)</f>
        <v>0</v>
      </c>
      <c r="J245" s="77"/>
      <c r="K245" s="70">
        <f>SUM(K240:K244)</f>
        <v>0</v>
      </c>
      <c r="L245" s="77"/>
      <c r="M245" s="70">
        <f>SUM(M240:M244)</f>
        <v>0</v>
      </c>
      <c r="N245" s="77"/>
      <c r="O245" s="74">
        <f>SUM(O240:O244)</f>
        <v>0</v>
      </c>
      <c r="P245" s="75">
        <f ca="1">SUMIF(B238:N238,"&lt;8",C245:O245)</f>
        <v>0</v>
      </c>
    </row>
    <row r="246" spans="1:16" s="45" customFormat="1" x14ac:dyDescent="0.2">
      <c r="A246" s="46"/>
      <c r="C246" s="6"/>
      <c r="D246" s="6"/>
      <c r="E246" s="6"/>
      <c r="F246" s="6"/>
      <c r="G246" s="6"/>
      <c r="H246" s="6"/>
      <c r="I246" s="6"/>
      <c r="J246" s="6"/>
      <c r="K246" s="6"/>
      <c r="L246" s="6"/>
      <c r="M246" s="6"/>
      <c r="N246" s="6"/>
      <c r="O246" s="6"/>
    </row>
    <row r="247" spans="1:16" ht="15" customHeight="1" x14ac:dyDescent="0.2">
      <c r="A247" s="43" t="s">
        <v>127</v>
      </c>
      <c r="B247" s="9">
        <f ca="1">N238+1</f>
        <v>5</v>
      </c>
      <c r="C247" s="10"/>
      <c r="D247" s="9">
        <f ca="1">B247+1</f>
        <v>6</v>
      </c>
      <c r="E247" s="10"/>
      <c r="F247" s="9">
        <f ca="1">D247+1</f>
        <v>7</v>
      </c>
      <c r="G247" s="10"/>
      <c r="H247" s="9">
        <f ca="1">F247+1</f>
        <v>8</v>
      </c>
      <c r="I247" s="10"/>
      <c r="J247" s="9">
        <f ca="1">H247+1</f>
        <v>9</v>
      </c>
      <c r="K247" s="10"/>
      <c r="L247" s="9">
        <f ca="1">J247+1</f>
        <v>10</v>
      </c>
      <c r="M247" s="10"/>
      <c r="N247" s="9">
        <f ca="1">L247+1</f>
        <v>11</v>
      </c>
      <c r="O247" s="10"/>
      <c r="P247" s="27"/>
    </row>
    <row r="248" spans="1:16" ht="11.25" customHeight="1" x14ac:dyDescent="0.2">
      <c r="A248" s="43" t="s">
        <v>128</v>
      </c>
      <c r="B248" s="35" t="s">
        <v>345</v>
      </c>
      <c r="C248" s="37" t="s">
        <v>359</v>
      </c>
      <c r="D248" s="35" t="s">
        <v>345</v>
      </c>
      <c r="E248" s="37" t="s">
        <v>359</v>
      </c>
      <c r="F248" s="35" t="s">
        <v>345</v>
      </c>
      <c r="G248" s="37" t="s">
        <v>359</v>
      </c>
      <c r="H248" s="35" t="s">
        <v>345</v>
      </c>
      <c r="I248" s="37" t="s">
        <v>359</v>
      </c>
      <c r="J248" s="35" t="s">
        <v>345</v>
      </c>
      <c r="K248" s="37" t="s">
        <v>359</v>
      </c>
      <c r="L248" s="35" t="s">
        <v>345</v>
      </c>
      <c r="M248" s="37" t="s">
        <v>359</v>
      </c>
      <c r="N248" s="35" t="s">
        <v>345</v>
      </c>
      <c r="O248" s="38" t="s">
        <v>359</v>
      </c>
      <c r="P248" s="51"/>
    </row>
    <row r="249" spans="1:16" ht="11.25" customHeight="1" x14ac:dyDescent="0.2">
      <c r="A249" s="43" t="s">
        <v>129</v>
      </c>
      <c r="B249" s="19"/>
      <c r="C249" s="67"/>
      <c r="D249" s="19"/>
      <c r="E249" s="67"/>
      <c r="F249" s="19"/>
      <c r="G249" s="67"/>
      <c r="H249" s="19"/>
      <c r="I249" s="67"/>
      <c r="J249" s="19"/>
      <c r="K249" s="67"/>
      <c r="L249" s="19"/>
      <c r="M249" s="67"/>
      <c r="N249" s="19"/>
      <c r="O249" s="71"/>
      <c r="P249" s="51"/>
    </row>
    <row r="250" spans="1:16" ht="11.25" customHeight="1" x14ac:dyDescent="0.2">
      <c r="B250" s="20"/>
      <c r="C250" s="68"/>
      <c r="D250" s="20"/>
      <c r="E250" s="68"/>
      <c r="F250" s="20"/>
      <c r="G250" s="68"/>
      <c r="H250" s="20"/>
      <c r="I250" s="68"/>
      <c r="J250" s="20"/>
      <c r="K250" s="68"/>
      <c r="L250" s="20"/>
      <c r="M250" s="68"/>
      <c r="N250" s="20"/>
      <c r="O250" s="72"/>
      <c r="P250" s="51"/>
    </row>
    <row r="251" spans="1:16" ht="11.25" customHeight="1" x14ac:dyDescent="0.2">
      <c r="B251" s="20"/>
      <c r="C251" s="68"/>
      <c r="D251" s="20"/>
      <c r="E251" s="68"/>
      <c r="F251" s="20"/>
      <c r="G251" s="68"/>
      <c r="H251" s="20"/>
      <c r="I251" s="68"/>
      <c r="J251" s="20"/>
      <c r="K251" s="68"/>
      <c r="L251" s="20"/>
      <c r="M251" s="68"/>
      <c r="N251" s="20"/>
      <c r="O251" s="72"/>
      <c r="P251" s="51"/>
    </row>
    <row r="252" spans="1:16" ht="11.25" customHeight="1" x14ac:dyDescent="0.2">
      <c r="B252" s="20"/>
      <c r="C252" s="68"/>
      <c r="D252" s="20"/>
      <c r="E252" s="68"/>
      <c r="F252" s="20"/>
      <c r="G252" s="68"/>
      <c r="H252" s="20"/>
      <c r="I252" s="68"/>
      <c r="J252" s="20"/>
      <c r="K252" s="68"/>
      <c r="L252" s="20"/>
      <c r="M252" s="68"/>
      <c r="N252" s="20"/>
      <c r="O252" s="72"/>
      <c r="P252" s="51"/>
    </row>
    <row r="253" spans="1:16" ht="11.25" customHeight="1" x14ac:dyDescent="0.2">
      <c r="B253" s="21"/>
      <c r="C253" s="69"/>
      <c r="D253" s="21"/>
      <c r="E253" s="69"/>
      <c r="F253" s="21"/>
      <c r="G253" s="69"/>
      <c r="H253" s="21"/>
      <c r="I253" s="69"/>
      <c r="J253" s="21"/>
      <c r="K253" s="69"/>
      <c r="L253" s="21"/>
      <c r="M253" s="69"/>
      <c r="N253" s="21"/>
      <c r="O253" s="73"/>
      <c r="P253" s="51"/>
    </row>
    <row r="254" spans="1:16" ht="11.25" customHeight="1" x14ac:dyDescent="0.2">
      <c r="A254" s="43" t="s">
        <v>130</v>
      </c>
      <c r="B254" s="53" t="s">
        <v>346</v>
      </c>
      <c r="C254" s="70">
        <f>SUM(C249:C253)</f>
        <v>0</v>
      </c>
      <c r="D254" s="77"/>
      <c r="E254" s="70">
        <f>SUM(E249:E253)</f>
        <v>0</v>
      </c>
      <c r="F254" s="77"/>
      <c r="G254" s="70">
        <f>SUM(G249:G253)</f>
        <v>0</v>
      </c>
      <c r="H254" s="77"/>
      <c r="I254" s="70">
        <f>SUM(I249:I253)</f>
        <v>0</v>
      </c>
      <c r="J254" s="77"/>
      <c r="K254" s="70">
        <f>SUM(K249:K253)</f>
        <v>0</v>
      </c>
      <c r="L254" s="77"/>
      <c r="M254" s="70">
        <f>SUM(M249:M253)</f>
        <v>0</v>
      </c>
      <c r="N254" s="77"/>
      <c r="O254" s="74">
        <f>SUM(O249:O253)</f>
        <v>0</v>
      </c>
      <c r="P254" s="75">
        <f>SUM(C254,E254,G254,I254,K254,M254,O254)</f>
        <v>0</v>
      </c>
    </row>
    <row r="255" spans="1:16" s="45" customFormat="1" x14ac:dyDescent="0.2">
      <c r="A255" s="46"/>
      <c r="C255" s="6"/>
      <c r="D255" s="6"/>
      <c r="E255" s="6"/>
      <c r="F255" s="6"/>
      <c r="G255" s="6"/>
      <c r="H255" s="6"/>
      <c r="I255" s="6"/>
      <c r="J255" s="6"/>
      <c r="K255" s="6"/>
      <c r="L255" s="6"/>
      <c r="M255" s="6"/>
      <c r="N255" s="6"/>
      <c r="O255" s="6"/>
    </row>
    <row r="256" spans="1:16" ht="15" customHeight="1" x14ac:dyDescent="0.2">
      <c r="A256" s="43" t="s">
        <v>131</v>
      </c>
      <c r="B256" s="9">
        <f ca="1">N247+1</f>
        <v>12</v>
      </c>
      <c r="C256" s="10"/>
      <c r="D256" s="9">
        <f ca="1">B256+1</f>
        <v>13</v>
      </c>
      <c r="E256" s="10"/>
      <c r="F256" s="9">
        <f ca="1">D256+1</f>
        <v>14</v>
      </c>
      <c r="G256" s="10"/>
      <c r="H256" s="9">
        <f ca="1">F256+1</f>
        <v>15</v>
      </c>
      <c r="I256" s="10"/>
      <c r="J256" s="9">
        <f ca="1">H256+1</f>
        <v>16</v>
      </c>
      <c r="K256" s="10"/>
      <c r="L256" s="9">
        <f ca="1">J256+1</f>
        <v>17</v>
      </c>
      <c r="M256" s="10"/>
      <c r="N256" s="9">
        <f ca="1">L256+1</f>
        <v>18</v>
      </c>
      <c r="O256" s="10"/>
      <c r="P256" s="27"/>
    </row>
    <row r="257" spans="1:16" ht="11.25" customHeight="1" x14ac:dyDescent="0.2">
      <c r="A257" s="43" t="s">
        <v>132</v>
      </c>
      <c r="B257" s="35" t="s">
        <v>345</v>
      </c>
      <c r="C257" s="37" t="s">
        <v>359</v>
      </c>
      <c r="D257" s="35" t="s">
        <v>345</v>
      </c>
      <c r="E257" s="37" t="s">
        <v>359</v>
      </c>
      <c r="F257" s="35" t="s">
        <v>345</v>
      </c>
      <c r="G257" s="37" t="s">
        <v>359</v>
      </c>
      <c r="H257" s="35" t="s">
        <v>345</v>
      </c>
      <c r="I257" s="37" t="s">
        <v>359</v>
      </c>
      <c r="J257" s="35" t="s">
        <v>345</v>
      </c>
      <c r="K257" s="37" t="s">
        <v>359</v>
      </c>
      <c r="L257" s="35" t="s">
        <v>345</v>
      </c>
      <c r="M257" s="37" t="s">
        <v>359</v>
      </c>
      <c r="N257" s="35" t="s">
        <v>345</v>
      </c>
      <c r="O257" s="38" t="s">
        <v>359</v>
      </c>
      <c r="P257" s="51"/>
    </row>
    <row r="258" spans="1:16" ht="11.25" customHeight="1" x14ac:dyDescent="0.2">
      <c r="A258" s="43" t="s">
        <v>133</v>
      </c>
      <c r="B258" s="19"/>
      <c r="C258" s="67"/>
      <c r="D258" s="19"/>
      <c r="E258" s="67"/>
      <c r="F258" s="19"/>
      <c r="G258" s="67"/>
      <c r="H258" s="19"/>
      <c r="I258" s="67"/>
      <c r="J258" s="19"/>
      <c r="K258" s="67"/>
      <c r="L258" s="19"/>
      <c r="M258" s="67"/>
      <c r="N258" s="19"/>
      <c r="O258" s="71"/>
      <c r="P258" s="51"/>
    </row>
    <row r="259" spans="1:16" ht="11.25" customHeight="1" x14ac:dyDescent="0.2">
      <c r="B259" s="20"/>
      <c r="C259" s="68"/>
      <c r="D259" s="20"/>
      <c r="E259" s="68"/>
      <c r="F259" s="20"/>
      <c r="G259" s="68"/>
      <c r="H259" s="20"/>
      <c r="I259" s="68"/>
      <c r="J259" s="20"/>
      <c r="K259" s="68"/>
      <c r="L259" s="20"/>
      <c r="M259" s="68"/>
      <c r="N259" s="20"/>
      <c r="O259" s="72"/>
      <c r="P259" s="51"/>
    </row>
    <row r="260" spans="1:16" ht="11.25" customHeight="1" x14ac:dyDescent="0.2">
      <c r="B260" s="20"/>
      <c r="C260" s="68"/>
      <c r="D260" s="20"/>
      <c r="E260" s="68"/>
      <c r="F260" s="20"/>
      <c r="G260" s="68"/>
      <c r="H260" s="20"/>
      <c r="I260" s="68"/>
      <c r="J260" s="20"/>
      <c r="K260" s="68"/>
      <c r="L260" s="20"/>
      <c r="M260" s="68"/>
      <c r="N260" s="20"/>
      <c r="O260" s="72"/>
      <c r="P260" s="51"/>
    </row>
    <row r="261" spans="1:16" ht="11.25" customHeight="1" x14ac:dyDescent="0.2">
      <c r="B261" s="20"/>
      <c r="C261" s="68"/>
      <c r="D261" s="20"/>
      <c r="E261" s="68"/>
      <c r="F261" s="20"/>
      <c r="G261" s="68"/>
      <c r="H261" s="20"/>
      <c r="I261" s="68"/>
      <c r="J261" s="20"/>
      <c r="K261" s="68"/>
      <c r="L261" s="20"/>
      <c r="M261" s="68"/>
      <c r="N261" s="20"/>
      <c r="O261" s="72"/>
      <c r="P261" s="51"/>
    </row>
    <row r="262" spans="1:16" ht="11.25" customHeight="1" x14ac:dyDescent="0.2">
      <c r="B262" s="21"/>
      <c r="C262" s="69"/>
      <c r="D262" s="21"/>
      <c r="E262" s="69"/>
      <c r="F262" s="21"/>
      <c r="G262" s="69"/>
      <c r="H262" s="21"/>
      <c r="I262" s="69"/>
      <c r="J262" s="21"/>
      <c r="K262" s="69"/>
      <c r="L262" s="21"/>
      <c r="M262" s="69"/>
      <c r="N262" s="21"/>
      <c r="O262" s="73"/>
      <c r="P262" s="51"/>
    </row>
    <row r="263" spans="1:16" ht="11.25" customHeight="1" x14ac:dyDescent="0.2">
      <c r="A263" s="43" t="s">
        <v>134</v>
      </c>
      <c r="B263" s="54" t="s">
        <v>346</v>
      </c>
      <c r="C263" s="70">
        <f>SUM(C258:C262)</f>
        <v>0</v>
      </c>
      <c r="D263" s="77"/>
      <c r="E263" s="70">
        <f>SUM(E258:E262)</f>
        <v>0</v>
      </c>
      <c r="F263" s="77"/>
      <c r="G263" s="70">
        <f>SUM(G258:G262)</f>
        <v>0</v>
      </c>
      <c r="H263" s="77"/>
      <c r="I263" s="70">
        <f>SUM(I258:I262)</f>
        <v>0</v>
      </c>
      <c r="J263" s="77"/>
      <c r="K263" s="70">
        <f>SUM(K258:K262)</f>
        <v>0</v>
      </c>
      <c r="L263" s="77"/>
      <c r="M263" s="70">
        <f>SUM(M258:M262)</f>
        <v>0</v>
      </c>
      <c r="N263" s="77"/>
      <c r="O263" s="74">
        <f>SUM(O258:O262)</f>
        <v>0</v>
      </c>
      <c r="P263" s="75">
        <f>SUM(C263,E263,G263,I263,K263,M263,O263)</f>
        <v>0</v>
      </c>
    </row>
    <row r="264" spans="1:16" s="45" customFormat="1" x14ac:dyDescent="0.2">
      <c r="A264" s="46"/>
      <c r="C264" s="6"/>
      <c r="D264" s="6"/>
      <c r="E264" s="6"/>
      <c r="F264" s="6"/>
      <c r="G264" s="6"/>
      <c r="H264" s="6"/>
      <c r="I264" s="6"/>
      <c r="J264" s="6"/>
      <c r="K264" s="6"/>
      <c r="L264" s="6"/>
      <c r="M264" s="6"/>
      <c r="N264" s="6"/>
      <c r="O264" s="6"/>
    </row>
    <row r="265" spans="1:16" ht="15" customHeight="1" x14ac:dyDescent="0.2">
      <c r="A265" s="43" t="s">
        <v>135</v>
      </c>
      <c r="B265" s="9">
        <f ca="1">N256+1</f>
        <v>19</v>
      </c>
      <c r="C265" s="10"/>
      <c r="D265" s="9">
        <f ca="1">B265+1</f>
        <v>20</v>
      </c>
      <c r="E265" s="10"/>
      <c r="F265" s="9">
        <f ca="1">D265+1</f>
        <v>21</v>
      </c>
      <c r="G265" s="10"/>
      <c r="H265" s="9">
        <f ca="1">F265+1</f>
        <v>22</v>
      </c>
      <c r="I265" s="10"/>
      <c r="J265" s="9">
        <f ca="1">H265+1</f>
        <v>23</v>
      </c>
      <c r="K265" s="10"/>
      <c r="L265" s="9">
        <f ca="1">J265+1</f>
        <v>24</v>
      </c>
      <c r="M265" s="10"/>
      <c r="N265" s="9">
        <f ca="1">L265+1</f>
        <v>25</v>
      </c>
      <c r="O265" s="10"/>
      <c r="P265" s="27"/>
    </row>
    <row r="266" spans="1:16" ht="11.25" customHeight="1" x14ac:dyDescent="0.2">
      <c r="A266" s="43" t="s">
        <v>136</v>
      </c>
      <c r="B266" s="35" t="s">
        <v>345</v>
      </c>
      <c r="C266" s="37" t="s">
        <v>359</v>
      </c>
      <c r="D266" s="35" t="s">
        <v>345</v>
      </c>
      <c r="E266" s="37" t="s">
        <v>359</v>
      </c>
      <c r="F266" s="35" t="s">
        <v>345</v>
      </c>
      <c r="G266" s="37" t="s">
        <v>359</v>
      </c>
      <c r="H266" s="35" t="s">
        <v>345</v>
      </c>
      <c r="I266" s="37" t="s">
        <v>359</v>
      </c>
      <c r="J266" s="35" t="s">
        <v>345</v>
      </c>
      <c r="K266" s="37" t="s">
        <v>359</v>
      </c>
      <c r="L266" s="35" t="s">
        <v>345</v>
      </c>
      <c r="M266" s="37" t="s">
        <v>359</v>
      </c>
      <c r="N266" s="35" t="s">
        <v>345</v>
      </c>
      <c r="O266" s="38" t="s">
        <v>359</v>
      </c>
      <c r="P266" s="51"/>
    </row>
    <row r="267" spans="1:16" ht="11.25" customHeight="1" x14ac:dyDescent="0.2">
      <c r="A267" s="43" t="s">
        <v>137</v>
      </c>
      <c r="B267" s="19"/>
      <c r="C267" s="67"/>
      <c r="D267" s="19"/>
      <c r="E267" s="67"/>
      <c r="F267" s="19"/>
      <c r="G267" s="67"/>
      <c r="H267" s="19"/>
      <c r="I267" s="67"/>
      <c r="J267" s="19"/>
      <c r="K267" s="67"/>
      <c r="L267" s="19"/>
      <c r="M267" s="67"/>
      <c r="N267" s="19"/>
      <c r="O267" s="71"/>
      <c r="P267" s="51"/>
    </row>
    <row r="268" spans="1:16" ht="11.25" customHeight="1" x14ac:dyDescent="0.2">
      <c r="B268" s="20"/>
      <c r="C268" s="68"/>
      <c r="D268" s="20"/>
      <c r="E268" s="68"/>
      <c r="F268" s="20"/>
      <c r="G268" s="68"/>
      <c r="H268" s="20"/>
      <c r="I268" s="68"/>
      <c r="J268" s="20"/>
      <c r="K268" s="68"/>
      <c r="L268" s="20"/>
      <c r="M268" s="68"/>
      <c r="N268" s="20"/>
      <c r="O268" s="72"/>
      <c r="P268" s="51"/>
    </row>
    <row r="269" spans="1:16" ht="11.25" customHeight="1" x14ac:dyDescent="0.2">
      <c r="B269" s="20"/>
      <c r="C269" s="68"/>
      <c r="D269" s="20"/>
      <c r="E269" s="68"/>
      <c r="F269" s="20"/>
      <c r="G269" s="68"/>
      <c r="H269" s="20"/>
      <c r="I269" s="68"/>
      <c r="J269" s="20"/>
      <c r="K269" s="68"/>
      <c r="L269" s="20"/>
      <c r="M269" s="68"/>
      <c r="N269" s="20"/>
      <c r="O269" s="72"/>
      <c r="P269" s="51"/>
    </row>
    <row r="270" spans="1:16" ht="11.25" customHeight="1" x14ac:dyDescent="0.2">
      <c r="B270" s="20"/>
      <c r="C270" s="68"/>
      <c r="D270" s="20"/>
      <c r="E270" s="68"/>
      <c r="F270" s="20"/>
      <c r="G270" s="68"/>
      <c r="H270" s="20"/>
      <c r="I270" s="68"/>
      <c r="J270" s="20"/>
      <c r="K270" s="68"/>
      <c r="L270" s="20"/>
      <c r="M270" s="68"/>
      <c r="N270" s="20"/>
      <c r="O270" s="72"/>
      <c r="P270" s="51"/>
    </row>
    <row r="271" spans="1:16" ht="11.25" customHeight="1" x14ac:dyDescent="0.2">
      <c r="B271" s="21"/>
      <c r="C271" s="69"/>
      <c r="D271" s="21"/>
      <c r="E271" s="69"/>
      <c r="F271" s="21"/>
      <c r="G271" s="69"/>
      <c r="H271" s="21"/>
      <c r="I271" s="69"/>
      <c r="J271" s="21"/>
      <c r="K271" s="69"/>
      <c r="L271" s="21"/>
      <c r="M271" s="69"/>
      <c r="N271" s="21"/>
      <c r="O271" s="73"/>
      <c r="P271" s="51"/>
    </row>
    <row r="272" spans="1:16" ht="11.25" customHeight="1" x14ac:dyDescent="0.2">
      <c r="A272" s="43" t="s">
        <v>138</v>
      </c>
      <c r="B272" s="53" t="s">
        <v>346</v>
      </c>
      <c r="C272" s="70">
        <f>SUM(C267:C271)</f>
        <v>0</v>
      </c>
      <c r="D272" s="77"/>
      <c r="E272" s="70">
        <f>SUM(E267:E271)</f>
        <v>0</v>
      </c>
      <c r="F272" s="77"/>
      <c r="G272" s="70">
        <f>SUM(G267:G271)</f>
        <v>0</v>
      </c>
      <c r="H272" s="77"/>
      <c r="I272" s="70">
        <f>SUM(I267:I271)</f>
        <v>0</v>
      </c>
      <c r="J272" s="77"/>
      <c r="K272" s="70">
        <f>SUM(K267:K271)</f>
        <v>0</v>
      </c>
      <c r="L272" s="77"/>
      <c r="M272" s="70">
        <f>SUM(M267:M271)</f>
        <v>0</v>
      </c>
      <c r="N272" s="77"/>
      <c r="O272" s="74">
        <f>SUM(O267:O271)</f>
        <v>0</v>
      </c>
      <c r="P272" s="75">
        <f>SUM(C272,E272,G272,I272,K272,M272,O272)</f>
        <v>0</v>
      </c>
    </row>
    <row r="273" spans="1:16" s="45" customFormat="1" x14ac:dyDescent="0.2">
      <c r="A273" s="46"/>
      <c r="C273" s="6"/>
      <c r="D273" s="6"/>
      <c r="E273" s="6"/>
      <c r="F273" s="6"/>
      <c r="G273" s="6"/>
      <c r="H273" s="6"/>
      <c r="I273" s="6"/>
      <c r="J273" s="6"/>
      <c r="K273" s="6"/>
      <c r="L273" s="6"/>
      <c r="M273" s="6"/>
      <c r="N273" s="6"/>
      <c r="O273" s="6"/>
    </row>
    <row r="274" spans="1:16" ht="15" customHeight="1" x14ac:dyDescent="0.2">
      <c r="A274" s="43" t="s">
        <v>139</v>
      </c>
      <c r="B274" s="9">
        <f ca="1">DAY(IF(DAY(MaySun1)=1,MaySun1+22,MaySun1+29))</f>
        <v>26</v>
      </c>
      <c r="C274" s="10"/>
      <c r="D274" s="9">
        <f ca="1">DAY(IF(DAY(MaySun1)=1,MaySun1+23,MaySun1+30))</f>
        <v>27</v>
      </c>
      <c r="E274" s="10"/>
      <c r="F274" s="9">
        <f ca="1">DAY(IF(DAY(MaySun1)=1,MaySun1+24,MaySun1+31))</f>
        <v>28</v>
      </c>
      <c r="G274" s="10"/>
      <c r="H274" s="9">
        <f ca="1">DAY(IF(DAY(MaySun1)=1,MaySun1+25,MaySun1+32))</f>
        <v>29</v>
      </c>
      <c r="I274" s="10"/>
      <c r="J274" s="9">
        <f ca="1">DAY(IF(DAY(MaySun1)=1,MaySun1+26,MaySun1+33))</f>
        <v>30</v>
      </c>
      <c r="K274" s="10"/>
      <c r="L274" s="9">
        <f ca="1">DAY(IF(DAY(MaySun1)=1,MaySun1+27,MaySun1+34))</f>
        <v>31</v>
      </c>
      <c r="M274" s="10"/>
      <c r="N274" s="9">
        <f ca="1">DAY(IF(DAY(MaySun1)=1,MaySun1+28,MaySun1+35))</f>
        <v>1</v>
      </c>
      <c r="O274" s="10"/>
      <c r="P274" s="27"/>
    </row>
    <row r="275" spans="1:16" ht="11.25" customHeight="1" x14ac:dyDescent="0.2">
      <c r="A275" s="43" t="s">
        <v>140</v>
      </c>
      <c r="B275" s="35" t="s">
        <v>345</v>
      </c>
      <c r="C275" s="37" t="s">
        <v>359</v>
      </c>
      <c r="D275" s="35" t="s">
        <v>345</v>
      </c>
      <c r="E275" s="37" t="s">
        <v>359</v>
      </c>
      <c r="F275" s="35" t="s">
        <v>345</v>
      </c>
      <c r="G275" s="37" t="s">
        <v>359</v>
      </c>
      <c r="H275" s="35" t="s">
        <v>345</v>
      </c>
      <c r="I275" s="37" t="s">
        <v>359</v>
      </c>
      <c r="J275" s="35" t="s">
        <v>345</v>
      </c>
      <c r="K275" s="37" t="s">
        <v>359</v>
      </c>
      <c r="L275" s="35" t="s">
        <v>345</v>
      </c>
      <c r="M275" s="37" t="s">
        <v>359</v>
      </c>
      <c r="N275" s="35" t="s">
        <v>345</v>
      </c>
      <c r="O275" s="38" t="s">
        <v>359</v>
      </c>
      <c r="P275" s="51"/>
    </row>
    <row r="276" spans="1:16" ht="11.25" customHeight="1" x14ac:dyDescent="0.2">
      <c r="A276" s="43" t="s">
        <v>141</v>
      </c>
      <c r="B276" s="14"/>
      <c r="C276" s="67"/>
      <c r="D276" s="17"/>
      <c r="E276" s="67"/>
      <c r="F276" s="14"/>
      <c r="G276" s="67"/>
      <c r="H276" s="14"/>
      <c r="I276" s="67"/>
      <c r="J276" s="14"/>
      <c r="K276" s="67"/>
      <c r="L276" s="14"/>
      <c r="M276" s="67"/>
      <c r="N276" s="23"/>
      <c r="O276" s="78"/>
      <c r="P276" s="51"/>
    </row>
    <row r="277" spans="1:16" ht="11.25" customHeight="1" x14ac:dyDescent="0.2">
      <c r="B277" s="15"/>
      <c r="C277" s="68"/>
      <c r="D277" s="15"/>
      <c r="E277" s="68"/>
      <c r="F277" s="15"/>
      <c r="G277" s="68"/>
      <c r="H277" s="15"/>
      <c r="I277" s="68"/>
      <c r="J277" s="15"/>
      <c r="K277" s="68"/>
      <c r="L277" s="15"/>
      <c r="M277" s="68"/>
      <c r="N277" s="24"/>
      <c r="O277" s="79"/>
      <c r="P277" s="51"/>
    </row>
    <row r="278" spans="1:16" ht="11.25" customHeight="1" x14ac:dyDescent="0.2">
      <c r="B278" s="15"/>
      <c r="C278" s="68"/>
      <c r="D278" s="15"/>
      <c r="E278" s="68"/>
      <c r="F278" s="15"/>
      <c r="G278" s="68"/>
      <c r="H278" s="15"/>
      <c r="I278" s="68"/>
      <c r="J278" s="15"/>
      <c r="K278" s="68"/>
      <c r="L278" s="15"/>
      <c r="M278" s="68"/>
      <c r="N278" s="24"/>
      <c r="O278" s="79"/>
      <c r="P278" s="51"/>
    </row>
    <row r="279" spans="1:16" ht="11.25" customHeight="1" x14ac:dyDescent="0.2">
      <c r="B279" s="15"/>
      <c r="C279" s="68"/>
      <c r="D279" s="15"/>
      <c r="E279" s="68"/>
      <c r="F279" s="15"/>
      <c r="G279" s="68"/>
      <c r="H279" s="15"/>
      <c r="I279" s="68"/>
      <c r="J279" s="15"/>
      <c r="K279" s="68"/>
      <c r="L279" s="15"/>
      <c r="M279" s="68"/>
      <c r="N279" s="24"/>
      <c r="O279" s="79"/>
      <c r="P279" s="51"/>
    </row>
    <row r="280" spans="1:16" ht="11.25" customHeight="1" x14ac:dyDescent="0.2">
      <c r="B280" s="16"/>
      <c r="C280" s="69"/>
      <c r="D280" s="16"/>
      <c r="E280" s="69"/>
      <c r="F280" s="16"/>
      <c r="G280" s="69"/>
      <c r="H280" s="16"/>
      <c r="I280" s="69"/>
      <c r="J280" s="16"/>
      <c r="K280" s="69"/>
      <c r="L280" s="16"/>
      <c r="M280" s="69"/>
      <c r="N280" s="25"/>
      <c r="O280" s="80"/>
      <c r="P280" s="51"/>
    </row>
    <row r="281" spans="1:16" ht="11.25" customHeight="1" x14ac:dyDescent="0.2">
      <c r="A281" s="43" t="s">
        <v>142</v>
      </c>
      <c r="B281" s="53" t="s">
        <v>346</v>
      </c>
      <c r="C281" s="70">
        <f>SUM(C276:C280)</f>
        <v>0</v>
      </c>
      <c r="D281" s="77"/>
      <c r="E281" s="70">
        <f>SUM(E276:E280)</f>
        <v>0</v>
      </c>
      <c r="F281" s="77"/>
      <c r="G281" s="70">
        <f>SUM(G276:G280)</f>
        <v>0</v>
      </c>
      <c r="H281" s="77"/>
      <c r="I281" s="70">
        <f>SUM(I276:I280)</f>
        <v>0</v>
      </c>
      <c r="J281" s="77"/>
      <c r="K281" s="70">
        <f>SUM(K276:K280)</f>
        <v>0</v>
      </c>
      <c r="L281" s="77"/>
      <c r="M281" s="70">
        <f>SUM(M276:M280)</f>
        <v>0</v>
      </c>
      <c r="N281" s="77"/>
      <c r="O281" s="74">
        <f>SUM(O276:O280)</f>
        <v>0</v>
      </c>
      <c r="P281" s="75">
        <f ca="1">SUMIF(B274:N274,"&gt;="&amp;15,C281:O281)</f>
        <v>0</v>
      </c>
    </row>
    <row r="282" spans="1:16" s="45" customFormat="1" x14ac:dyDescent="0.2">
      <c r="A282" s="46"/>
      <c r="C282" s="6"/>
      <c r="D282" s="6"/>
      <c r="E282" s="6"/>
      <c r="F282" s="6"/>
      <c r="G282" s="6"/>
      <c r="H282" s="6"/>
      <c r="I282" s="6"/>
      <c r="J282" s="6"/>
      <c r="K282" s="6"/>
      <c r="L282" s="6"/>
      <c r="M282" s="6"/>
      <c r="N282" s="6"/>
      <c r="O282" s="6"/>
    </row>
    <row r="283" spans="1:16" ht="15" customHeight="1" x14ac:dyDescent="0.2">
      <c r="A283" s="43" t="s">
        <v>143</v>
      </c>
      <c r="B283" s="9">
        <f ca="1">DAY(IF(DAY(MaySun1)=1,MaySun1+29,MaySun1+36))</f>
        <v>2</v>
      </c>
      <c r="C283" s="8"/>
      <c r="D283" s="9">
        <f ca="1">DAY(IF(DAY(MaySun1)=1,MaySun1+30,MaySun1+37))</f>
        <v>3</v>
      </c>
      <c r="E283" s="10"/>
      <c r="F283" s="7">
        <f ca="1">DAY(IF(DAY(MaySun1)=1,MaySun1+31,MaySun1+38))</f>
        <v>4</v>
      </c>
      <c r="G283" s="10"/>
      <c r="H283" s="9">
        <f ca="1">DAY(IF(DAY(MaySun1)=1,MaySun1+32,MaySun1+39))</f>
        <v>5</v>
      </c>
      <c r="I283" s="10"/>
      <c r="J283" s="9">
        <f ca="1">DAY(IF(DAY(MaySun1)=1,MaySun1+33,MaySun1+40))</f>
        <v>6</v>
      </c>
      <c r="K283" s="10"/>
      <c r="L283" s="9">
        <f ca="1">DAY(IF(DAY(MaySun1)=1,MaySun1+34,MaySun1+41))</f>
        <v>7</v>
      </c>
      <c r="M283" s="10"/>
      <c r="N283" s="9">
        <f ca="1">DAY(IF(DAY(MaySun1)=1,MaySun1+35,MaySun1+42))</f>
        <v>8</v>
      </c>
      <c r="O283" s="10"/>
      <c r="P283" s="27"/>
    </row>
    <row r="284" spans="1:16" ht="11.25" customHeight="1" x14ac:dyDescent="0.2">
      <c r="A284" s="43" t="s">
        <v>144</v>
      </c>
      <c r="B284" s="35" t="s">
        <v>345</v>
      </c>
      <c r="C284" s="37" t="s">
        <v>359</v>
      </c>
      <c r="D284" s="35" t="s">
        <v>345</v>
      </c>
      <c r="E284" s="37" t="s">
        <v>359</v>
      </c>
      <c r="F284" s="35" t="s">
        <v>345</v>
      </c>
      <c r="G284" s="37" t="s">
        <v>359</v>
      </c>
      <c r="H284" s="35" t="s">
        <v>345</v>
      </c>
      <c r="I284" s="37" t="s">
        <v>359</v>
      </c>
      <c r="J284" s="35" t="s">
        <v>345</v>
      </c>
      <c r="K284" s="37" t="s">
        <v>359</v>
      </c>
      <c r="L284" s="35" t="s">
        <v>345</v>
      </c>
      <c r="M284" s="37" t="s">
        <v>359</v>
      </c>
      <c r="N284" s="35" t="s">
        <v>345</v>
      </c>
      <c r="O284" s="38" t="s">
        <v>359</v>
      </c>
      <c r="P284" s="51"/>
    </row>
    <row r="285" spans="1:16" ht="11.25" customHeight="1" x14ac:dyDescent="0.2">
      <c r="A285" s="43" t="s">
        <v>145</v>
      </c>
      <c r="B285" s="14"/>
      <c r="C285" s="67"/>
      <c r="D285" s="17"/>
      <c r="E285" s="67"/>
      <c r="F285" s="14"/>
      <c r="G285" s="67"/>
      <c r="H285" s="14"/>
      <c r="I285" s="67"/>
      <c r="J285" s="14"/>
      <c r="K285" s="67"/>
      <c r="L285" s="14"/>
      <c r="M285" s="67"/>
      <c r="N285" s="14"/>
      <c r="O285" s="71"/>
      <c r="P285" s="51"/>
    </row>
    <row r="286" spans="1:16" ht="11.25" customHeight="1" x14ac:dyDescent="0.2">
      <c r="B286" s="15"/>
      <c r="C286" s="68"/>
      <c r="D286" s="15"/>
      <c r="E286" s="68"/>
      <c r="F286" s="15"/>
      <c r="G286" s="68"/>
      <c r="H286" s="15"/>
      <c r="I286" s="68"/>
      <c r="J286" s="15"/>
      <c r="K286" s="68"/>
      <c r="L286" s="15"/>
      <c r="M286" s="68"/>
      <c r="N286" s="15"/>
      <c r="O286" s="72"/>
      <c r="P286" s="51"/>
    </row>
    <row r="287" spans="1:16" ht="11.25" customHeight="1" x14ac:dyDescent="0.2">
      <c r="B287" s="15"/>
      <c r="C287" s="68"/>
      <c r="D287" s="15"/>
      <c r="E287" s="68"/>
      <c r="F287" s="15"/>
      <c r="G287" s="68"/>
      <c r="H287" s="15"/>
      <c r="I287" s="68"/>
      <c r="J287" s="15"/>
      <c r="K287" s="68"/>
      <c r="L287" s="15"/>
      <c r="M287" s="68"/>
      <c r="N287" s="15"/>
      <c r="O287" s="72"/>
      <c r="P287" s="51"/>
    </row>
    <row r="288" spans="1:16" ht="11.25" customHeight="1" x14ac:dyDescent="0.2">
      <c r="B288" s="15"/>
      <c r="C288" s="68"/>
      <c r="D288" s="15"/>
      <c r="E288" s="68"/>
      <c r="F288" s="15"/>
      <c r="G288" s="68"/>
      <c r="H288" s="15"/>
      <c r="I288" s="68"/>
      <c r="J288" s="15"/>
      <c r="K288" s="68"/>
      <c r="L288" s="15"/>
      <c r="M288" s="68"/>
      <c r="N288" s="15"/>
      <c r="O288" s="72"/>
      <c r="P288" s="51"/>
    </row>
    <row r="289" spans="1:16" ht="11.25" customHeight="1" x14ac:dyDescent="0.2">
      <c r="B289" s="16"/>
      <c r="C289" s="69"/>
      <c r="D289" s="16"/>
      <c r="E289" s="69"/>
      <c r="F289" s="16"/>
      <c r="G289" s="69"/>
      <c r="H289" s="16"/>
      <c r="I289" s="69"/>
      <c r="J289" s="16"/>
      <c r="K289" s="69"/>
      <c r="L289" s="16"/>
      <c r="M289" s="69"/>
      <c r="N289" s="16"/>
      <c r="O289" s="73"/>
      <c r="P289" s="51"/>
    </row>
    <row r="290" spans="1:16" ht="11.25" customHeight="1" x14ac:dyDescent="0.2">
      <c r="A290" s="43" t="s">
        <v>146</v>
      </c>
      <c r="B290" s="53" t="s">
        <v>346</v>
      </c>
      <c r="C290" s="70">
        <f>SUM(C285:C289)</f>
        <v>0</v>
      </c>
      <c r="D290" s="77"/>
      <c r="E290" s="70">
        <f>SUM(E285:E289)</f>
        <v>0</v>
      </c>
      <c r="F290" s="77"/>
      <c r="G290" s="70">
        <f>SUM(G285:G289)</f>
        <v>0</v>
      </c>
      <c r="H290" s="77"/>
      <c r="I290" s="70">
        <f>SUM(I285:I289)</f>
        <v>0</v>
      </c>
      <c r="J290" s="77"/>
      <c r="K290" s="70">
        <f>SUM(K285:K289)</f>
        <v>0</v>
      </c>
      <c r="L290" s="77"/>
      <c r="M290" s="70">
        <f>SUM(M285:M289)</f>
        <v>0</v>
      </c>
      <c r="N290" s="77"/>
      <c r="O290" s="74">
        <f>SUM(O285:O289)</f>
        <v>0</v>
      </c>
      <c r="P290" s="75">
        <f ca="1">SUMIF(B283:N283,"&gt;="&amp;15,C290:O290)</f>
        <v>0</v>
      </c>
    </row>
    <row r="291" spans="1:16" s="45" customFormat="1" ht="17.25" customHeight="1" x14ac:dyDescent="0.2">
      <c r="A291" s="46"/>
      <c r="B291" s="49"/>
      <c r="C291" s="50"/>
      <c r="D291" s="49"/>
      <c r="E291" s="50"/>
      <c r="F291" s="49"/>
      <c r="G291" s="50"/>
      <c r="H291" s="49"/>
      <c r="I291" s="50"/>
      <c r="J291" s="49"/>
      <c r="K291" s="50"/>
      <c r="L291" s="49"/>
      <c r="M291" s="50"/>
      <c r="N291" s="49"/>
      <c r="O291" s="50"/>
      <c r="P291" s="49"/>
    </row>
    <row r="292" spans="1:16" ht="12" customHeight="1" x14ac:dyDescent="0.2">
      <c r="A292" s="43" t="s">
        <v>147</v>
      </c>
      <c r="B292" s="97" t="s">
        <v>351</v>
      </c>
      <c r="C292" s="97"/>
      <c r="D292" s="97"/>
      <c r="E292" s="97"/>
      <c r="F292"/>
      <c r="G292" s="4"/>
      <c r="H292"/>
      <c r="I292" s="4"/>
      <c r="J292"/>
      <c r="K292" s="4"/>
      <c r="L292" s="81" t="s">
        <v>369</v>
      </c>
      <c r="M292" s="81"/>
      <c r="N292" s="81" t="s">
        <v>371</v>
      </c>
      <c r="O292" s="81"/>
      <c r="P292"/>
    </row>
    <row r="293" spans="1:16" ht="25.5" customHeight="1" x14ac:dyDescent="0.2">
      <c r="A293" s="43" t="s">
        <v>148</v>
      </c>
      <c r="B293" s="97"/>
      <c r="C293" s="97"/>
      <c r="D293" s="97"/>
      <c r="E293" s="97"/>
      <c r="F293" s="47" t="str">
        <f ca="1">IFERROR(WEEKDAY(DATEVALUE(B292&amp;" 1, "&amp;Year1)),"")</f>
        <v/>
      </c>
      <c r="G293" s="6"/>
      <c r="H293" s="45"/>
      <c r="I293" s="6"/>
      <c r="J293" s="45"/>
      <c r="K293" s="6"/>
      <c r="L293" s="82">
        <f ca="1">SUM(P303,P312,P321,P330,P339,P348)</f>
        <v>0</v>
      </c>
      <c r="M293" s="83"/>
      <c r="N293" s="82">
        <f ca="1">SUM(P:P)</f>
        <v>439.95</v>
      </c>
      <c r="O293" s="84"/>
      <c r="P293"/>
    </row>
    <row r="294" spans="1:16" s="45" customFormat="1" ht="9" customHeight="1" x14ac:dyDescent="0.2">
      <c r="A294" s="46" t="s">
        <v>149</v>
      </c>
      <c r="B294" s="98">
        <v>1</v>
      </c>
      <c r="C294" s="98"/>
      <c r="D294" s="98">
        <v>2</v>
      </c>
      <c r="E294" s="98"/>
      <c r="F294" s="98">
        <v>3</v>
      </c>
      <c r="G294" s="98"/>
      <c r="H294" s="98">
        <v>4</v>
      </c>
      <c r="I294" s="98"/>
      <c r="J294" s="98">
        <v>5</v>
      </c>
      <c r="K294" s="98"/>
      <c r="L294" s="98">
        <v>6</v>
      </c>
      <c r="M294" s="98"/>
      <c r="N294" s="98">
        <v>7</v>
      </c>
      <c r="O294" s="98"/>
      <c r="P294" s="48"/>
    </row>
    <row r="295" spans="1:16" ht="15" customHeight="1" x14ac:dyDescent="0.2">
      <c r="A295" s="43" t="s">
        <v>150</v>
      </c>
      <c r="B295" s="87" t="s">
        <v>372</v>
      </c>
      <c r="C295" s="88"/>
      <c r="D295" s="89" t="s">
        <v>344</v>
      </c>
      <c r="E295" s="90"/>
      <c r="F295" s="91" t="s">
        <v>360</v>
      </c>
      <c r="G295" s="90" t="e">
        <f ca="1">IF(WEEKDAY(DATEVALUE(Month1&amp;" 1, "&amp;Year1))=COLUMN(#REF!),1,IF(LEN(E295)&gt;0,E295+1,""))</f>
        <v>#VALUE!</v>
      </c>
      <c r="H295" s="92" t="s">
        <v>361</v>
      </c>
      <c r="I295" s="92" t="e">
        <f ca="1">IF(WEEKDAY(DATEVALUE(Month1&amp;" 1, "&amp;Year1))=COLUMN(#REF!),1,IF(LEN(G295)&gt;0,G295+1,""))</f>
        <v>#VALUE!</v>
      </c>
      <c r="J295" s="91" t="s">
        <v>364</v>
      </c>
      <c r="K295" s="90" t="e">
        <f ca="1">IF(WEEKDAY(DATEVALUE(Month1&amp;" 1, "&amp;Year1))=COLUMN(#REF!),1,IF(LEN(I295)&gt;0,I295+1,""))</f>
        <v>#VALUE!</v>
      </c>
      <c r="L295" s="93" t="s">
        <v>368</v>
      </c>
      <c r="M295" s="94" t="e">
        <f ca="1">IF(WEEKDAY(DATEVALUE(Month1&amp;" 1, "&amp;Year1))=COLUMN(#REF!),1,IF(LEN(K295)&gt;0,K295+1,""))</f>
        <v>#VALUE!</v>
      </c>
      <c r="N295" s="95" t="s">
        <v>370</v>
      </c>
      <c r="O295" s="96" t="e">
        <f ca="1">IF(WEEKDAY(DATEVALUE(Month1&amp;" 1, "&amp;Year1))=COLUMN(#REF!),1,IF(LEN(M295)&gt;0,M295+1,""))</f>
        <v>#VALUE!</v>
      </c>
      <c r="P295" s="40" t="s">
        <v>373</v>
      </c>
    </row>
    <row r="296" spans="1:16" ht="15" customHeight="1" x14ac:dyDescent="0.2">
      <c r="A296" s="43" t="s">
        <v>151</v>
      </c>
      <c r="B296" s="11">
        <f ca="1">DAY(IF(DAY(JunSun1)=1,JunSun1-6,JunSun1+1))</f>
        <v>26</v>
      </c>
      <c r="C296" s="13"/>
      <c r="D296" s="18">
        <f ca="1">DAY(IF(DAY(JunSun1)=1,JunSun1-5,JunSun1+2))</f>
        <v>27</v>
      </c>
      <c r="E296" s="13"/>
      <c r="F296" s="18">
        <f ca="1">DAY(IF(DAY(JunSun1)=1,JunSun1-4,JunSun1+3))</f>
        <v>28</v>
      </c>
      <c r="G296" s="13"/>
      <c r="H296" s="18">
        <f ca="1">DAY(IF(DAY(JunSun1)=1,JunSun1-3,JunSun1+4))</f>
        <v>29</v>
      </c>
      <c r="I296" s="13"/>
      <c r="J296" s="18">
        <f ca="1">DAY(IF(DAY(JunSun1)=1,JunSun1-2,JunSun1+5))</f>
        <v>30</v>
      </c>
      <c r="K296" s="13"/>
      <c r="L296" s="18">
        <f ca="1">DAY(IF(DAY(JunSun1)=1,JunSun1-1,JunSun1+6))</f>
        <v>31</v>
      </c>
      <c r="M296" s="13"/>
      <c r="N296" s="22">
        <f ca="1">DAY(IF(DAY(JunSun1)=1,JunSun1,JunSun1+7))</f>
        <v>1</v>
      </c>
      <c r="O296" s="12"/>
      <c r="P296" s="51"/>
    </row>
    <row r="297" spans="1:16" ht="11.25" customHeight="1" x14ac:dyDescent="0.2">
      <c r="A297" s="43" t="s">
        <v>152</v>
      </c>
      <c r="B297" s="39" t="s">
        <v>345</v>
      </c>
      <c r="C297" s="34" t="s">
        <v>359</v>
      </c>
      <c r="D297" s="33" t="s">
        <v>345</v>
      </c>
      <c r="E297" s="34" t="s">
        <v>359</v>
      </c>
      <c r="F297" s="33" t="s">
        <v>345</v>
      </c>
      <c r="G297" s="34" t="s">
        <v>359</v>
      </c>
      <c r="H297" s="33" t="s">
        <v>345</v>
      </c>
      <c r="I297" s="34" t="s">
        <v>359</v>
      </c>
      <c r="J297" s="33" t="s">
        <v>345</v>
      </c>
      <c r="K297" s="34" t="s">
        <v>359</v>
      </c>
      <c r="L297" s="33" t="s">
        <v>345</v>
      </c>
      <c r="M297" s="34" t="s">
        <v>359</v>
      </c>
      <c r="N297" s="35" t="s">
        <v>345</v>
      </c>
      <c r="O297" s="36" t="s">
        <v>359</v>
      </c>
      <c r="P297" s="51"/>
    </row>
    <row r="298" spans="1:16" ht="11.25" customHeight="1" x14ac:dyDescent="0.2">
      <c r="A298" s="43" t="s">
        <v>153</v>
      </c>
      <c r="B298" s="14"/>
      <c r="C298" s="67"/>
      <c r="D298" s="17"/>
      <c r="E298" s="67"/>
      <c r="F298" s="14"/>
      <c r="G298" s="67"/>
      <c r="H298" s="14"/>
      <c r="I298" s="67"/>
      <c r="J298" s="14"/>
      <c r="K298" s="67"/>
      <c r="L298" s="14"/>
      <c r="M298" s="67"/>
      <c r="N298" s="14"/>
      <c r="O298" s="71"/>
      <c r="P298" s="51"/>
    </row>
    <row r="299" spans="1:16" ht="11.25" customHeight="1" x14ac:dyDescent="0.2">
      <c r="B299" s="15"/>
      <c r="C299" s="68"/>
      <c r="D299" s="15"/>
      <c r="E299" s="68"/>
      <c r="F299" s="15"/>
      <c r="G299" s="68"/>
      <c r="H299" s="15"/>
      <c r="I299" s="68"/>
      <c r="J299" s="15"/>
      <c r="K299" s="68"/>
      <c r="L299" s="15"/>
      <c r="M299" s="68"/>
      <c r="N299" s="15"/>
      <c r="O299" s="72"/>
      <c r="P299" s="51"/>
    </row>
    <row r="300" spans="1:16" ht="11.25" customHeight="1" x14ac:dyDescent="0.2">
      <c r="B300" s="15"/>
      <c r="C300" s="68"/>
      <c r="D300" s="15"/>
      <c r="E300" s="68"/>
      <c r="F300" s="15"/>
      <c r="G300" s="68"/>
      <c r="H300" s="15"/>
      <c r="I300" s="68"/>
      <c r="J300" s="15"/>
      <c r="K300" s="68"/>
      <c r="L300" s="15"/>
      <c r="M300" s="68"/>
      <c r="N300" s="15"/>
      <c r="O300" s="72"/>
      <c r="P300" s="51"/>
    </row>
    <row r="301" spans="1:16" ht="11.25" customHeight="1" x14ac:dyDescent="0.2">
      <c r="B301" s="15"/>
      <c r="C301" s="68"/>
      <c r="D301" s="15"/>
      <c r="E301" s="68"/>
      <c r="F301" s="15"/>
      <c r="G301" s="68"/>
      <c r="H301" s="15"/>
      <c r="I301" s="68"/>
      <c r="J301" s="15"/>
      <c r="K301" s="68"/>
      <c r="L301" s="15"/>
      <c r="M301" s="68"/>
      <c r="N301" s="15"/>
      <c r="O301" s="72"/>
      <c r="P301" s="51"/>
    </row>
    <row r="302" spans="1:16" ht="11.25" customHeight="1" x14ac:dyDescent="0.2">
      <c r="B302" s="16"/>
      <c r="C302" s="69"/>
      <c r="D302" s="16"/>
      <c r="E302" s="69"/>
      <c r="F302" s="16"/>
      <c r="G302" s="69"/>
      <c r="H302" s="16"/>
      <c r="I302" s="69"/>
      <c r="J302" s="16"/>
      <c r="K302" s="69"/>
      <c r="L302" s="16"/>
      <c r="M302" s="69"/>
      <c r="N302" s="16"/>
      <c r="O302" s="73"/>
      <c r="P302" s="51"/>
    </row>
    <row r="303" spans="1:16" ht="11.25" customHeight="1" x14ac:dyDescent="0.2">
      <c r="A303" s="43" t="s">
        <v>154</v>
      </c>
      <c r="B303" s="53" t="s">
        <v>346</v>
      </c>
      <c r="C303" s="70">
        <f>SUM(C298:C302)</f>
        <v>0</v>
      </c>
      <c r="D303" s="77"/>
      <c r="E303" s="70">
        <f>SUM(E298:E302)</f>
        <v>0</v>
      </c>
      <c r="F303" s="77"/>
      <c r="G303" s="70">
        <f>SUM(G298:G302)</f>
        <v>0</v>
      </c>
      <c r="H303" s="77"/>
      <c r="I303" s="70">
        <f>SUM(I298:I302)</f>
        <v>0</v>
      </c>
      <c r="J303" s="77"/>
      <c r="K303" s="70">
        <f>SUM(K298:K302)</f>
        <v>0</v>
      </c>
      <c r="L303" s="77"/>
      <c r="M303" s="70">
        <f>SUM(M298:M302)</f>
        <v>0</v>
      </c>
      <c r="N303" s="77"/>
      <c r="O303" s="74">
        <f>SUM(O298:O302)</f>
        <v>0</v>
      </c>
      <c r="P303" s="75">
        <f ca="1">SUMIF(B296:N296,"&lt;8",C303:O303)</f>
        <v>0</v>
      </c>
    </row>
    <row r="304" spans="1:16" s="45" customFormat="1" x14ac:dyDescent="0.2">
      <c r="A304" s="46"/>
      <c r="C304" s="6"/>
      <c r="D304" s="6"/>
      <c r="E304" s="6"/>
      <c r="F304" s="6"/>
      <c r="G304" s="6"/>
      <c r="H304" s="6"/>
      <c r="I304" s="6"/>
      <c r="J304" s="6"/>
      <c r="K304" s="6"/>
      <c r="L304" s="6"/>
      <c r="M304" s="6"/>
      <c r="N304" s="6"/>
      <c r="O304" s="6"/>
    </row>
    <row r="305" spans="1:16" ht="15" customHeight="1" x14ac:dyDescent="0.2">
      <c r="A305" s="43" t="s">
        <v>155</v>
      </c>
      <c r="B305" s="9">
        <f ca="1">N296+1</f>
        <v>2</v>
      </c>
      <c r="C305" s="10"/>
      <c r="D305" s="9">
        <f ca="1">B305+1</f>
        <v>3</v>
      </c>
      <c r="E305" s="10"/>
      <c r="F305" s="9">
        <f ca="1">D305+1</f>
        <v>4</v>
      </c>
      <c r="G305" s="10"/>
      <c r="H305" s="9">
        <f ca="1">F305+1</f>
        <v>5</v>
      </c>
      <c r="I305" s="10"/>
      <c r="J305" s="9">
        <f ca="1">H305+1</f>
        <v>6</v>
      </c>
      <c r="K305" s="10"/>
      <c r="L305" s="9">
        <f ca="1">J305+1</f>
        <v>7</v>
      </c>
      <c r="M305" s="10"/>
      <c r="N305" s="9">
        <f ca="1">L305+1</f>
        <v>8</v>
      </c>
      <c r="O305" s="10"/>
      <c r="P305" s="27"/>
    </row>
    <row r="306" spans="1:16" ht="11.25" customHeight="1" x14ac:dyDescent="0.2">
      <c r="A306" s="43" t="s">
        <v>156</v>
      </c>
      <c r="B306" s="35" t="s">
        <v>345</v>
      </c>
      <c r="C306" s="37" t="s">
        <v>359</v>
      </c>
      <c r="D306" s="35" t="s">
        <v>345</v>
      </c>
      <c r="E306" s="37" t="s">
        <v>359</v>
      </c>
      <c r="F306" s="35" t="s">
        <v>345</v>
      </c>
      <c r="G306" s="37" t="s">
        <v>359</v>
      </c>
      <c r="H306" s="35" t="s">
        <v>345</v>
      </c>
      <c r="I306" s="37" t="s">
        <v>359</v>
      </c>
      <c r="J306" s="35" t="s">
        <v>345</v>
      </c>
      <c r="K306" s="37" t="s">
        <v>359</v>
      </c>
      <c r="L306" s="35" t="s">
        <v>345</v>
      </c>
      <c r="M306" s="37" t="s">
        <v>359</v>
      </c>
      <c r="N306" s="35" t="s">
        <v>345</v>
      </c>
      <c r="O306" s="38" t="s">
        <v>359</v>
      </c>
      <c r="P306" s="51"/>
    </row>
    <row r="307" spans="1:16" ht="11.25" customHeight="1" x14ac:dyDescent="0.2">
      <c r="A307" s="43" t="s">
        <v>157</v>
      </c>
      <c r="B307" s="19"/>
      <c r="C307" s="67"/>
      <c r="D307" s="19"/>
      <c r="E307" s="67"/>
      <c r="F307" s="19"/>
      <c r="G307" s="67"/>
      <c r="H307" s="19"/>
      <c r="I307" s="67"/>
      <c r="J307" s="19"/>
      <c r="K307" s="67"/>
      <c r="L307" s="19"/>
      <c r="M307" s="67"/>
      <c r="N307" s="19"/>
      <c r="O307" s="71"/>
      <c r="P307" s="51"/>
    </row>
    <row r="308" spans="1:16" ht="11.25" customHeight="1" x14ac:dyDescent="0.2">
      <c r="B308" s="20"/>
      <c r="C308" s="68"/>
      <c r="D308" s="20"/>
      <c r="E308" s="68"/>
      <c r="F308" s="20"/>
      <c r="G308" s="68"/>
      <c r="H308" s="20"/>
      <c r="I308" s="68"/>
      <c r="J308" s="20"/>
      <c r="K308" s="68"/>
      <c r="L308" s="20"/>
      <c r="M308" s="68"/>
      <c r="N308" s="20"/>
      <c r="O308" s="72"/>
      <c r="P308" s="51"/>
    </row>
    <row r="309" spans="1:16" ht="11.25" customHeight="1" x14ac:dyDescent="0.2">
      <c r="B309" s="20"/>
      <c r="C309" s="68"/>
      <c r="D309" s="20"/>
      <c r="E309" s="68"/>
      <c r="F309" s="20"/>
      <c r="G309" s="68"/>
      <c r="H309" s="20"/>
      <c r="I309" s="68"/>
      <c r="J309" s="20"/>
      <c r="K309" s="68"/>
      <c r="L309" s="20"/>
      <c r="M309" s="68"/>
      <c r="N309" s="20"/>
      <c r="O309" s="72"/>
      <c r="P309" s="51"/>
    </row>
    <row r="310" spans="1:16" ht="11.25" customHeight="1" x14ac:dyDescent="0.2">
      <c r="B310" s="20"/>
      <c r="C310" s="68"/>
      <c r="D310" s="20"/>
      <c r="E310" s="68"/>
      <c r="F310" s="20"/>
      <c r="G310" s="68"/>
      <c r="H310" s="20"/>
      <c r="I310" s="68"/>
      <c r="J310" s="20"/>
      <c r="K310" s="68"/>
      <c r="L310" s="20"/>
      <c r="M310" s="68"/>
      <c r="N310" s="20"/>
      <c r="O310" s="72"/>
      <c r="P310" s="51"/>
    </row>
    <row r="311" spans="1:16" ht="11.25" customHeight="1" x14ac:dyDescent="0.2">
      <c r="B311" s="21"/>
      <c r="C311" s="69"/>
      <c r="D311" s="21"/>
      <c r="E311" s="69"/>
      <c r="F311" s="21"/>
      <c r="G311" s="69"/>
      <c r="H311" s="21"/>
      <c r="I311" s="69"/>
      <c r="J311" s="21"/>
      <c r="K311" s="69"/>
      <c r="L311" s="21"/>
      <c r="M311" s="69"/>
      <c r="N311" s="21"/>
      <c r="O311" s="73"/>
      <c r="P311" s="51"/>
    </row>
    <row r="312" spans="1:16" ht="11.25" customHeight="1" x14ac:dyDescent="0.2">
      <c r="A312" s="43" t="s">
        <v>158</v>
      </c>
      <c r="B312" s="53" t="s">
        <v>346</v>
      </c>
      <c r="C312" s="70">
        <f>SUM(C307:C311)</f>
        <v>0</v>
      </c>
      <c r="D312" s="77"/>
      <c r="E312" s="70">
        <f>SUM(E307:E311)</f>
        <v>0</v>
      </c>
      <c r="F312" s="77"/>
      <c r="G312" s="70">
        <f>SUM(G307:G311)</f>
        <v>0</v>
      </c>
      <c r="H312" s="77"/>
      <c r="I312" s="70">
        <f>SUM(I307:I311)</f>
        <v>0</v>
      </c>
      <c r="J312" s="77"/>
      <c r="K312" s="70">
        <f>SUM(K307:K311)</f>
        <v>0</v>
      </c>
      <c r="L312" s="77"/>
      <c r="M312" s="70">
        <f>SUM(M307:M311)</f>
        <v>0</v>
      </c>
      <c r="N312" s="77"/>
      <c r="O312" s="74">
        <f>SUM(O307:O311)</f>
        <v>0</v>
      </c>
      <c r="P312" s="75">
        <f>SUM(C312,E312,G312,I312,K312,M312,O312)</f>
        <v>0</v>
      </c>
    </row>
    <row r="313" spans="1:16" s="45" customFormat="1" x14ac:dyDescent="0.2">
      <c r="A313" s="46"/>
      <c r="C313" s="6"/>
      <c r="D313" s="6"/>
      <c r="E313" s="6"/>
      <c r="F313" s="6"/>
      <c r="G313" s="6"/>
      <c r="H313" s="6"/>
      <c r="I313" s="6"/>
      <c r="J313" s="6"/>
      <c r="K313" s="6"/>
      <c r="L313" s="6"/>
      <c r="M313" s="6"/>
      <c r="N313" s="6"/>
      <c r="O313" s="6"/>
    </row>
    <row r="314" spans="1:16" ht="15" customHeight="1" x14ac:dyDescent="0.2">
      <c r="A314" s="43" t="s">
        <v>159</v>
      </c>
      <c r="B314" s="9">
        <f ca="1">N305+1</f>
        <v>9</v>
      </c>
      <c r="C314" s="10"/>
      <c r="D314" s="9">
        <f ca="1">B314+1</f>
        <v>10</v>
      </c>
      <c r="E314" s="10"/>
      <c r="F314" s="9">
        <f ca="1">D314+1</f>
        <v>11</v>
      </c>
      <c r="G314" s="10"/>
      <c r="H314" s="9">
        <f ca="1">F314+1</f>
        <v>12</v>
      </c>
      <c r="I314" s="10"/>
      <c r="J314" s="9">
        <f ca="1">H314+1</f>
        <v>13</v>
      </c>
      <c r="K314" s="10"/>
      <c r="L314" s="9">
        <f ca="1">J314+1</f>
        <v>14</v>
      </c>
      <c r="M314" s="10"/>
      <c r="N314" s="9">
        <f ca="1">L314+1</f>
        <v>15</v>
      </c>
      <c r="O314" s="10"/>
      <c r="P314" s="27"/>
    </row>
    <row r="315" spans="1:16" ht="11.25" customHeight="1" x14ac:dyDescent="0.2">
      <c r="A315" s="43" t="s">
        <v>160</v>
      </c>
      <c r="B315" s="35" t="s">
        <v>345</v>
      </c>
      <c r="C315" s="37" t="s">
        <v>359</v>
      </c>
      <c r="D315" s="35" t="s">
        <v>345</v>
      </c>
      <c r="E315" s="37" t="s">
        <v>359</v>
      </c>
      <c r="F315" s="35" t="s">
        <v>345</v>
      </c>
      <c r="G315" s="37" t="s">
        <v>359</v>
      </c>
      <c r="H315" s="35" t="s">
        <v>345</v>
      </c>
      <c r="I315" s="37" t="s">
        <v>359</v>
      </c>
      <c r="J315" s="35" t="s">
        <v>345</v>
      </c>
      <c r="K315" s="37" t="s">
        <v>359</v>
      </c>
      <c r="L315" s="35" t="s">
        <v>345</v>
      </c>
      <c r="M315" s="37" t="s">
        <v>359</v>
      </c>
      <c r="N315" s="35" t="s">
        <v>345</v>
      </c>
      <c r="O315" s="38" t="s">
        <v>359</v>
      </c>
      <c r="P315" s="51"/>
    </row>
    <row r="316" spans="1:16" ht="11.25" customHeight="1" x14ac:dyDescent="0.2">
      <c r="A316" s="43" t="s">
        <v>161</v>
      </c>
      <c r="B316" s="19"/>
      <c r="C316" s="67"/>
      <c r="D316" s="19"/>
      <c r="E316" s="67"/>
      <c r="F316" s="19"/>
      <c r="G316" s="67"/>
      <c r="H316" s="19"/>
      <c r="I316" s="67"/>
      <c r="J316" s="19"/>
      <c r="K316" s="67"/>
      <c r="L316" s="19"/>
      <c r="M316" s="67"/>
      <c r="N316" s="19"/>
      <c r="O316" s="71"/>
      <c r="P316" s="51"/>
    </row>
    <row r="317" spans="1:16" ht="11.25" customHeight="1" x14ac:dyDescent="0.2">
      <c r="B317" s="20"/>
      <c r="C317" s="68"/>
      <c r="D317" s="20"/>
      <c r="E317" s="68"/>
      <c r="F317" s="20"/>
      <c r="G317" s="68"/>
      <c r="H317" s="20"/>
      <c r="I317" s="68"/>
      <c r="J317" s="20"/>
      <c r="K317" s="68"/>
      <c r="L317" s="20"/>
      <c r="M317" s="68"/>
      <c r="N317" s="20"/>
      <c r="O317" s="72"/>
      <c r="P317" s="51"/>
    </row>
    <row r="318" spans="1:16" ht="11.25" customHeight="1" x14ac:dyDescent="0.2">
      <c r="B318" s="20"/>
      <c r="C318" s="68"/>
      <c r="D318" s="20"/>
      <c r="E318" s="68"/>
      <c r="F318" s="20"/>
      <c r="G318" s="68"/>
      <c r="H318" s="20"/>
      <c r="I318" s="68"/>
      <c r="J318" s="20"/>
      <c r="K318" s="68"/>
      <c r="L318" s="20"/>
      <c r="M318" s="68"/>
      <c r="N318" s="20"/>
      <c r="O318" s="72"/>
      <c r="P318" s="51"/>
    </row>
    <row r="319" spans="1:16" ht="11.25" customHeight="1" x14ac:dyDescent="0.2">
      <c r="B319" s="20"/>
      <c r="C319" s="68"/>
      <c r="D319" s="20"/>
      <c r="E319" s="68"/>
      <c r="F319" s="20"/>
      <c r="G319" s="68"/>
      <c r="H319" s="20"/>
      <c r="I319" s="68"/>
      <c r="J319" s="20"/>
      <c r="K319" s="68"/>
      <c r="L319" s="20"/>
      <c r="M319" s="68"/>
      <c r="N319" s="20"/>
      <c r="O319" s="72"/>
      <c r="P319" s="51"/>
    </row>
    <row r="320" spans="1:16" ht="11.25" customHeight="1" x14ac:dyDescent="0.2">
      <c r="B320" s="21"/>
      <c r="C320" s="69"/>
      <c r="D320" s="21"/>
      <c r="E320" s="69"/>
      <c r="F320" s="21"/>
      <c r="G320" s="69"/>
      <c r="H320" s="21"/>
      <c r="I320" s="69"/>
      <c r="J320" s="21"/>
      <c r="K320" s="69"/>
      <c r="L320" s="21"/>
      <c r="M320" s="69"/>
      <c r="N320" s="21"/>
      <c r="O320" s="73"/>
      <c r="P320" s="51"/>
    </row>
    <row r="321" spans="1:16" ht="11.25" customHeight="1" x14ac:dyDescent="0.2">
      <c r="A321" s="43" t="s">
        <v>162</v>
      </c>
      <c r="B321" s="54" t="s">
        <v>346</v>
      </c>
      <c r="C321" s="70">
        <f>SUM(C316:C320)</f>
        <v>0</v>
      </c>
      <c r="D321" s="77"/>
      <c r="E321" s="70">
        <f>SUM(E316:E320)</f>
        <v>0</v>
      </c>
      <c r="F321" s="77"/>
      <c r="G321" s="70">
        <f>SUM(G316:G320)</f>
        <v>0</v>
      </c>
      <c r="H321" s="77"/>
      <c r="I321" s="70">
        <f>SUM(I316:I320)</f>
        <v>0</v>
      </c>
      <c r="J321" s="77"/>
      <c r="K321" s="70">
        <f>SUM(K316:K320)</f>
        <v>0</v>
      </c>
      <c r="L321" s="77"/>
      <c r="M321" s="70">
        <f>SUM(M316:M320)</f>
        <v>0</v>
      </c>
      <c r="N321" s="77"/>
      <c r="O321" s="74">
        <f>SUM(O316:O320)</f>
        <v>0</v>
      </c>
      <c r="P321" s="75">
        <f>SUM(C321,E321,G321,I321,K321,M321,O321)</f>
        <v>0</v>
      </c>
    </row>
    <row r="322" spans="1:16" s="45" customFormat="1" x14ac:dyDescent="0.2">
      <c r="A322" s="46"/>
      <c r="C322" s="6"/>
      <c r="D322" s="6"/>
      <c r="E322" s="6"/>
      <c r="F322" s="6"/>
      <c r="G322" s="6"/>
      <c r="H322" s="6"/>
      <c r="I322" s="6"/>
      <c r="J322" s="6"/>
      <c r="K322" s="6"/>
      <c r="L322" s="6"/>
      <c r="M322" s="6"/>
      <c r="N322" s="6"/>
      <c r="O322" s="6"/>
    </row>
    <row r="323" spans="1:16" ht="15" customHeight="1" x14ac:dyDescent="0.2">
      <c r="A323" s="43" t="s">
        <v>163</v>
      </c>
      <c r="B323" s="9">
        <f ca="1">N314+1</f>
        <v>16</v>
      </c>
      <c r="C323" s="10"/>
      <c r="D323" s="9">
        <f ca="1">B323+1</f>
        <v>17</v>
      </c>
      <c r="E323" s="10"/>
      <c r="F323" s="9">
        <f ca="1">D323+1</f>
        <v>18</v>
      </c>
      <c r="G323" s="10"/>
      <c r="H323" s="9">
        <f ca="1">F323+1</f>
        <v>19</v>
      </c>
      <c r="I323" s="10"/>
      <c r="J323" s="9">
        <f ca="1">H323+1</f>
        <v>20</v>
      </c>
      <c r="K323" s="10"/>
      <c r="L323" s="9">
        <f ca="1">J323+1</f>
        <v>21</v>
      </c>
      <c r="M323" s="10"/>
      <c r="N323" s="9">
        <f ca="1">L323+1</f>
        <v>22</v>
      </c>
      <c r="O323" s="10"/>
      <c r="P323" s="27"/>
    </row>
    <row r="324" spans="1:16" ht="11.25" customHeight="1" x14ac:dyDescent="0.2">
      <c r="A324" s="43" t="s">
        <v>164</v>
      </c>
      <c r="B324" s="35" t="s">
        <v>345</v>
      </c>
      <c r="C324" s="37" t="s">
        <v>359</v>
      </c>
      <c r="D324" s="35" t="s">
        <v>345</v>
      </c>
      <c r="E324" s="37" t="s">
        <v>359</v>
      </c>
      <c r="F324" s="35" t="s">
        <v>345</v>
      </c>
      <c r="G324" s="37" t="s">
        <v>359</v>
      </c>
      <c r="H324" s="35" t="s">
        <v>345</v>
      </c>
      <c r="I324" s="37" t="s">
        <v>359</v>
      </c>
      <c r="J324" s="35" t="s">
        <v>345</v>
      </c>
      <c r="K324" s="37" t="s">
        <v>359</v>
      </c>
      <c r="L324" s="35" t="s">
        <v>345</v>
      </c>
      <c r="M324" s="37" t="s">
        <v>359</v>
      </c>
      <c r="N324" s="35" t="s">
        <v>345</v>
      </c>
      <c r="O324" s="38" t="s">
        <v>359</v>
      </c>
      <c r="P324" s="51"/>
    </row>
    <row r="325" spans="1:16" ht="11.25" customHeight="1" x14ac:dyDescent="0.2">
      <c r="A325" s="43" t="s">
        <v>165</v>
      </c>
      <c r="B325" s="19"/>
      <c r="C325" s="67"/>
      <c r="D325" s="19"/>
      <c r="E325" s="67"/>
      <c r="F325" s="19"/>
      <c r="G325" s="67"/>
      <c r="H325" s="19"/>
      <c r="I325" s="67"/>
      <c r="J325" s="19"/>
      <c r="K325" s="67"/>
      <c r="L325" s="19"/>
      <c r="M325" s="67"/>
      <c r="N325" s="19"/>
      <c r="O325" s="71"/>
      <c r="P325" s="51"/>
    </row>
    <row r="326" spans="1:16" ht="11.25" customHeight="1" x14ac:dyDescent="0.2">
      <c r="B326" s="20"/>
      <c r="C326" s="68"/>
      <c r="D326" s="20"/>
      <c r="E326" s="68"/>
      <c r="F326" s="20"/>
      <c r="G326" s="68"/>
      <c r="H326" s="20"/>
      <c r="I326" s="68"/>
      <c r="J326" s="20"/>
      <c r="K326" s="68"/>
      <c r="L326" s="20"/>
      <c r="M326" s="68"/>
      <c r="N326" s="20"/>
      <c r="O326" s="72"/>
      <c r="P326" s="51"/>
    </row>
    <row r="327" spans="1:16" ht="11.25" customHeight="1" x14ac:dyDescent="0.2">
      <c r="B327" s="20"/>
      <c r="C327" s="68"/>
      <c r="D327" s="20"/>
      <c r="E327" s="68"/>
      <c r="F327" s="20"/>
      <c r="G327" s="68"/>
      <c r="H327" s="20"/>
      <c r="I327" s="68"/>
      <c r="J327" s="20"/>
      <c r="K327" s="68"/>
      <c r="L327" s="20"/>
      <c r="M327" s="68"/>
      <c r="N327" s="20"/>
      <c r="O327" s="72"/>
      <c r="P327" s="51"/>
    </row>
    <row r="328" spans="1:16" ht="11.25" customHeight="1" x14ac:dyDescent="0.2">
      <c r="B328" s="20"/>
      <c r="C328" s="68"/>
      <c r="D328" s="20"/>
      <c r="E328" s="68"/>
      <c r="F328" s="20"/>
      <c r="G328" s="68"/>
      <c r="H328" s="20"/>
      <c r="I328" s="68"/>
      <c r="J328" s="20"/>
      <c r="K328" s="68"/>
      <c r="L328" s="20"/>
      <c r="M328" s="68"/>
      <c r="N328" s="20"/>
      <c r="O328" s="72"/>
      <c r="P328" s="51"/>
    </row>
    <row r="329" spans="1:16" ht="11.25" customHeight="1" x14ac:dyDescent="0.2">
      <c r="B329" s="21"/>
      <c r="C329" s="69"/>
      <c r="D329" s="21"/>
      <c r="E329" s="69"/>
      <c r="F329" s="21"/>
      <c r="G329" s="69"/>
      <c r="H329" s="21"/>
      <c r="I329" s="69"/>
      <c r="J329" s="21"/>
      <c r="K329" s="69"/>
      <c r="L329" s="21"/>
      <c r="M329" s="69"/>
      <c r="N329" s="21"/>
      <c r="O329" s="73"/>
      <c r="P329" s="51"/>
    </row>
    <row r="330" spans="1:16" ht="11.25" customHeight="1" x14ac:dyDescent="0.2">
      <c r="A330" s="43" t="s">
        <v>166</v>
      </c>
      <c r="B330" s="53" t="s">
        <v>346</v>
      </c>
      <c r="C330" s="70">
        <f>SUM(C325:C329)</f>
        <v>0</v>
      </c>
      <c r="D330" s="77"/>
      <c r="E330" s="70">
        <f>SUM(E325:E329)</f>
        <v>0</v>
      </c>
      <c r="F330" s="77"/>
      <c r="G330" s="70">
        <f>SUM(G325:G329)</f>
        <v>0</v>
      </c>
      <c r="H330" s="77"/>
      <c r="I330" s="70">
        <f>SUM(I325:I329)</f>
        <v>0</v>
      </c>
      <c r="J330" s="77"/>
      <c r="K330" s="70">
        <f>SUM(K325:K329)</f>
        <v>0</v>
      </c>
      <c r="L330" s="77"/>
      <c r="M330" s="70">
        <f>SUM(M325:M329)</f>
        <v>0</v>
      </c>
      <c r="N330" s="77"/>
      <c r="O330" s="74">
        <f>SUM(O325:O329)</f>
        <v>0</v>
      </c>
      <c r="P330" s="75">
        <f>SUM(C330,E330,G330,I330,K330,M330,O330)</f>
        <v>0</v>
      </c>
    </row>
    <row r="331" spans="1:16" s="45" customFormat="1" x14ac:dyDescent="0.2">
      <c r="A331" s="46"/>
      <c r="C331" s="6"/>
      <c r="D331" s="6"/>
      <c r="E331" s="6"/>
      <c r="F331" s="6"/>
      <c r="G331" s="6"/>
      <c r="H331" s="6"/>
      <c r="I331" s="6"/>
      <c r="J331" s="6"/>
      <c r="K331" s="6"/>
      <c r="L331" s="6"/>
      <c r="M331" s="6"/>
      <c r="N331" s="6"/>
      <c r="O331" s="6"/>
    </row>
    <row r="332" spans="1:16" ht="15" customHeight="1" x14ac:dyDescent="0.2">
      <c r="A332" s="43" t="s">
        <v>167</v>
      </c>
      <c r="B332" s="9">
        <f ca="1">DAY(IF(DAY(JunSun1)=1,JunSun1+22,JunSun1+29))</f>
        <v>23</v>
      </c>
      <c r="C332" s="10"/>
      <c r="D332" s="9">
        <f ca="1">DAY(IF(DAY(JunSun1)=1,JunSun1+23,JunSun1+30))</f>
        <v>24</v>
      </c>
      <c r="E332" s="10"/>
      <c r="F332" s="9">
        <f ca="1">DAY(IF(DAY(JunSun1)=1,JunSun1+24,JunSun1+31))</f>
        <v>25</v>
      </c>
      <c r="G332" s="10"/>
      <c r="H332" s="9">
        <f ca="1">DAY(IF(DAY(JunSun1)=1,JunSun1+25,JunSun1+32))</f>
        <v>26</v>
      </c>
      <c r="I332" s="10"/>
      <c r="J332" s="9">
        <f ca="1">DAY(IF(DAY(JunSun1)=1,JunSun1+26,JunSun1+33))</f>
        <v>27</v>
      </c>
      <c r="K332" s="10"/>
      <c r="L332" s="9">
        <f ca="1">DAY(IF(DAY(JunSun1)=1,JunSun1+27,JunSun1+34))</f>
        <v>28</v>
      </c>
      <c r="M332" s="10"/>
      <c r="N332" s="9">
        <f ca="1">DAY(IF(DAY(JunSun1)=1,JunSun1+28,JunSun1+35))</f>
        <v>29</v>
      </c>
      <c r="O332" s="10"/>
      <c r="P332" s="27"/>
    </row>
    <row r="333" spans="1:16" ht="11.25" customHeight="1" x14ac:dyDescent="0.2">
      <c r="A333" s="43" t="s">
        <v>168</v>
      </c>
      <c r="B333" s="35" t="s">
        <v>345</v>
      </c>
      <c r="C333" s="37" t="s">
        <v>359</v>
      </c>
      <c r="D333" s="35" t="s">
        <v>345</v>
      </c>
      <c r="E333" s="37" t="s">
        <v>359</v>
      </c>
      <c r="F333" s="35" t="s">
        <v>345</v>
      </c>
      <c r="G333" s="37" t="s">
        <v>359</v>
      </c>
      <c r="H333" s="35" t="s">
        <v>345</v>
      </c>
      <c r="I333" s="37" t="s">
        <v>359</v>
      </c>
      <c r="J333" s="35" t="s">
        <v>345</v>
      </c>
      <c r="K333" s="37" t="s">
        <v>359</v>
      </c>
      <c r="L333" s="35" t="s">
        <v>345</v>
      </c>
      <c r="M333" s="37" t="s">
        <v>359</v>
      </c>
      <c r="N333" s="35" t="s">
        <v>345</v>
      </c>
      <c r="O333" s="38" t="s">
        <v>359</v>
      </c>
      <c r="P333" s="51"/>
    </row>
    <row r="334" spans="1:16" ht="11.25" customHeight="1" x14ac:dyDescent="0.2">
      <c r="A334" s="43" t="s">
        <v>169</v>
      </c>
      <c r="B334" s="14"/>
      <c r="C334" s="67"/>
      <c r="D334" s="17"/>
      <c r="E334" s="67"/>
      <c r="F334" s="14"/>
      <c r="G334" s="67"/>
      <c r="H334" s="14"/>
      <c r="I334" s="67"/>
      <c r="J334" s="14"/>
      <c r="K334" s="67"/>
      <c r="L334" s="14"/>
      <c r="M334" s="67"/>
      <c r="N334" s="23"/>
      <c r="O334" s="78"/>
      <c r="P334" s="51"/>
    </row>
    <row r="335" spans="1:16" ht="11.25" customHeight="1" x14ac:dyDescent="0.2">
      <c r="B335" s="15"/>
      <c r="C335" s="68"/>
      <c r="D335" s="15"/>
      <c r="E335" s="68"/>
      <c r="F335" s="15"/>
      <c r="G335" s="68"/>
      <c r="H335" s="15"/>
      <c r="I335" s="68"/>
      <c r="J335" s="15"/>
      <c r="K335" s="68"/>
      <c r="L335" s="15"/>
      <c r="M335" s="68"/>
      <c r="N335" s="24"/>
      <c r="O335" s="79"/>
      <c r="P335" s="51"/>
    </row>
    <row r="336" spans="1:16" ht="11.25" customHeight="1" x14ac:dyDescent="0.2">
      <c r="B336" s="15"/>
      <c r="C336" s="68"/>
      <c r="D336" s="15"/>
      <c r="E336" s="68"/>
      <c r="F336" s="15"/>
      <c r="G336" s="68"/>
      <c r="H336" s="15"/>
      <c r="I336" s="68"/>
      <c r="J336" s="15"/>
      <c r="K336" s="68"/>
      <c r="L336" s="15"/>
      <c r="M336" s="68"/>
      <c r="N336" s="24"/>
      <c r="O336" s="79"/>
      <c r="P336" s="51"/>
    </row>
    <row r="337" spans="1:16" ht="11.25" customHeight="1" x14ac:dyDescent="0.2">
      <c r="B337" s="15"/>
      <c r="C337" s="68"/>
      <c r="D337" s="15"/>
      <c r="E337" s="68"/>
      <c r="F337" s="15"/>
      <c r="G337" s="68"/>
      <c r="H337" s="15"/>
      <c r="I337" s="68"/>
      <c r="J337" s="15"/>
      <c r="K337" s="68"/>
      <c r="L337" s="15"/>
      <c r="M337" s="68"/>
      <c r="N337" s="24"/>
      <c r="O337" s="79"/>
      <c r="P337" s="51"/>
    </row>
    <row r="338" spans="1:16" ht="11.25" customHeight="1" x14ac:dyDescent="0.2">
      <c r="B338" s="16"/>
      <c r="C338" s="69"/>
      <c r="D338" s="16"/>
      <c r="E338" s="69"/>
      <c r="F338" s="16"/>
      <c r="G338" s="69"/>
      <c r="H338" s="16"/>
      <c r="I338" s="69"/>
      <c r="J338" s="16"/>
      <c r="K338" s="69"/>
      <c r="L338" s="16"/>
      <c r="M338" s="69"/>
      <c r="N338" s="25"/>
      <c r="O338" s="80"/>
      <c r="P338" s="51"/>
    </row>
    <row r="339" spans="1:16" ht="11.25" customHeight="1" x14ac:dyDescent="0.2">
      <c r="A339" s="43" t="s">
        <v>170</v>
      </c>
      <c r="B339" s="53" t="s">
        <v>346</v>
      </c>
      <c r="C339" s="70">
        <f>SUM(C334:C338)</f>
        <v>0</v>
      </c>
      <c r="D339" s="77"/>
      <c r="E339" s="70">
        <f>SUM(E334:E338)</f>
        <v>0</v>
      </c>
      <c r="F339" s="77"/>
      <c r="G339" s="70">
        <f>SUM(G334:G338)</f>
        <v>0</v>
      </c>
      <c r="H339" s="77"/>
      <c r="I339" s="70">
        <f>SUM(I334:I338)</f>
        <v>0</v>
      </c>
      <c r="J339" s="77"/>
      <c r="K339" s="70">
        <f>SUM(K334:K338)</f>
        <v>0</v>
      </c>
      <c r="L339" s="77"/>
      <c r="M339" s="70">
        <f>SUM(M334:M338)</f>
        <v>0</v>
      </c>
      <c r="N339" s="77"/>
      <c r="O339" s="74">
        <f>SUM(O334:O338)</f>
        <v>0</v>
      </c>
      <c r="P339" s="75">
        <f ca="1">SUMIF(B332:N332,"&gt;="&amp;15,C339:O339)</f>
        <v>0</v>
      </c>
    </row>
    <row r="340" spans="1:16" s="45" customFormat="1" x14ac:dyDescent="0.2">
      <c r="A340" s="46"/>
      <c r="C340" s="6"/>
      <c r="D340" s="6"/>
      <c r="E340" s="6"/>
      <c r="F340" s="6"/>
      <c r="G340" s="6"/>
      <c r="H340" s="6"/>
      <c r="I340" s="6"/>
      <c r="J340" s="6"/>
      <c r="K340" s="6"/>
      <c r="L340" s="6"/>
      <c r="M340" s="6"/>
      <c r="N340" s="6"/>
      <c r="O340" s="6"/>
    </row>
    <row r="341" spans="1:16" ht="15" customHeight="1" x14ac:dyDescent="0.2">
      <c r="A341" s="43" t="s">
        <v>171</v>
      </c>
      <c r="B341" s="9">
        <f ca="1">DAY(IF(DAY(JunSun1)=1,JunSun1+29,JunSun1+36))</f>
        <v>30</v>
      </c>
      <c r="C341" s="8"/>
      <c r="D341" s="9">
        <f ca="1">DAY(IF(DAY(JunSun1)=1,JunSun1+30,JunSun1+37))</f>
        <v>1</v>
      </c>
      <c r="E341" s="10"/>
      <c r="F341" s="7">
        <f ca="1">DAY(IF(DAY(JunSun1)=1,JunSun1+31,JunSun1+38))</f>
        <v>2</v>
      </c>
      <c r="G341" s="10"/>
      <c r="H341" s="9">
        <f ca="1">DAY(IF(DAY(JunSun1)=1,JunSun1+32,JunSun1+39))</f>
        <v>3</v>
      </c>
      <c r="I341" s="10"/>
      <c r="J341" s="9">
        <f ca="1">DAY(IF(DAY(JunSun1)=1,JunSun1+33,JunSun1+40))</f>
        <v>4</v>
      </c>
      <c r="K341" s="10"/>
      <c r="L341" s="9">
        <f ca="1">DAY(IF(DAY(JunSun1)=1,JunSun1+34,JunSun1+41))</f>
        <v>5</v>
      </c>
      <c r="M341" s="10"/>
      <c r="N341" s="9">
        <f ca="1">DAY(IF(DAY(JunSun1)=1,JunSun1+35,JunSun1+42))</f>
        <v>6</v>
      </c>
      <c r="O341" s="10"/>
      <c r="P341" s="27"/>
    </row>
    <row r="342" spans="1:16" ht="11.25" customHeight="1" x14ac:dyDescent="0.2">
      <c r="A342" s="43" t="s">
        <v>172</v>
      </c>
      <c r="B342" s="35" t="s">
        <v>345</v>
      </c>
      <c r="C342" s="37" t="s">
        <v>359</v>
      </c>
      <c r="D342" s="35" t="s">
        <v>345</v>
      </c>
      <c r="E342" s="37" t="s">
        <v>359</v>
      </c>
      <c r="F342" s="35" t="s">
        <v>345</v>
      </c>
      <c r="G342" s="37" t="s">
        <v>359</v>
      </c>
      <c r="H342" s="35" t="s">
        <v>345</v>
      </c>
      <c r="I342" s="37" t="s">
        <v>359</v>
      </c>
      <c r="J342" s="35" t="s">
        <v>345</v>
      </c>
      <c r="K342" s="37" t="s">
        <v>359</v>
      </c>
      <c r="L342" s="35" t="s">
        <v>345</v>
      </c>
      <c r="M342" s="37" t="s">
        <v>359</v>
      </c>
      <c r="N342" s="35" t="s">
        <v>345</v>
      </c>
      <c r="O342" s="38" t="s">
        <v>359</v>
      </c>
      <c r="P342" s="51"/>
    </row>
    <row r="343" spans="1:16" ht="11.25" customHeight="1" x14ac:dyDescent="0.2">
      <c r="A343" s="43" t="s">
        <v>173</v>
      </c>
      <c r="B343" s="14"/>
      <c r="C343" s="67"/>
      <c r="D343" s="17"/>
      <c r="E343" s="67"/>
      <c r="F343" s="14"/>
      <c r="G343" s="67"/>
      <c r="H343" s="14"/>
      <c r="I343" s="67"/>
      <c r="J343" s="14"/>
      <c r="K343" s="67"/>
      <c r="L343" s="14"/>
      <c r="M343" s="67"/>
      <c r="N343" s="14"/>
      <c r="O343" s="71"/>
      <c r="P343" s="51"/>
    </row>
    <row r="344" spans="1:16" ht="11.25" customHeight="1" x14ac:dyDescent="0.2">
      <c r="B344" s="15"/>
      <c r="C344" s="68"/>
      <c r="D344" s="15"/>
      <c r="E344" s="68"/>
      <c r="F344" s="15"/>
      <c r="G344" s="68"/>
      <c r="H344" s="15"/>
      <c r="I344" s="68"/>
      <c r="J344" s="15"/>
      <c r="K344" s="68"/>
      <c r="L344" s="15"/>
      <c r="M344" s="68"/>
      <c r="N344" s="15"/>
      <c r="O344" s="72"/>
      <c r="P344" s="51"/>
    </row>
    <row r="345" spans="1:16" ht="11.25" customHeight="1" x14ac:dyDescent="0.2">
      <c r="B345" s="15"/>
      <c r="C345" s="68"/>
      <c r="D345" s="15"/>
      <c r="E345" s="68"/>
      <c r="F345" s="15"/>
      <c r="G345" s="68"/>
      <c r="H345" s="15"/>
      <c r="I345" s="68"/>
      <c r="J345" s="15"/>
      <c r="K345" s="68"/>
      <c r="L345" s="15"/>
      <c r="M345" s="68"/>
      <c r="N345" s="15"/>
      <c r="O345" s="72"/>
      <c r="P345" s="51"/>
    </row>
    <row r="346" spans="1:16" ht="11.25" customHeight="1" x14ac:dyDescent="0.2">
      <c r="B346" s="15"/>
      <c r="C346" s="68"/>
      <c r="D346" s="15"/>
      <c r="E346" s="68"/>
      <c r="F346" s="15"/>
      <c r="G346" s="68"/>
      <c r="H346" s="15"/>
      <c r="I346" s="68"/>
      <c r="J346" s="15"/>
      <c r="K346" s="68"/>
      <c r="L346" s="15"/>
      <c r="M346" s="68"/>
      <c r="N346" s="15"/>
      <c r="O346" s="72"/>
      <c r="P346" s="51"/>
    </row>
    <row r="347" spans="1:16" ht="11.25" customHeight="1" x14ac:dyDescent="0.2">
      <c r="B347" s="16"/>
      <c r="C347" s="69"/>
      <c r="D347" s="16"/>
      <c r="E347" s="69"/>
      <c r="F347" s="16"/>
      <c r="G347" s="69"/>
      <c r="H347" s="16"/>
      <c r="I347" s="69"/>
      <c r="J347" s="16"/>
      <c r="K347" s="69"/>
      <c r="L347" s="16"/>
      <c r="M347" s="69"/>
      <c r="N347" s="16"/>
      <c r="O347" s="73"/>
      <c r="P347" s="51"/>
    </row>
    <row r="348" spans="1:16" ht="11.25" customHeight="1" x14ac:dyDescent="0.2">
      <c r="A348" s="43" t="s">
        <v>174</v>
      </c>
      <c r="B348" s="53" t="s">
        <v>346</v>
      </c>
      <c r="C348" s="70">
        <f>SUM(C343:C347)</f>
        <v>0</v>
      </c>
      <c r="D348" s="77"/>
      <c r="E348" s="70">
        <f>SUM(E343:E347)</f>
        <v>0</v>
      </c>
      <c r="F348" s="77"/>
      <c r="G348" s="70">
        <f>SUM(G343:G347)</f>
        <v>0</v>
      </c>
      <c r="H348" s="77"/>
      <c r="I348" s="70">
        <f>SUM(I343:I347)</f>
        <v>0</v>
      </c>
      <c r="J348" s="77"/>
      <c r="K348" s="70">
        <f>SUM(K343:K347)</f>
        <v>0</v>
      </c>
      <c r="L348" s="77"/>
      <c r="M348" s="70">
        <f>SUM(M343:M347)</f>
        <v>0</v>
      </c>
      <c r="N348" s="77"/>
      <c r="O348" s="74">
        <f>SUM(O343:O347)</f>
        <v>0</v>
      </c>
      <c r="P348" s="75">
        <f ca="1">SUMIF(B341:N341,"&gt;="&amp;15,C348:O348)</f>
        <v>0</v>
      </c>
    </row>
    <row r="349" spans="1:16" s="45" customFormat="1" ht="17.25" customHeight="1" x14ac:dyDescent="0.2">
      <c r="A349" s="46"/>
      <c r="B349" s="49"/>
      <c r="C349" s="50"/>
      <c r="D349" s="49"/>
      <c r="E349" s="50"/>
      <c r="F349" s="49"/>
      <c r="G349" s="50"/>
      <c r="H349" s="49"/>
      <c r="I349" s="50"/>
      <c r="J349" s="49"/>
      <c r="K349" s="50"/>
      <c r="L349" s="49"/>
      <c r="M349" s="50"/>
      <c r="N349" s="49"/>
      <c r="O349" s="50"/>
      <c r="P349" s="49"/>
    </row>
    <row r="350" spans="1:16" ht="12" customHeight="1" x14ac:dyDescent="0.2">
      <c r="A350" s="43" t="s">
        <v>175</v>
      </c>
      <c r="B350" s="97" t="s">
        <v>352</v>
      </c>
      <c r="C350" s="97"/>
      <c r="D350" s="97"/>
      <c r="E350" s="97"/>
      <c r="F350"/>
      <c r="G350" s="4"/>
      <c r="H350"/>
      <c r="I350" s="4"/>
      <c r="J350"/>
      <c r="K350" s="4"/>
      <c r="L350" s="81" t="s">
        <v>369</v>
      </c>
      <c r="M350" s="81"/>
      <c r="N350" s="81" t="s">
        <v>371</v>
      </c>
      <c r="O350" s="81"/>
      <c r="P350"/>
    </row>
    <row r="351" spans="1:16" ht="25.5" customHeight="1" x14ac:dyDescent="0.2">
      <c r="A351" s="43" t="s">
        <v>176</v>
      </c>
      <c r="B351" s="97"/>
      <c r="C351" s="97"/>
      <c r="D351" s="97"/>
      <c r="E351" s="97"/>
      <c r="F351" s="47" t="str">
        <f ca="1">IFERROR(WEEKDAY(DATEVALUE(B350&amp;" 1, "&amp;Year1)),"")</f>
        <v/>
      </c>
      <c r="G351" s="6"/>
      <c r="H351" s="45"/>
      <c r="I351" s="6"/>
      <c r="J351" s="45"/>
      <c r="K351" s="6"/>
      <c r="L351" s="82">
        <f ca="1">SUM(P361,P370,P379,P388,P397,P406)</f>
        <v>0</v>
      </c>
      <c r="M351" s="83"/>
      <c r="N351" s="82">
        <f ca="1">SUM(P:P)</f>
        <v>439.95</v>
      </c>
      <c r="O351" s="84"/>
      <c r="P351"/>
    </row>
    <row r="352" spans="1:16" s="45" customFormat="1" ht="9" customHeight="1" x14ac:dyDescent="0.2">
      <c r="A352" s="46" t="s">
        <v>177</v>
      </c>
      <c r="B352" s="98">
        <v>1</v>
      </c>
      <c r="C352" s="98"/>
      <c r="D352" s="98">
        <v>2</v>
      </c>
      <c r="E352" s="98"/>
      <c r="F352" s="98">
        <v>3</v>
      </c>
      <c r="G352" s="98"/>
      <c r="H352" s="98">
        <v>4</v>
      </c>
      <c r="I352" s="98"/>
      <c r="J352" s="98">
        <v>5</v>
      </c>
      <c r="K352" s="98"/>
      <c r="L352" s="98">
        <v>6</v>
      </c>
      <c r="M352" s="98"/>
      <c r="N352" s="98">
        <v>7</v>
      </c>
      <c r="O352" s="98"/>
      <c r="P352" s="48"/>
    </row>
    <row r="353" spans="1:16" ht="15" customHeight="1" x14ac:dyDescent="0.2">
      <c r="A353" s="43" t="s">
        <v>178</v>
      </c>
      <c r="B353" s="87" t="s">
        <v>372</v>
      </c>
      <c r="C353" s="88"/>
      <c r="D353" s="89" t="s">
        <v>344</v>
      </c>
      <c r="E353" s="90"/>
      <c r="F353" s="91" t="s">
        <v>360</v>
      </c>
      <c r="G353" s="90" t="e">
        <f ca="1">IF(WEEKDAY(DATEVALUE(Month1&amp;" 1, "&amp;Year1))=COLUMN(#REF!),1,IF(LEN(E353)&gt;0,E353+1,""))</f>
        <v>#VALUE!</v>
      </c>
      <c r="H353" s="92" t="s">
        <v>361</v>
      </c>
      <c r="I353" s="92" t="e">
        <f ca="1">IF(WEEKDAY(DATEVALUE(Month1&amp;" 1, "&amp;Year1))=COLUMN(#REF!),1,IF(LEN(G353)&gt;0,G353+1,""))</f>
        <v>#VALUE!</v>
      </c>
      <c r="J353" s="91" t="s">
        <v>364</v>
      </c>
      <c r="K353" s="90" t="e">
        <f ca="1">IF(WEEKDAY(DATEVALUE(Month1&amp;" 1, "&amp;Year1))=COLUMN(#REF!),1,IF(LEN(I353)&gt;0,I353+1,""))</f>
        <v>#VALUE!</v>
      </c>
      <c r="L353" s="93" t="s">
        <v>368</v>
      </c>
      <c r="M353" s="94" t="e">
        <f ca="1">IF(WEEKDAY(DATEVALUE(Month1&amp;" 1, "&amp;Year1))=COLUMN(#REF!),1,IF(LEN(K353)&gt;0,K353+1,""))</f>
        <v>#VALUE!</v>
      </c>
      <c r="N353" s="95" t="s">
        <v>370</v>
      </c>
      <c r="O353" s="96" t="e">
        <f ca="1">IF(WEEKDAY(DATEVALUE(Month1&amp;" 1, "&amp;Year1))=COLUMN(#REF!),1,IF(LEN(M353)&gt;0,M353+1,""))</f>
        <v>#VALUE!</v>
      </c>
      <c r="P353" s="40" t="s">
        <v>373</v>
      </c>
    </row>
    <row r="354" spans="1:16" ht="15" customHeight="1" x14ac:dyDescent="0.2">
      <c r="A354" s="43" t="s">
        <v>179</v>
      </c>
      <c r="B354" s="11">
        <f ca="1">DAY(IF(DAY(JulSun1)=1,JulSun1-6,JulSun1+1))</f>
        <v>30</v>
      </c>
      <c r="C354" s="13"/>
      <c r="D354" s="18">
        <f ca="1">DAY(IF(DAY(JulSun1)=1,JulSun1-5,JulSun1+2))</f>
        <v>1</v>
      </c>
      <c r="E354" s="13"/>
      <c r="F354" s="18">
        <f ca="1">DAY(IF(DAY(JulSun1)=1,JulSun1-4,JulSun1+3))</f>
        <v>2</v>
      </c>
      <c r="G354" s="13"/>
      <c r="H354" s="18">
        <f ca="1">DAY(IF(DAY(JulSun1)=1,JulSun1-3,JulSun1+4))</f>
        <v>3</v>
      </c>
      <c r="I354" s="13"/>
      <c r="J354" s="18">
        <f ca="1">DAY(IF(DAY(JulSun1)=1,JulSun1-2,JulSun1+5))</f>
        <v>4</v>
      </c>
      <c r="K354" s="13"/>
      <c r="L354" s="18">
        <f ca="1">DAY(IF(DAY(JulSun1)=1,JulSun1-1,JulSun1+6))</f>
        <v>5</v>
      </c>
      <c r="M354" s="13"/>
      <c r="N354" s="22">
        <f ca="1">DAY(IF(DAY(JulSun1)=1,JulSun1,JulSun1+7))</f>
        <v>6</v>
      </c>
      <c r="O354" s="12"/>
      <c r="P354" s="51"/>
    </row>
    <row r="355" spans="1:16" ht="11.25" customHeight="1" x14ac:dyDescent="0.2">
      <c r="A355" s="43" t="s">
        <v>180</v>
      </c>
      <c r="B355" s="39" t="s">
        <v>345</v>
      </c>
      <c r="C355" s="34" t="s">
        <v>359</v>
      </c>
      <c r="D355" s="33" t="s">
        <v>345</v>
      </c>
      <c r="E355" s="34" t="s">
        <v>359</v>
      </c>
      <c r="F355" s="33" t="s">
        <v>345</v>
      </c>
      <c r="G355" s="34" t="s">
        <v>359</v>
      </c>
      <c r="H355" s="33" t="s">
        <v>345</v>
      </c>
      <c r="I355" s="34" t="s">
        <v>359</v>
      </c>
      <c r="J355" s="33" t="s">
        <v>345</v>
      </c>
      <c r="K355" s="34" t="s">
        <v>359</v>
      </c>
      <c r="L355" s="33" t="s">
        <v>345</v>
      </c>
      <c r="M355" s="34" t="s">
        <v>359</v>
      </c>
      <c r="N355" s="35" t="s">
        <v>345</v>
      </c>
      <c r="O355" s="36" t="s">
        <v>359</v>
      </c>
      <c r="P355" s="51"/>
    </row>
    <row r="356" spans="1:16" ht="11.25" customHeight="1" x14ac:dyDescent="0.2">
      <c r="A356" s="43" t="s">
        <v>181</v>
      </c>
      <c r="B356" s="14"/>
      <c r="C356" s="67"/>
      <c r="D356" s="17"/>
      <c r="E356" s="67"/>
      <c r="F356" s="14"/>
      <c r="G356" s="67"/>
      <c r="H356" s="14"/>
      <c r="I356" s="67"/>
      <c r="J356" s="14"/>
      <c r="K356" s="67"/>
      <c r="L356" s="14"/>
      <c r="M356" s="67"/>
      <c r="N356" s="14"/>
      <c r="O356" s="71"/>
      <c r="P356" s="51"/>
    </row>
    <row r="357" spans="1:16" ht="11.25" customHeight="1" x14ac:dyDescent="0.2">
      <c r="B357" s="15"/>
      <c r="C357" s="68"/>
      <c r="D357" s="15"/>
      <c r="E357" s="68"/>
      <c r="F357" s="15"/>
      <c r="G357" s="68"/>
      <c r="H357" s="15"/>
      <c r="I357" s="68"/>
      <c r="J357" s="15"/>
      <c r="K357" s="68"/>
      <c r="L357" s="15"/>
      <c r="M357" s="68"/>
      <c r="N357" s="15"/>
      <c r="O357" s="72"/>
      <c r="P357" s="51"/>
    </row>
    <row r="358" spans="1:16" ht="11.25" customHeight="1" x14ac:dyDescent="0.2">
      <c r="B358" s="15"/>
      <c r="C358" s="68"/>
      <c r="D358" s="15"/>
      <c r="E358" s="68"/>
      <c r="F358" s="15"/>
      <c r="G358" s="68"/>
      <c r="H358" s="15"/>
      <c r="I358" s="68"/>
      <c r="J358" s="15"/>
      <c r="K358" s="68"/>
      <c r="L358" s="15"/>
      <c r="M358" s="68"/>
      <c r="N358" s="15"/>
      <c r="O358" s="72"/>
      <c r="P358" s="51"/>
    </row>
    <row r="359" spans="1:16" ht="11.25" customHeight="1" x14ac:dyDescent="0.2">
      <c r="B359" s="15"/>
      <c r="C359" s="68"/>
      <c r="D359" s="15"/>
      <c r="E359" s="68"/>
      <c r="F359" s="15"/>
      <c r="G359" s="68"/>
      <c r="H359" s="15"/>
      <c r="I359" s="68"/>
      <c r="J359" s="15"/>
      <c r="K359" s="68"/>
      <c r="L359" s="15"/>
      <c r="M359" s="68"/>
      <c r="N359" s="15"/>
      <c r="O359" s="72"/>
      <c r="P359" s="51"/>
    </row>
    <row r="360" spans="1:16" ht="11.25" customHeight="1" x14ac:dyDescent="0.2">
      <c r="B360" s="16"/>
      <c r="C360" s="69"/>
      <c r="D360" s="16"/>
      <c r="E360" s="69"/>
      <c r="F360" s="16"/>
      <c r="G360" s="69"/>
      <c r="H360" s="16"/>
      <c r="I360" s="69"/>
      <c r="J360" s="16"/>
      <c r="K360" s="69"/>
      <c r="L360" s="16"/>
      <c r="M360" s="69"/>
      <c r="N360" s="16"/>
      <c r="O360" s="73"/>
      <c r="P360" s="51"/>
    </row>
    <row r="361" spans="1:16" ht="11.25" customHeight="1" x14ac:dyDescent="0.2">
      <c r="A361" s="43" t="s">
        <v>182</v>
      </c>
      <c r="B361" s="53" t="s">
        <v>346</v>
      </c>
      <c r="C361" s="70">
        <f>SUM(C356:C360)</f>
        <v>0</v>
      </c>
      <c r="D361" s="77"/>
      <c r="E361" s="70">
        <f>SUM(E356:E360)</f>
        <v>0</v>
      </c>
      <c r="F361" s="77"/>
      <c r="G361" s="70">
        <f>SUM(G356:G360)</f>
        <v>0</v>
      </c>
      <c r="H361" s="77"/>
      <c r="I361" s="70">
        <f>SUM(I356:I360)</f>
        <v>0</v>
      </c>
      <c r="J361" s="77"/>
      <c r="K361" s="70">
        <f>SUM(K356:K360)</f>
        <v>0</v>
      </c>
      <c r="L361" s="77"/>
      <c r="M361" s="70">
        <f>SUM(M356:M360)</f>
        <v>0</v>
      </c>
      <c r="N361" s="77"/>
      <c r="O361" s="74">
        <f>SUM(O356:O360)</f>
        <v>0</v>
      </c>
      <c r="P361" s="75">
        <f ca="1">SUMIF(B354:N354,"&lt;8",C361:O361)</f>
        <v>0</v>
      </c>
    </row>
    <row r="362" spans="1:16" s="45" customFormat="1" x14ac:dyDescent="0.2">
      <c r="A362" s="46"/>
      <c r="C362" s="6"/>
      <c r="D362" s="6"/>
      <c r="E362" s="6"/>
      <c r="F362" s="6"/>
      <c r="G362" s="6"/>
      <c r="H362" s="6"/>
      <c r="I362" s="6"/>
      <c r="J362" s="6"/>
      <c r="K362" s="6"/>
      <c r="L362" s="6"/>
      <c r="M362" s="6"/>
      <c r="N362" s="6"/>
      <c r="O362" s="6"/>
    </row>
    <row r="363" spans="1:16" ht="15" customHeight="1" x14ac:dyDescent="0.2">
      <c r="A363" s="43" t="s">
        <v>183</v>
      </c>
      <c r="B363" s="9">
        <f ca="1">N354+1</f>
        <v>7</v>
      </c>
      <c r="C363" s="10"/>
      <c r="D363" s="9">
        <f ca="1">B363+1</f>
        <v>8</v>
      </c>
      <c r="E363" s="10"/>
      <c r="F363" s="9">
        <f ca="1">D363+1</f>
        <v>9</v>
      </c>
      <c r="G363" s="10"/>
      <c r="H363" s="9">
        <f ca="1">F363+1</f>
        <v>10</v>
      </c>
      <c r="I363" s="10"/>
      <c r="J363" s="9">
        <f ca="1">H363+1</f>
        <v>11</v>
      </c>
      <c r="K363" s="10"/>
      <c r="L363" s="9">
        <f ca="1">J363+1</f>
        <v>12</v>
      </c>
      <c r="M363" s="10"/>
      <c r="N363" s="9">
        <f ca="1">L363+1</f>
        <v>13</v>
      </c>
      <c r="O363" s="10"/>
      <c r="P363" s="27"/>
    </row>
    <row r="364" spans="1:16" ht="11.25" customHeight="1" x14ac:dyDescent="0.2">
      <c r="A364" s="43" t="s">
        <v>184</v>
      </c>
      <c r="B364" s="35" t="s">
        <v>345</v>
      </c>
      <c r="C364" s="37" t="s">
        <v>359</v>
      </c>
      <c r="D364" s="35" t="s">
        <v>345</v>
      </c>
      <c r="E364" s="37" t="s">
        <v>359</v>
      </c>
      <c r="F364" s="35" t="s">
        <v>345</v>
      </c>
      <c r="G364" s="37" t="s">
        <v>359</v>
      </c>
      <c r="H364" s="35" t="s">
        <v>345</v>
      </c>
      <c r="I364" s="37" t="s">
        <v>359</v>
      </c>
      <c r="J364" s="35" t="s">
        <v>345</v>
      </c>
      <c r="K364" s="37" t="s">
        <v>359</v>
      </c>
      <c r="L364" s="35" t="s">
        <v>345</v>
      </c>
      <c r="M364" s="37" t="s">
        <v>359</v>
      </c>
      <c r="N364" s="35" t="s">
        <v>345</v>
      </c>
      <c r="O364" s="38" t="s">
        <v>359</v>
      </c>
      <c r="P364" s="51"/>
    </row>
    <row r="365" spans="1:16" ht="11.25" customHeight="1" x14ac:dyDescent="0.2">
      <c r="A365" s="43" t="s">
        <v>185</v>
      </c>
      <c r="B365" s="19"/>
      <c r="C365" s="67"/>
      <c r="D365" s="19"/>
      <c r="E365" s="67"/>
      <c r="F365" s="19"/>
      <c r="G365" s="67"/>
      <c r="H365" s="19"/>
      <c r="I365" s="67"/>
      <c r="J365" s="19"/>
      <c r="K365" s="67"/>
      <c r="L365" s="19"/>
      <c r="M365" s="67"/>
      <c r="N365" s="19"/>
      <c r="O365" s="71"/>
      <c r="P365" s="51"/>
    </row>
    <row r="366" spans="1:16" ht="11.25" customHeight="1" x14ac:dyDescent="0.2">
      <c r="B366" s="20"/>
      <c r="C366" s="68"/>
      <c r="D366" s="20"/>
      <c r="E366" s="68"/>
      <c r="F366" s="20"/>
      <c r="G366" s="68"/>
      <c r="H366" s="20"/>
      <c r="I366" s="68"/>
      <c r="J366" s="20"/>
      <c r="K366" s="68"/>
      <c r="L366" s="20"/>
      <c r="M366" s="68"/>
      <c r="N366" s="20"/>
      <c r="O366" s="72"/>
      <c r="P366" s="51"/>
    </row>
    <row r="367" spans="1:16" ht="11.25" customHeight="1" x14ac:dyDescent="0.2">
      <c r="B367" s="20"/>
      <c r="C367" s="68"/>
      <c r="D367" s="20"/>
      <c r="E367" s="68"/>
      <c r="F367" s="20"/>
      <c r="G367" s="68"/>
      <c r="H367" s="20"/>
      <c r="I367" s="68"/>
      <c r="J367" s="20"/>
      <c r="K367" s="68"/>
      <c r="L367" s="20"/>
      <c r="M367" s="68"/>
      <c r="N367" s="20"/>
      <c r="O367" s="72"/>
      <c r="P367" s="51"/>
    </row>
    <row r="368" spans="1:16" ht="11.25" customHeight="1" x14ac:dyDescent="0.2">
      <c r="B368" s="20"/>
      <c r="C368" s="68"/>
      <c r="D368" s="20"/>
      <c r="E368" s="68"/>
      <c r="F368" s="20"/>
      <c r="G368" s="68"/>
      <c r="H368" s="20"/>
      <c r="I368" s="68"/>
      <c r="J368" s="20"/>
      <c r="K368" s="68"/>
      <c r="L368" s="20"/>
      <c r="M368" s="68"/>
      <c r="N368" s="20"/>
      <c r="O368" s="72"/>
      <c r="P368" s="51"/>
    </row>
    <row r="369" spans="1:16" ht="11.25" customHeight="1" x14ac:dyDescent="0.2">
      <c r="B369" s="21"/>
      <c r="C369" s="69"/>
      <c r="D369" s="21"/>
      <c r="E369" s="69"/>
      <c r="F369" s="21"/>
      <c r="G369" s="69"/>
      <c r="H369" s="21"/>
      <c r="I369" s="69"/>
      <c r="J369" s="21"/>
      <c r="K369" s="69"/>
      <c r="L369" s="21"/>
      <c r="M369" s="69"/>
      <c r="N369" s="21"/>
      <c r="O369" s="73"/>
      <c r="P369" s="51"/>
    </row>
    <row r="370" spans="1:16" ht="11.25" customHeight="1" x14ac:dyDescent="0.2">
      <c r="A370" s="43" t="s">
        <v>186</v>
      </c>
      <c r="B370" s="53" t="s">
        <v>346</v>
      </c>
      <c r="C370" s="70">
        <f>SUM(C365:C369)</f>
        <v>0</v>
      </c>
      <c r="D370" s="77"/>
      <c r="E370" s="70">
        <f>SUM(E365:E369)</f>
        <v>0</v>
      </c>
      <c r="F370" s="77"/>
      <c r="G370" s="70">
        <f>SUM(G365:G369)</f>
        <v>0</v>
      </c>
      <c r="H370" s="77"/>
      <c r="I370" s="70">
        <f>SUM(I365:I369)</f>
        <v>0</v>
      </c>
      <c r="J370" s="77"/>
      <c r="K370" s="70">
        <f>SUM(K365:K369)</f>
        <v>0</v>
      </c>
      <c r="L370" s="77"/>
      <c r="M370" s="70">
        <f>SUM(M365:M369)</f>
        <v>0</v>
      </c>
      <c r="N370" s="77"/>
      <c r="O370" s="74">
        <f>SUM(O365:O369)</f>
        <v>0</v>
      </c>
      <c r="P370" s="75">
        <f>SUM(C370,E370,G370,I370,K370,M370,O370)</f>
        <v>0</v>
      </c>
    </row>
    <row r="371" spans="1:16" s="45" customFormat="1" x14ac:dyDescent="0.2">
      <c r="A371" s="46"/>
      <c r="C371" s="6"/>
      <c r="D371" s="6"/>
      <c r="E371" s="6"/>
      <c r="F371" s="6"/>
      <c r="G371" s="6"/>
      <c r="H371" s="6"/>
      <c r="I371" s="6"/>
      <c r="J371" s="6"/>
      <c r="K371" s="6"/>
      <c r="L371" s="6"/>
      <c r="M371" s="6"/>
      <c r="N371" s="6"/>
      <c r="O371" s="6"/>
    </row>
    <row r="372" spans="1:16" ht="15" customHeight="1" x14ac:dyDescent="0.2">
      <c r="A372" s="43" t="s">
        <v>187</v>
      </c>
      <c r="B372" s="9">
        <f ca="1">N363+1</f>
        <v>14</v>
      </c>
      <c r="C372" s="10"/>
      <c r="D372" s="9">
        <f ca="1">B372+1</f>
        <v>15</v>
      </c>
      <c r="E372" s="10"/>
      <c r="F372" s="9">
        <f ca="1">D372+1</f>
        <v>16</v>
      </c>
      <c r="G372" s="10"/>
      <c r="H372" s="9">
        <f ca="1">F372+1</f>
        <v>17</v>
      </c>
      <c r="I372" s="10"/>
      <c r="J372" s="9">
        <f ca="1">H372+1</f>
        <v>18</v>
      </c>
      <c r="K372" s="10"/>
      <c r="L372" s="9">
        <f ca="1">J372+1</f>
        <v>19</v>
      </c>
      <c r="M372" s="10"/>
      <c r="N372" s="9">
        <f ca="1">L372+1</f>
        <v>20</v>
      </c>
      <c r="O372" s="10"/>
      <c r="P372" s="27"/>
    </row>
    <row r="373" spans="1:16" ht="11.25" customHeight="1" x14ac:dyDescent="0.2">
      <c r="A373" s="43" t="s">
        <v>188</v>
      </c>
      <c r="B373" s="35" t="s">
        <v>345</v>
      </c>
      <c r="C373" s="37" t="s">
        <v>359</v>
      </c>
      <c r="D373" s="35" t="s">
        <v>345</v>
      </c>
      <c r="E373" s="37" t="s">
        <v>359</v>
      </c>
      <c r="F373" s="35" t="s">
        <v>345</v>
      </c>
      <c r="G373" s="37" t="s">
        <v>359</v>
      </c>
      <c r="H373" s="35" t="s">
        <v>345</v>
      </c>
      <c r="I373" s="37" t="s">
        <v>359</v>
      </c>
      <c r="J373" s="35" t="s">
        <v>345</v>
      </c>
      <c r="K373" s="37" t="s">
        <v>359</v>
      </c>
      <c r="L373" s="35" t="s">
        <v>345</v>
      </c>
      <c r="M373" s="37" t="s">
        <v>359</v>
      </c>
      <c r="N373" s="35" t="s">
        <v>345</v>
      </c>
      <c r="O373" s="38" t="s">
        <v>359</v>
      </c>
      <c r="P373" s="51"/>
    </row>
    <row r="374" spans="1:16" ht="11.25" customHeight="1" x14ac:dyDescent="0.2">
      <c r="A374" s="43" t="s">
        <v>189</v>
      </c>
      <c r="B374" s="19"/>
      <c r="C374" s="67"/>
      <c r="D374" s="19"/>
      <c r="E374" s="67"/>
      <c r="F374" s="19"/>
      <c r="G374" s="67"/>
      <c r="H374" s="19"/>
      <c r="I374" s="67"/>
      <c r="J374" s="19"/>
      <c r="K374" s="67"/>
      <c r="L374" s="19"/>
      <c r="M374" s="67"/>
      <c r="N374" s="19"/>
      <c r="O374" s="71"/>
      <c r="P374" s="51"/>
    </row>
    <row r="375" spans="1:16" ht="11.25" customHeight="1" x14ac:dyDescent="0.2">
      <c r="B375" s="20"/>
      <c r="C375" s="68"/>
      <c r="D375" s="20"/>
      <c r="E375" s="68"/>
      <c r="F375" s="20"/>
      <c r="G375" s="68"/>
      <c r="H375" s="20"/>
      <c r="I375" s="68"/>
      <c r="J375" s="20"/>
      <c r="K375" s="68"/>
      <c r="L375" s="20"/>
      <c r="M375" s="68"/>
      <c r="N375" s="20"/>
      <c r="O375" s="72"/>
      <c r="P375" s="51"/>
    </row>
    <row r="376" spans="1:16" ht="11.25" customHeight="1" x14ac:dyDescent="0.2">
      <c r="B376" s="20"/>
      <c r="C376" s="68"/>
      <c r="D376" s="20"/>
      <c r="E376" s="68"/>
      <c r="F376" s="20"/>
      <c r="G376" s="68"/>
      <c r="H376" s="20"/>
      <c r="I376" s="68"/>
      <c r="J376" s="20"/>
      <c r="K376" s="68"/>
      <c r="L376" s="20"/>
      <c r="M376" s="68"/>
      <c r="N376" s="20"/>
      <c r="O376" s="72"/>
      <c r="P376" s="51"/>
    </row>
    <row r="377" spans="1:16" ht="11.25" customHeight="1" x14ac:dyDescent="0.2">
      <c r="B377" s="20"/>
      <c r="C377" s="68"/>
      <c r="D377" s="20"/>
      <c r="E377" s="68"/>
      <c r="F377" s="20"/>
      <c r="G377" s="68"/>
      <c r="H377" s="20"/>
      <c r="I377" s="68"/>
      <c r="J377" s="20"/>
      <c r="K377" s="68"/>
      <c r="L377" s="20"/>
      <c r="M377" s="68"/>
      <c r="N377" s="20"/>
      <c r="O377" s="72"/>
      <c r="P377" s="51"/>
    </row>
    <row r="378" spans="1:16" ht="11.25" customHeight="1" x14ac:dyDescent="0.2">
      <c r="B378" s="21"/>
      <c r="C378" s="69"/>
      <c r="D378" s="21"/>
      <c r="E378" s="69"/>
      <c r="F378" s="21"/>
      <c r="G378" s="69"/>
      <c r="H378" s="21"/>
      <c r="I378" s="69"/>
      <c r="J378" s="21"/>
      <c r="K378" s="69"/>
      <c r="L378" s="21"/>
      <c r="M378" s="69"/>
      <c r="N378" s="21"/>
      <c r="O378" s="73"/>
      <c r="P378" s="51"/>
    </row>
    <row r="379" spans="1:16" ht="11.25" customHeight="1" x14ac:dyDescent="0.2">
      <c r="A379" s="43" t="s">
        <v>190</v>
      </c>
      <c r="B379" s="54" t="s">
        <v>346</v>
      </c>
      <c r="C379" s="70">
        <f>SUM(C374:C378)</f>
        <v>0</v>
      </c>
      <c r="D379" s="77"/>
      <c r="E379" s="70">
        <f>SUM(E374:E378)</f>
        <v>0</v>
      </c>
      <c r="F379" s="77"/>
      <c r="G379" s="70">
        <f>SUM(G374:G378)</f>
        <v>0</v>
      </c>
      <c r="H379" s="77"/>
      <c r="I379" s="70">
        <f>SUM(I374:I378)</f>
        <v>0</v>
      </c>
      <c r="J379" s="77"/>
      <c r="K379" s="70">
        <f>SUM(K374:K378)</f>
        <v>0</v>
      </c>
      <c r="L379" s="77"/>
      <c r="M379" s="70">
        <f>SUM(M374:M378)</f>
        <v>0</v>
      </c>
      <c r="N379" s="77"/>
      <c r="O379" s="74">
        <f>SUM(O374:O378)</f>
        <v>0</v>
      </c>
      <c r="P379" s="75">
        <f>SUM(C379,E379,G379,I379,K379,M379,O379)</f>
        <v>0</v>
      </c>
    </row>
    <row r="380" spans="1:16" s="45" customFormat="1" x14ac:dyDescent="0.2">
      <c r="A380" s="46"/>
      <c r="C380" s="6"/>
      <c r="D380" s="6"/>
      <c r="E380" s="6"/>
      <c r="F380" s="6"/>
      <c r="G380" s="6"/>
      <c r="H380" s="6"/>
      <c r="I380" s="6"/>
      <c r="J380" s="6"/>
      <c r="K380" s="6"/>
      <c r="L380" s="6"/>
      <c r="M380" s="6"/>
      <c r="N380" s="6"/>
      <c r="O380" s="6"/>
    </row>
    <row r="381" spans="1:16" ht="15" customHeight="1" x14ac:dyDescent="0.2">
      <c r="A381" s="43" t="s">
        <v>191</v>
      </c>
      <c r="B381" s="9">
        <f ca="1">N372+1</f>
        <v>21</v>
      </c>
      <c r="C381" s="10"/>
      <c r="D381" s="9">
        <f ca="1">B381+1</f>
        <v>22</v>
      </c>
      <c r="E381" s="10"/>
      <c r="F381" s="9">
        <f ca="1">D381+1</f>
        <v>23</v>
      </c>
      <c r="G381" s="10"/>
      <c r="H381" s="9">
        <f ca="1">F381+1</f>
        <v>24</v>
      </c>
      <c r="I381" s="10"/>
      <c r="J381" s="9">
        <f ca="1">H381+1</f>
        <v>25</v>
      </c>
      <c r="K381" s="10"/>
      <c r="L381" s="9">
        <f ca="1">J381+1</f>
        <v>26</v>
      </c>
      <c r="M381" s="10"/>
      <c r="N381" s="9">
        <f ca="1">L381+1</f>
        <v>27</v>
      </c>
      <c r="O381" s="10"/>
      <c r="P381" s="27"/>
    </row>
    <row r="382" spans="1:16" ht="11.25" customHeight="1" x14ac:dyDescent="0.2">
      <c r="A382" s="43" t="s">
        <v>192</v>
      </c>
      <c r="B382" s="35" t="s">
        <v>345</v>
      </c>
      <c r="C382" s="37" t="s">
        <v>359</v>
      </c>
      <c r="D382" s="35" t="s">
        <v>345</v>
      </c>
      <c r="E382" s="37" t="s">
        <v>359</v>
      </c>
      <c r="F382" s="35" t="s">
        <v>345</v>
      </c>
      <c r="G382" s="37" t="s">
        <v>359</v>
      </c>
      <c r="H382" s="35" t="s">
        <v>345</v>
      </c>
      <c r="I382" s="37" t="s">
        <v>359</v>
      </c>
      <c r="J382" s="35" t="s">
        <v>345</v>
      </c>
      <c r="K382" s="37" t="s">
        <v>359</v>
      </c>
      <c r="L382" s="35" t="s">
        <v>345</v>
      </c>
      <c r="M382" s="37" t="s">
        <v>359</v>
      </c>
      <c r="N382" s="35" t="s">
        <v>345</v>
      </c>
      <c r="O382" s="38" t="s">
        <v>359</v>
      </c>
      <c r="P382" s="51"/>
    </row>
    <row r="383" spans="1:16" ht="11.25" customHeight="1" x14ac:dyDescent="0.2">
      <c r="A383" s="43" t="s">
        <v>193</v>
      </c>
      <c r="B383" s="19"/>
      <c r="C383" s="67"/>
      <c r="D383" s="19"/>
      <c r="E383" s="67"/>
      <c r="F383" s="19"/>
      <c r="G383" s="67"/>
      <c r="H383" s="19"/>
      <c r="I383" s="67"/>
      <c r="J383" s="19"/>
      <c r="K383" s="67"/>
      <c r="L383" s="19"/>
      <c r="M383" s="67"/>
      <c r="N383" s="19"/>
      <c r="O383" s="71"/>
      <c r="P383" s="51"/>
    </row>
    <row r="384" spans="1:16" ht="11.25" customHeight="1" x14ac:dyDescent="0.2">
      <c r="B384" s="20"/>
      <c r="C384" s="68"/>
      <c r="D384" s="20"/>
      <c r="E384" s="68"/>
      <c r="F384" s="20"/>
      <c r="G384" s="68"/>
      <c r="H384" s="20"/>
      <c r="I384" s="68"/>
      <c r="J384" s="20"/>
      <c r="K384" s="68"/>
      <c r="L384" s="20"/>
      <c r="M384" s="68"/>
      <c r="N384" s="20"/>
      <c r="O384" s="72"/>
      <c r="P384" s="51"/>
    </row>
    <row r="385" spans="1:16" ht="11.25" customHeight="1" x14ac:dyDescent="0.2">
      <c r="B385" s="20"/>
      <c r="C385" s="68"/>
      <c r="D385" s="20"/>
      <c r="E385" s="68"/>
      <c r="F385" s="20"/>
      <c r="G385" s="68"/>
      <c r="H385" s="20"/>
      <c r="I385" s="68"/>
      <c r="J385" s="20"/>
      <c r="K385" s="68"/>
      <c r="L385" s="20"/>
      <c r="M385" s="68"/>
      <c r="N385" s="20"/>
      <c r="O385" s="72"/>
      <c r="P385" s="51"/>
    </row>
    <row r="386" spans="1:16" ht="11.25" customHeight="1" x14ac:dyDescent="0.2">
      <c r="B386" s="20"/>
      <c r="C386" s="68"/>
      <c r="D386" s="20"/>
      <c r="E386" s="68"/>
      <c r="F386" s="20"/>
      <c r="G386" s="68"/>
      <c r="H386" s="20"/>
      <c r="I386" s="68"/>
      <c r="J386" s="20"/>
      <c r="K386" s="68"/>
      <c r="L386" s="20"/>
      <c r="M386" s="68"/>
      <c r="N386" s="20"/>
      <c r="O386" s="72"/>
      <c r="P386" s="51"/>
    </row>
    <row r="387" spans="1:16" ht="11.25" customHeight="1" x14ac:dyDescent="0.2">
      <c r="B387" s="21"/>
      <c r="C387" s="69"/>
      <c r="D387" s="21"/>
      <c r="E387" s="69"/>
      <c r="F387" s="21"/>
      <c r="G387" s="69"/>
      <c r="H387" s="21"/>
      <c r="I387" s="69"/>
      <c r="J387" s="21"/>
      <c r="K387" s="69"/>
      <c r="L387" s="21"/>
      <c r="M387" s="69"/>
      <c r="N387" s="21"/>
      <c r="O387" s="73"/>
      <c r="P387" s="51"/>
    </row>
    <row r="388" spans="1:16" ht="11.25" customHeight="1" x14ac:dyDescent="0.2">
      <c r="A388" s="43" t="s">
        <v>194</v>
      </c>
      <c r="B388" s="53" t="s">
        <v>346</v>
      </c>
      <c r="C388" s="70">
        <f>SUM(C383:C387)</f>
        <v>0</v>
      </c>
      <c r="D388" s="77"/>
      <c r="E388" s="70">
        <f>SUM(E383:E387)</f>
        <v>0</v>
      </c>
      <c r="F388" s="77"/>
      <c r="G388" s="70">
        <f>SUM(G383:G387)</f>
        <v>0</v>
      </c>
      <c r="H388" s="77"/>
      <c r="I388" s="70">
        <f>SUM(I383:I387)</f>
        <v>0</v>
      </c>
      <c r="J388" s="77"/>
      <c r="K388" s="70">
        <f>SUM(K383:K387)</f>
        <v>0</v>
      </c>
      <c r="L388" s="77"/>
      <c r="M388" s="70">
        <f>SUM(M383:M387)</f>
        <v>0</v>
      </c>
      <c r="N388" s="77"/>
      <c r="O388" s="74">
        <f>SUM(O383:O387)</f>
        <v>0</v>
      </c>
      <c r="P388" s="75">
        <f>SUM(C388,E388,G388,I388,K388,M388,O388)</f>
        <v>0</v>
      </c>
    </row>
    <row r="389" spans="1:16" s="45" customFormat="1" x14ac:dyDescent="0.2">
      <c r="A389" s="46"/>
      <c r="C389" s="6"/>
      <c r="D389" s="6"/>
      <c r="E389" s="6"/>
      <c r="F389" s="6"/>
      <c r="G389" s="6"/>
      <c r="H389" s="6"/>
      <c r="I389" s="6"/>
      <c r="J389" s="6"/>
      <c r="K389" s="6"/>
      <c r="L389" s="6"/>
      <c r="M389" s="6"/>
      <c r="N389" s="6"/>
      <c r="O389" s="6"/>
    </row>
    <row r="390" spans="1:16" ht="15" customHeight="1" x14ac:dyDescent="0.2">
      <c r="A390" s="43" t="s">
        <v>195</v>
      </c>
      <c r="B390" s="9">
        <f ca="1">DAY(IF(DAY(JulSun1)=1,JulSun1+22,JulSun1+29))</f>
        <v>28</v>
      </c>
      <c r="C390" s="10"/>
      <c r="D390" s="9">
        <f ca="1">DAY(IF(DAY(JulSun1)=1,JulSun1+23,JulSun1+30))</f>
        <v>29</v>
      </c>
      <c r="E390" s="10"/>
      <c r="F390" s="9">
        <f ca="1">DAY(IF(DAY(JulSun1)=1,JulSun1+24,JulSun1+31))</f>
        <v>30</v>
      </c>
      <c r="G390" s="10"/>
      <c r="H390" s="9">
        <f ca="1">DAY(IF(DAY(JulSun1)=1,JulSun1+25,JulSun1+32))</f>
        <v>31</v>
      </c>
      <c r="I390" s="10"/>
      <c r="J390" s="9">
        <f ca="1">DAY(IF(DAY(JulSun1)=1,JulSun1+26,JulSun1+33))</f>
        <v>1</v>
      </c>
      <c r="K390" s="10"/>
      <c r="L390" s="9">
        <f ca="1">DAY(IF(DAY(JulSun1)=1,JulSun1+27,JulSun1+34))</f>
        <v>2</v>
      </c>
      <c r="M390" s="10"/>
      <c r="N390" s="9">
        <f ca="1">DAY(IF(DAY(JulSun1)=1,JulSun1+28,JulSun1+35))</f>
        <v>3</v>
      </c>
      <c r="O390" s="10"/>
      <c r="P390" s="27"/>
    </row>
    <row r="391" spans="1:16" ht="11.25" customHeight="1" x14ac:dyDescent="0.2">
      <c r="A391" s="43" t="s">
        <v>196</v>
      </c>
      <c r="B391" s="35" t="s">
        <v>345</v>
      </c>
      <c r="C391" s="37" t="s">
        <v>359</v>
      </c>
      <c r="D391" s="35" t="s">
        <v>345</v>
      </c>
      <c r="E391" s="37" t="s">
        <v>359</v>
      </c>
      <c r="F391" s="35" t="s">
        <v>345</v>
      </c>
      <c r="G391" s="37" t="s">
        <v>359</v>
      </c>
      <c r="H391" s="35" t="s">
        <v>345</v>
      </c>
      <c r="I391" s="37" t="s">
        <v>359</v>
      </c>
      <c r="J391" s="35" t="s">
        <v>345</v>
      </c>
      <c r="K391" s="37" t="s">
        <v>359</v>
      </c>
      <c r="L391" s="35" t="s">
        <v>345</v>
      </c>
      <c r="M391" s="37" t="s">
        <v>359</v>
      </c>
      <c r="N391" s="35" t="s">
        <v>345</v>
      </c>
      <c r="O391" s="38" t="s">
        <v>359</v>
      </c>
      <c r="P391" s="51"/>
    </row>
    <row r="392" spans="1:16" ht="11.25" customHeight="1" x14ac:dyDescent="0.2">
      <c r="A392" s="43" t="s">
        <v>197</v>
      </c>
      <c r="B392" s="14"/>
      <c r="C392" s="67"/>
      <c r="D392" s="17"/>
      <c r="E392" s="67"/>
      <c r="F392" s="14"/>
      <c r="G392" s="67"/>
      <c r="H392" s="14"/>
      <c r="I392" s="67"/>
      <c r="J392" s="14"/>
      <c r="K392" s="67"/>
      <c r="L392" s="14"/>
      <c r="M392" s="67"/>
      <c r="N392" s="23"/>
      <c r="O392" s="78"/>
      <c r="P392" s="51"/>
    </row>
    <row r="393" spans="1:16" ht="11.25" customHeight="1" x14ac:dyDescent="0.2">
      <c r="B393" s="15"/>
      <c r="C393" s="68"/>
      <c r="D393" s="15"/>
      <c r="E393" s="68"/>
      <c r="F393" s="15"/>
      <c r="G393" s="68"/>
      <c r="H393" s="15"/>
      <c r="I393" s="68"/>
      <c r="J393" s="15"/>
      <c r="K393" s="68"/>
      <c r="L393" s="15"/>
      <c r="M393" s="68"/>
      <c r="N393" s="24"/>
      <c r="O393" s="79"/>
      <c r="P393" s="51"/>
    </row>
    <row r="394" spans="1:16" ht="11.25" customHeight="1" x14ac:dyDescent="0.2">
      <c r="B394" s="15"/>
      <c r="C394" s="68"/>
      <c r="D394" s="15"/>
      <c r="E394" s="68"/>
      <c r="F394" s="15"/>
      <c r="G394" s="68"/>
      <c r="H394" s="15"/>
      <c r="I394" s="68"/>
      <c r="J394" s="15"/>
      <c r="K394" s="68"/>
      <c r="L394" s="15"/>
      <c r="M394" s="68"/>
      <c r="N394" s="24"/>
      <c r="O394" s="79"/>
      <c r="P394" s="51"/>
    </row>
    <row r="395" spans="1:16" ht="11.25" customHeight="1" x14ac:dyDescent="0.2">
      <c r="B395" s="15"/>
      <c r="C395" s="68"/>
      <c r="D395" s="15"/>
      <c r="E395" s="68"/>
      <c r="F395" s="15"/>
      <c r="G395" s="68"/>
      <c r="H395" s="15"/>
      <c r="I395" s="68"/>
      <c r="J395" s="15"/>
      <c r="K395" s="68"/>
      <c r="L395" s="15"/>
      <c r="M395" s="68"/>
      <c r="N395" s="24"/>
      <c r="O395" s="79"/>
      <c r="P395" s="51"/>
    </row>
    <row r="396" spans="1:16" ht="11.25" customHeight="1" x14ac:dyDescent="0.2">
      <c r="B396" s="16"/>
      <c r="C396" s="69"/>
      <c r="D396" s="16"/>
      <c r="E396" s="69"/>
      <c r="F396" s="16"/>
      <c r="G396" s="69"/>
      <c r="H396" s="16"/>
      <c r="I396" s="69"/>
      <c r="J396" s="16"/>
      <c r="K396" s="69"/>
      <c r="L396" s="16"/>
      <c r="M396" s="69"/>
      <c r="N396" s="25"/>
      <c r="O396" s="80"/>
      <c r="P396" s="51"/>
    </row>
    <row r="397" spans="1:16" ht="11.25" customHeight="1" x14ac:dyDescent="0.2">
      <c r="A397" s="43" t="s">
        <v>198</v>
      </c>
      <c r="B397" s="53" t="s">
        <v>346</v>
      </c>
      <c r="C397" s="70">
        <f>SUM(C392:C396)</f>
        <v>0</v>
      </c>
      <c r="D397" s="77"/>
      <c r="E397" s="70">
        <f>SUM(E392:E396)</f>
        <v>0</v>
      </c>
      <c r="F397" s="77"/>
      <c r="G397" s="70">
        <f>SUM(G392:G396)</f>
        <v>0</v>
      </c>
      <c r="H397" s="77"/>
      <c r="I397" s="70">
        <f>SUM(I392:I396)</f>
        <v>0</v>
      </c>
      <c r="J397" s="77"/>
      <c r="K397" s="70">
        <f>SUM(K392:K396)</f>
        <v>0</v>
      </c>
      <c r="L397" s="77"/>
      <c r="M397" s="70">
        <f>SUM(M392:M396)</f>
        <v>0</v>
      </c>
      <c r="N397" s="77"/>
      <c r="O397" s="74">
        <f>SUM(O392:O396)</f>
        <v>0</v>
      </c>
      <c r="P397" s="75">
        <f ca="1">SUMIF(B390:N390,"&gt;="&amp;15,C397:O397)</f>
        <v>0</v>
      </c>
    </row>
    <row r="398" spans="1:16" s="45" customFormat="1" x14ac:dyDescent="0.2">
      <c r="A398" s="46"/>
      <c r="C398" s="6"/>
      <c r="D398" s="6"/>
      <c r="E398" s="6"/>
      <c r="F398" s="6"/>
      <c r="G398" s="6"/>
      <c r="H398" s="6"/>
      <c r="I398" s="6"/>
      <c r="J398" s="6"/>
      <c r="K398" s="6"/>
      <c r="L398" s="6"/>
      <c r="M398" s="6"/>
      <c r="N398" s="6"/>
      <c r="O398" s="6"/>
    </row>
    <row r="399" spans="1:16" ht="15" customHeight="1" x14ac:dyDescent="0.2">
      <c r="A399" s="43" t="s">
        <v>199</v>
      </c>
      <c r="B399" s="9">
        <f ca="1">DAY(IF(DAY(JulSun1)=1,JulSun1+29,JulSun1+36))</f>
        <v>4</v>
      </c>
      <c r="C399" s="8"/>
      <c r="D399" s="9">
        <f ca="1">DAY(IF(DAY(JulSun1)=1,JulSun1+30,JulSun1+37))</f>
        <v>5</v>
      </c>
      <c r="E399" s="10"/>
      <c r="F399" s="7">
        <f ca="1">DAY(IF(DAY(JulSun1)=1,JulSun1+31,JulSun1+38))</f>
        <v>6</v>
      </c>
      <c r="G399" s="10"/>
      <c r="H399" s="9">
        <f ca="1">DAY(IF(DAY(JulSun1)=1,JulSun1+32,JulSun1+39))</f>
        <v>7</v>
      </c>
      <c r="I399" s="10"/>
      <c r="J399" s="9">
        <f ca="1">DAY(IF(DAY(JulSun1)=1,JulSun1+33,JulSun1+40))</f>
        <v>8</v>
      </c>
      <c r="K399" s="10"/>
      <c r="L399" s="9">
        <f ca="1">DAY(IF(DAY(JulSun1)=1,JulSun1+34,JulSun1+41))</f>
        <v>9</v>
      </c>
      <c r="M399" s="10"/>
      <c r="N399" s="9">
        <f ca="1">DAY(IF(DAY(JulSun1)=1,JulSun1+35,JulSun1+42))</f>
        <v>10</v>
      </c>
      <c r="O399" s="10"/>
      <c r="P399" s="27"/>
    </row>
    <row r="400" spans="1:16" ht="11.25" customHeight="1" x14ac:dyDescent="0.2">
      <c r="A400" s="43" t="s">
        <v>200</v>
      </c>
      <c r="B400" s="35" t="s">
        <v>345</v>
      </c>
      <c r="C400" s="37" t="s">
        <v>359</v>
      </c>
      <c r="D400" s="35" t="s">
        <v>345</v>
      </c>
      <c r="E400" s="37" t="s">
        <v>359</v>
      </c>
      <c r="F400" s="35" t="s">
        <v>345</v>
      </c>
      <c r="G400" s="37" t="s">
        <v>359</v>
      </c>
      <c r="H400" s="35" t="s">
        <v>345</v>
      </c>
      <c r="I400" s="37" t="s">
        <v>359</v>
      </c>
      <c r="J400" s="35" t="s">
        <v>345</v>
      </c>
      <c r="K400" s="37" t="s">
        <v>359</v>
      </c>
      <c r="L400" s="35" t="s">
        <v>345</v>
      </c>
      <c r="M400" s="37" t="s">
        <v>359</v>
      </c>
      <c r="N400" s="35" t="s">
        <v>345</v>
      </c>
      <c r="O400" s="38" t="s">
        <v>359</v>
      </c>
      <c r="P400" s="51"/>
    </row>
    <row r="401" spans="1:16" ht="11.25" customHeight="1" x14ac:dyDescent="0.2">
      <c r="A401" s="43" t="s">
        <v>201</v>
      </c>
      <c r="B401" s="14"/>
      <c r="C401" s="67"/>
      <c r="D401" s="17"/>
      <c r="E401" s="67"/>
      <c r="F401" s="14"/>
      <c r="G401" s="67"/>
      <c r="H401" s="14"/>
      <c r="I401" s="67"/>
      <c r="J401" s="14"/>
      <c r="K401" s="67"/>
      <c r="L401" s="14"/>
      <c r="M401" s="67"/>
      <c r="N401" s="14"/>
      <c r="O401" s="71"/>
      <c r="P401" s="51"/>
    </row>
    <row r="402" spans="1:16" ht="11.25" customHeight="1" x14ac:dyDescent="0.2">
      <c r="B402" s="15"/>
      <c r="C402" s="68"/>
      <c r="D402" s="15"/>
      <c r="E402" s="68"/>
      <c r="F402" s="15"/>
      <c r="G402" s="68"/>
      <c r="H402" s="15"/>
      <c r="I402" s="68"/>
      <c r="J402" s="15"/>
      <c r="K402" s="68"/>
      <c r="L402" s="15"/>
      <c r="M402" s="68"/>
      <c r="N402" s="15"/>
      <c r="O402" s="72"/>
      <c r="P402" s="51"/>
    </row>
    <row r="403" spans="1:16" ht="11.25" customHeight="1" x14ac:dyDescent="0.2">
      <c r="B403" s="15"/>
      <c r="C403" s="68"/>
      <c r="D403" s="15"/>
      <c r="E403" s="68"/>
      <c r="F403" s="15"/>
      <c r="G403" s="68"/>
      <c r="H403" s="15"/>
      <c r="I403" s="68"/>
      <c r="J403" s="15"/>
      <c r="K403" s="68"/>
      <c r="L403" s="15"/>
      <c r="M403" s="68"/>
      <c r="N403" s="15"/>
      <c r="O403" s="72"/>
      <c r="P403" s="51"/>
    </row>
    <row r="404" spans="1:16" ht="11.25" customHeight="1" x14ac:dyDescent="0.2">
      <c r="B404" s="15"/>
      <c r="C404" s="68"/>
      <c r="D404" s="15"/>
      <c r="E404" s="68"/>
      <c r="F404" s="15"/>
      <c r="G404" s="68"/>
      <c r="H404" s="15"/>
      <c r="I404" s="68"/>
      <c r="J404" s="15"/>
      <c r="K404" s="68"/>
      <c r="L404" s="15"/>
      <c r="M404" s="68"/>
      <c r="N404" s="15"/>
      <c r="O404" s="72"/>
      <c r="P404" s="51"/>
    </row>
    <row r="405" spans="1:16" ht="11.25" customHeight="1" x14ac:dyDescent="0.2">
      <c r="B405" s="16"/>
      <c r="C405" s="69"/>
      <c r="D405" s="16"/>
      <c r="E405" s="69"/>
      <c r="F405" s="16"/>
      <c r="G405" s="69"/>
      <c r="H405" s="16"/>
      <c r="I405" s="69"/>
      <c r="J405" s="16"/>
      <c r="K405" s="69"/>
      <c r="L405" s="16"/>
      <c r="M405" s="69"/>
      <c r="N405" s="16"/>
      <c r="O405" s="73"/>
      <c r="P405" s="51"/>
    </row>
    <row r="406" spans="1:16" ht="11.25" customHeight="1" x14ac:dyDescent="0.2">
      <c r="A406" s="43" t="s">
        <v>202</v>
      </c>
      <c r="B406" s="53" t="s">
        <v>346</v>
      </c>
      <c r="C406" s="70">
        <f>SUM(C401:C405)</f>
        <v>0</v>
      </c>
      <c r="D406" s="77"/>
      <c r="E406" s="70">
        <f>SUM(E401:E405)</f>
        <v>0</v>
      </c>
      <c r="F406" s="77"/>
      <c r="G406" s="70">
        <f>SUM(G401:G405)</f>
        <v>0</v>
      </c>
      <c r="H406" s="77"/>
      <c r="I406" s="70">
        <f>SUM(I401:I405)</f>
        <v>0</v>
      </c>
      <c r="J406" s="77"/>
      <c r="K406" s="70">
        <f>SUM(K401:K405)</f>
        <v>0</v>
      </c>
      <c r="L406" s="77"/>
      <c r="M406" s="70">
        <f>SUM(M401:M405)</f>
        <v>0</v>
      </c>
      <c r="N406" s="77"/>
      <c r="O406" s="74">
        <f>SUM(O401:O405)</f>
        <v>0</v>
      </c>
      <c r="P406" s="75">
        <f ca="1">SUMIF(B399:N399,"&gt;="&amp;15,C406:O406)</f>
        <v>0</v>
      </c>
    </row>
    <row r="407" spans="1:16" s="45" customFormat="1" ht="17.25" customHeight="1" x14ac:dyDescent="0.2">
      <c r="A407" s="46"/>
      <c r="B407" s="49"/>
      <c r="C407" s="50"/>
      <c r="D407" s="49"/>
      <c r="E407" s="50"/>
      <c r="F407" s="49"/>
      <c r="G407" s="50"/>
      <c r="H407" s="49"/>
      <c r="I407" s="50"/>
      <c r="J407" s="49"/>
      <c r="K407" s="50"/>
      <c r="L407" s="49"/>
      <c r="M407" s="50"/>
      <c r="N407" s="49"/>
      <c r="O407" s="50"/>
      <c r="P407" s="49"/>
    </row>
    <row r="408" spans="1:16" ht="12" customHeight="1" x14ac:dyDescent="0.2">
      <c r="A408" s="43" t="s">
        <v>203</v>
      </c>
      <c r="B408" s="97" t="s">
        <v>353</v>
      </c>
      <c r="C408" s="97"/>
      <c r="D408" s="97"/>
      <c r="E408" s="97"/>
      <c r="F408"/>
      <c r="G408" s="4"/>
      <c r="H408"/>
      <c r="I408" s="4"/>
      <c r="J408"/>
      <c r="K408" s="4"/>
      <c r="L408" s="81" t="s">
        <v>369</v>
      </c>
      <c r="M408" s="81"/>
      <c r="N408" s="81" t="s">
        <v>371</v>
      </c>
      <c r="O408" s="81"/>
      <c r="P408"/>
    </row>
    <row r="409" spans="1:16" ht="25.5" customHeight="1" x14ac:dyDescent="0.2">
      <c r="A409" s="43" t="s">
        <v>204</v>
      </c>
      <c r="B409" s="97"/>
      <c r="C409" s="97"/>
      <c r="D409" s="97"/>
      <c r="E409" s="97"/>
      <c r="F409" s="47" t="str">
        <f ca="1">IFERROR(WEEKDAY(DATEVALUE(B408&amp;" 1, "&amp;Year1)),"")</f>
        <v/>
      </c>
      <c r="G409" s="6"/>
      <c r="H409" s="45"/>
      <c r="I409" s="6"/>
      <c r="J409" s="45"/>
      <c r="K409" s="6"/>
      <c r="L409" s="82">
        <f ca="1">SUM(P419,P428,P437,P446,P455,P464)</f>
        <v>0</v>
      </c>
      <c r="M409" s="83"/>
      <c r="N409" s="82">
        <f ca="1">SUM(P:P)</f>
        <v>439.95</v>
      </c>
      <c r="O409" s="84"/>
      <c r="P409"/>
    </row>
    <row r="410" spans="1:16" s="45" customFormat="1" ht="9" customHeight="1" x14ac:dyDescent="0.2">
      <c r="A410" s="46" t="s">
        <v>205</v>
      </c>
      <c r="B410" s="98">
        <v>1</v>
      </c>
      <c r="C410" s="98"/>
      <c r="D410" s="98">
        <v>2</v>
      </c>
      <c r="E410" s="98"/>
      <c r="F410" s="98">
        <v>3</v>
      </c>
      <c r="G410" s="98"/>
      <c r="H410" s="98">
        <v>4</v>
      </c>
      <c r="I410" s="98"/>
      <c r="J410" s="98">
        <v>5</v>
      </c>
      <c r="K410" s="98"/>
      <c r="L410" s="98">
        <v>6</v>
      </c>
      <c r="M410" s="98"/>
      <c r="N410" s="98">
        <v>7</v>
      </c>
      <c r="O410" s="98"/>
      <c r="P410" s="48"/>
    </row>
    <row r="411" spans="1:16" ht="15" customHeight="1" x14ac:dyDescent="0.2">
      <c r="A411" s="43" t="s">
        <v>206</v>
      </c>
      <c r="B411" s="87" t="s">
        <v>372</v>
      </c>
      <c r="C411" s="88"/>
      <c r="D411" s="89" t="s">
        <v>344</v>
      </c>
      <c r="E411" s="90"/>
      <c r="F411" s="91" t="s">
        <v>360</v>
      </c>
      <c r="G411" s="90" t="e">
        <f ca="1">IF(WEEKDAY(DATEVALUE(Month1&amp;" 1, "&amp;Year1))=COLUMN(#REF!),1,IF(LEN(E411)&gt;0,E411+1,""))</f>
        <v>#VALUE!</v>
      </c>
      <c r="H411" s="92" t="s">
        <v>361</v>
      </c>
      <c r="I411" s="92" t="e">
        <f ca="1">IF(WEEKDAY(DATEVALUE(Month1&amp;" 1, "&amp;Year1))=COLUMN(#REF!),1,IF(LEN(G411)&gt;0,G411+1,""))</f>
        <v>#VALUE!</v>
      </c>
      <c r="J411" s="91" t="s">
        <v>364</v>
      </c>
      <c r="K411" s="90" t="e">
        <f ca="1">IF(WEEKDAY(DATEVALUE(Month1&amp;" 1, "&amp;Year1))=COLUMN(#REF!),1,IF(LEN(I411)&gt;0,I411+1,""))</f>
        <v>#VALUE!</v>
      </c>
      <c r="L411" s="93" t="s">
        <v>368</v>
      </c>
      <c r="M411" s="94" t="e">
        <f ca="1">IF(WEEKDAY(DATEVALUE(Month1&amp;" 1, "&amp;Year1))=COLUMN(#REF!),1,IF(LEN(K411)&gt;0,K411+1,""))</f>
        <v>#VALUE!</v>
      </c>
      <c r="N411" s="95" t="s">
        <v>370</v>
      </c>
      <c r="O411" s="96" t="e">
        <f ca="1">IF(WEEKDAY(DATEVALUE(Month1&amp;" 1, "&amp;Year1))=COLUMN(#REF!),1,IF(LEN(M411)&gt;0,M411+1,""))</f>
        <v>#VALUE!</v>
      </c>
      <c r="P411" s="40" t="s">
        <v>373</v>
      </c>
    </row>
    <row r="412" spans="1:16" ht="15" customHeight="1" x14ac:dyDescent="0.2">
      <c r="A412" s="43" t="s">
        <v>207</v>
      </c>
      <c r="B412" s="11">
        <f ca="1">DAY(IF(DAY(AugSun1)=1,AugSun1-6,AugSun1+1))</f>
        <v>28</v>
      </c>
      <c r="C412" s="13"/>
      <c r="D412" s="18">
        <f ca="1">DAY(IF(DAY(AugSun1)=1,AugSun1-5,AugSun1+2))</f>
        <v>29</v>
      </c>
      <c r="E412" s="13"/>
      <c r="F412" s="18">
        <f ca="1">DAY(IF(DAY(AugSun1)=1,AugSun1-4,AugSun1+3))</f>
        <v>30</v>
      </c>
      <c r="G412" s="13"/>
      <c r="H412" s="18">
        <f ca="1">DAY(IF(DAY(AugSun1)=1,AugSun1-3,AugSun1+4))</f>
        <v>31</v>
      </c>
      <c r="I412" s="13"/>
      <c r="J412" s="18">
        <f ca="1">DAY(IF(DAY(AugSun1)=1,AugSun1-2,AugSun1+5))</f>
        <v>1</v>
      </c>
      <c r="K412" s="13"/>
      <c r="L412" s="18">
        <f ca="1">DAY(IF(DAY(AugSun1)=1,AugSun1-1,AugSun1+6))</f>
        <v>2</v>
      </c>
      <c r="M412" s="13"/>
      <c r="N412" s="22">
        <f ca="1">DAY(IF(DAY(AugSun1)=1,AugSun1,AugSun1+7))</f>
        <v>3</v>
      </c>
      <c r="O412" s="12"/>
      <c r="P412" s="51"/>
    </row>
    <row r="413" spans="1:16" ht="11.25" customHeight="1" x14ac:dyDescent="0.2">
      <c r="A413" s="43" t="s">
        <v>208</v>
      </c>
      <c r="B413" s="39" t="s">
        <v>345</v>
      </c>
      <c r="C413" s="34" t="s">
        <v>359</v>
      </c>
      <c r="D413" s="33" t="s">
        <v>345</v>
      </c>
      <c r="E413" s="34" t="s">
        <v>359</v>
      </c>
      <c r="F413" s="33" t="s">
        <v>345</v>
      </c>
      <c r="G413" s="34" t="s">
        <v>359</v>
      </c>
      <c r="H413" s="33" t="s">
        <v>345</v>
      </c>
      <c r="I413" s="34" t="s">
        <v>359</v>
      </c>
      <c r="J413" s="33" t="s">
        <v>345</v>
      </c>
      <c r="K413" s="34" t="s">
        <v>359</v>
      </c>
      <c r="L413" s="33" t="s">
        <v>345</v>
      </c>
      <c r="M413" s="34" t="s">
        <v>359</v>
      </c>
      <c r="N413" s="35" t="s">
        <v>345</v>
      </c>
      <c r="O413" s="36" t="s">
        <v>359</v>
      </c>
      <c r="P413" s="51"/>
    </row>
    <row r="414" spans="1:16" ht="11.25" customHeight="1" x14ac:dyDescent="0.2">
      <c r="A414" s="43" t="s">
        <v>209</v>
      </c>
      <c r="B414" s="14"/>
      <c r="C414" s="67"/>
      <c r="D414" s="17"/>
      <c r="E414" s="67"/>
      <c r="F414" s="14"/>
      <c r="G414" s="67"/>
      <c r="H414" s="14"/>
      <c r="I414" s="67"/>
      <c r="J414" s="14"/>
      <c r="K414" s="67"/>
      <c r="L414" s="14"/>
      <c r="M414" s="67"/>
      <c r="N414" s="14"/>
      <c r="O414" s="71"/>
      <c r="P414" s="51"/>
    </row>
    <row r="415" spans="1:16" ht="11.25" customHeight="1" x14ac:dyDescent="0.2">
      <c r="B415" s="15"/>
      <c r="C415" s="68"/>
      <c r="D415" s="15"/>
      <c r="E415" s="68"/>
      <c r="F415" s="15"/>
      <c r="G415" s="68"/>
      <c r="H415" s="15"/>
      <c r="I415" s="68"/>
      <c r="J415" s="15"/>
      <c r="K415" s="68"/>
      <c r="L415" s="15"/>
      <c r="M415" s="68"/>
      <c r="N415" s="15"/>
      <c r="O415" s="72"/>
      <c r="P415" s="51"/>
    </row>
    <row r="416" spans="1:16" ht="11.25" customHeight="1" x14ac:dyDescent="0.2">
      <c r="B416" s="15"/>
      <c r="C416" s="68"/>
      <c r="D416" s="15"/>
      <c r="E416" s="68"/>
      <c r="F416" s="15"/>
      <c r="G416" s="68"/>
      <c r="H416" s="15"/>
      <c r="I416" s="68"/>
      <c r="J416" s="15"/>
      <c r="K416" s="68"/>
      <c r="L416" s="15"/>
      <c r="M416" s="68"/>
      <c r="N416" s="15"/>
      <c r="O416" s="72"/>
      <c r="P416" s="51"/>
    </row>
    <row r="417" spans="1:16" ht="11.25" customHeight="1" x14ac:dyDescent="0.2">
      <c r="B417" s="15"/>
      <c r="C417" s="68"/>
      <c r="D417" s="15"/>
      <c r="E417" s="68"/>
      <c r="F417" s="15"/>
      <c r="G417" s="68"/>
      <c r="H417" s="15"/>
      <c r="I417" s="68"/>
      <c r="J417" s="15"/>
      <c r="K417" s="68"/>
      <c r="L417" s="15"/>
      <c r="M417" s="68"/>
      <c r="N417" s="15"/>
      <c r="O417" s="72"/>
      <c r="P417" s="51"/>
    </row>
    <row r="418" spans="1:16" ht="11.25" customHeight="1" x14ac:dyDescent="0.2">
      <c r="B418" s="16"/>
      <c r="C418" s="69"/>
      <c r="D418" s="16"/>
      <c r="E418" s="69"/>
      <c r="F418" s="16"/>
      <c r="G418" s="69"/>
      <c r="H418" s="16"/>
      <c r="I418" s="69"/>
      <c r="J418" s="16"/>
      <c r="K418" s="69"/>
      <c r="L418" s="16"/>
      <c r="M418" s="69"/>
      <c r="N418" s="16"/>
      <c r="O418" s="73"/>
      <c r="P418" s="51"/>
    </row>
    <row r="419" spans="1:16" ht="11.25" customHeight="1" x14ac:dyDescent="0.2">
      <c r="A419" s="43" t="s">
        <v>210</v>
      </c>
      <c r="B419" s="53" t="s">
        <v>346</v>
      </c>
      <c r="C419" s="70">
        <f>SUM(C414:C418)</f>
        <v>0</v>
      </c>
      <c r="D419" s="77"/>
      <c r="E419" s="70">
        <f>SUM(E414:E418)</f>
        <v>0</v>
      </c>
      <c r="F419" s="77"/>
      <c r="G419" s="70">
        <f>SUM(G414:G418)</f>
        <v>0</v>
      </c>
      <c r="H419" s="77"/>
      <c r="I419" s="70">
        <f>SUM(I414:I418)</f>
        <v>0</v>
      </c>
      <c r="J419" s="77"/>
      <c r="K419" s="70">
        <f>SUM(K414:K418)</f>
        <v>0</v>
      </c>
      <c r="L419" s="77"/>
      <c r="M419" s="70">
        <f>SUM(M414:M418)</f>
        <v>0</v>
      </c>
      <c r="N419" s="77"/>
      <c r="O419" s="74">
        <f>SUM(O414:O418)</f>
        <v>0</v>
      </c>
      <c r="P419" s="75">
        <f ca="1">SUMIF(B412:N412,"&lt;8",C419:O419)</f>
        <v>0</v>
      </c>
    </row>
    <row r="420" spans="1:16" s="45" customFormat="1" x14ac:dyDescent="0.2">
      <c r="A420" s="46"/>
      <c r="C420" s="6"/>
      <c r="D420" s="6"/>
      <c r="E420" s="6"/>
      <c r="F420" s="6"/>
      <c r="G420" s="6"/>
      <c r="H420" s="6"/>
      <c r="I420" s="6"/>
      <c r="J420" s="6"/>
      <c r="K420" s="6"/>
      <c r="L420" s="6"/>
      <c r="M420" s="6"/>
      <c r="N420" s="6"/>
      <c r="O420" s="6"/>
    </row>
    <row r="421" spans="1:16" ht="15" customHeight="1" x14ac:dyDescent="0.2">
      <c r="A421" s="43" t="s">
        <v>211</v>
      </c>
      <c r="B421" s="9">
        <f ca="1">N412+1</f>
        <v>4</v>
      </c>
      <c r="C421" s="10"/>
      <c r="D421" s="9">
        <f ca="1">B421+1</f>
        <v>5</v>
      </c>
      <c r="E421" s="10"/>
      <c r="F421" s="9">
        <f ca="1">D421+1</f>
        <v>6</v>
      </c>
      <c r="G421" s="10"/>
      <c r="H421" s="9">
        <f ca="1">F421+1</f>
        <v>7</v>
      </c>
      <c r="I421" s="10"/>
      <c r="J421" s="9">
        <f ca="1">H421+1</f>
        <v>8</v>
      </c>
      <c r="K421" s="10"/>
      <c r="L421" s="9">
        <f ca="1">J421+1</f>
        <v>9</v>
      </c>
      <c r="M421" s="10"/>
      <c r="N421" s="9">
        <f ca="1">L421+1</f>
        <v>10</v>
      </c>
      <c r="O421" s="10"/>
      <c r="P421" s="27"/>
    </row>
    <row r="422" spans="1:16" ht="11.25" customHeight="1" x14ac:dyDescent="0.2">
      <c r="A422" s="43" t="s">
        <v>212</v>
      </c>
      <c r="B422" s="35" t="s">
        <v>345</v>
      </c>
      <c r="C422" s="37" t="s">
        <v>359</v>
      </c>
      <c r="D422" s="35" t="s">
        <v>345</v>
      </c>
      <c r="E422" s="37" t="s">
        <v>359</v>
      </c>
      <c r="F422" s="35" t="s">
        <v>345</v>
      </c>
      <c r="G422" s="37" t="s">
        <v>359</v>
      </c>
      <c r="H422" s="35" t="s">
        <v>345</v>
      </c>
      <c r="I422" s="37" t="s">
        <v>359</v>
      </c>
      <c r="J422" s="35" t="s">
        <v>345</v>
      </c>
      <c r="K422" s="37" t="s">
        <v>359</v>
      </c>
      <c r="L422" s="35" t="s">
        <v>345</v>
      </c>
      <c r="M422" s="37" t="s">
        <v>359</v>
      </c>
      <c r="N422" s="35" t="s">
        <v>345</v>
      </c>
      <c r="O422" s="38" t="s">
        <v>359</v>
      </c>
      <c r="P422" s="51"/>
    </row>
    <row r="423" spans="1:16" ht="11.25" customHeight="1" x14ac:dyDescent="0.2">
      <c r="A423" s="43" t="s">
        <v>213</v>
      </c>
      <c r="B423" s="19"/>
      <c r="C423" s="67"/>
      <c r="D423" s="19"/>
      <c r="E423" s="67"/>
      <c r="F423" s="19"/>
      <c r="G423" s="67"/>
      <c r="H423" s="19"/>
      <c r="I423" s="67"/>
      <c r="J423" s="19"/>
      <c r="K423" s="67"/>
      <c r="L423" s="19"/>
      <c r="M423" s="67"/>
      <c r="N423" s="19"/>
      <c r="O423" s="71"/>
      <c r="P423" s="51"/>
    </row>
    <row r="424" spans="1:16" ht="11.25" customHeight="1" x14ac:dyDescent="0.2">
      <c r="B424" s="20"/>
      <c r="C424" s="68"/>
      <c r="D424" s="20"/>
      <c r="E424" s="68"/>
      <c r="F424" s="20"/>
      <c r="G424" s="68"/>
      <c r="H424" s="20"/>
      <c r="I424" s="68"/>
      <c r="J424" s="20"/>
      <c r="K424" s="68"/>
      <c r="L424" s="20"/>
      <c r="M424" s="68"/>
      <c r="N424" s="20"/>
      <c r="O424" s="72"/>
      <c r="P424" s="51"/>
    </row>
    <row r="425" spans="1:16" ht="11.25" customHeight="1" x14ac:dyDescent="0.2">
      <c r="B425" s="20"/>
      <c r="C425" s="68"/>
      <c r="D425" s="20"/>
      <c r="E425" s="68"/>
      <c r="F425" s="20"/>
      <c r="G425" s="68"/>
      <c r="H425" s="20"/>
      <c r="I425" s="68"/>
      <c r="J425" s="20"/>
      <c r="K425" s="68"/>
      <c r="L425" s="20"/>
      <c r="M425" s="68"/>
      <c r="N425" s="20"/>
      <c r="O425" s="72"/>
      <c r="P425" s="51"/>
    </row>
    <row r="426" spans="1:16" ht="11.25" customHeight="1" x14ac:dyDescent="0.2">
      <c r="B426" s="20"/>
      <c r="C426" s="68"/>
      <c r="D426" s="20"/>
      <c r="E426" s="68"/>
      <c r="F426" s="20"/>
      <c r="G426" s="68"/>
      <c r="H426" s="20"/>
      <c r="I426" s="68"/>
      <c r="J426" s="20"/>
      <c r="K426" s="68"/>
      <c r="L426" s="20"/>
      <c r="M426" s="68"/>
      <c r="N426" s="20"/>
      <c r="O426" s="72"/>
      <c r="P426" s="51"/>
    </row>
    <row r="427" spans="1:16" ht="11.25" customHeight="1" x14ac:dyDescent="0.2">
      <c r="B427" s="21"/>
      <c r="C427" s="69"/>
      <c r="D427" s="21"/>
      <c r="E427" s="69"/>
      <c r="F427" s="21"/>
      <c r="G427" s="69"/>
      <c r="H427" s="21"/>
      <c r="I427" s="69"/>
      <c r="J427" s="21"/>
      <c r="K427" s="69"/>
      <c r="L427" s="21"/>
      <c r="M427" s="69"/>
      <c r="N427" s="21"/>
      <c r="O427" s="73"/>
      <c r="P427" s="51"/>
    </row>
    <row r="428" spans="1:16" ht="11.25" customHeight="1" x14ac:dyDescent="0.2">
      <c r="A428" s="43" t="s">
        <v>214</v>
      </c>
      <c r="B428" s="53" t="s">
        <v>346</v>
      </c>
      <c r="C428" s="70">
        <f>SUM(C423:C427)</f>
        <v>0</v>
      </c>
      <c r="D428" s="77"/>
      <c r="E428" s="70">
        <f>SUM(E423:E427)</f>
        <v>0</v>
      </c>
      <c r="F428" s="77"/>
      <c r="G428" s="70">
        <f>SUM(G423:G427)</f>
        <v>0</v>
      </c>
      <c r="H428" s="77"/>
      <c r="I428" s="70">
        <f>SUM(I423:I427)</f>
        <v>0</v>
      </c>
      <c r="J428" s="77"/>
      <c r="K428" s="70">
        <f>SUM(K423:K427)</f>
        <v>0</v>
      </c>
      <c r="L428" s="77"/>
      <c r="M428" s="70">
        <f>SUM(M423:M427)</f>
        <v>0</v>
      </c>
      <c r="N428" s="77"/>
      <c r="O428" s="74">
        <f>SUM(O423:O427)</f>
        <v>0</v>
      </c>
      <c r="P428" s="75">
        <f>SUM(C428,E428,G428,I428,K428,M428,O428)</f>
        <v>0</v>
      </c>
    </row>
    <row r="429" spans="1:16" s="45" customFormat="1" x14ac:dyDescent="0.2">
      <c r="A429" s="46"/>
      <c r="C429" s="6"/>
      <c r="D429" s="6"/>
      <c r="E429" s="6"/>
      <c r="F429" s="6"/>
      <c r="G429" s="6"/>
      <c r="H429" s="6"/>
      <c r="I429" s="6"/>
      <c r="J429" s="6"/>
      <c r="K429" s="6"/>
      <c r="L429" s="6"/>
      <c r="M429" s="6"/>
      <c r="N429" s="6"/>
      <c r="O429" s="6"/>
    </row>
    <row r="430" spans="1:16" ht="15" customHeight="1" x14ac:dyDescent="0.2">
      <c r="A430" s="43" t="s">
        <v>215</v>
      </c>
      <c r="B430" s="9">
        <f ca="1">N421+1</f>
        <v>11</v>
      </c>
      <c r="C430" s="10"/>
      <c r="D430" s="9">
        <f ca="1">B430+1</f>
        <v>12</v>
      </c>
      <c r="E430" s="10"/>
      <c r="F430" s="9">
        <f ca="1">D430+1</f>
        <v>13</v>
      </c>
      <c r="G430" s="10"/>
      <c r="H430" s="9">
        <f ca="1">F430+1</f>
        <v>14</v>
      </c>
      <c r="I430" s="10"/>
      <c r="J430" s="9">
        <f ca="1">H430+1</f>
        <v>15</v>
      </c>
      <c r="K430" s="10"/>
      <c r="L430" s="9">
        <f ca="1">J430+1</f>
        <v>16</v>
      </c>
      <c r="M430" s="10"/>
      <c r="N430" s="9">
        <f ca="1">L430+1</f>
        <v>17</v>
      </c>
      <c r="O430" s="10"/>
      <c r="P430" s="27"/>
    </row>
    <row r="431" spans="1:16" ht="11.25" customHeight="1" x14ac:dyDescent="0.2">
      <c r="A431" s="43" t="s">
        <v>216</v>
      </c>
      <c r="B431" s="35" t="s">
        <v>345</v>
      </c>
      <c r="C431" s="37" t="s">
        <v>359</v>
      </c>
      <c r="D431" s="35" t="s">
        <v>345</v>
      </c>
      <c r="E431" s="37" t="s">
        <v>359</v>
      </c>
      <c r="F431" s="35" t="s">
        <v>345</v>
      </c>
      <c r="G431" s="37" t="s">
        <v>359</v>
      </c>
      <c r="H431" s="35" t="s">
        <v>345</v>
      </c>
      <c r="I431" s="37" t="s">
        <v>359</v>
      </c>
      <c r="J431" s="35" t="s">
        <v>345</v>
      </c>
      <c r="K431" s="37" t="s">
        <v>359</v>
      </c>
      <c r="L431" s="35" t="s">
        <v>345</v>
      </c>
      <c r="M431" s="37" t="s">
        <v>359</v>
      </c>
      <c r="N431" s="35" t="s">
        <v>345</v>
      </c>
      <c r="O431" s="38" t="s">
        <v>359</v>
      </c>
      <c r="P431" s="51"/>
    </row>
    <row r="432" spans="1:16" ht="11.25" customHeight="1" x14ac:dyDescent="0.2">
      <c r="A432" s="43" t="s">
        <v>217</v>
      </c>
      <c r="B432" s="19"/>
      <c r="C432" s="67"/>
      <c r="D432" s="19"/>
      <c r="E432" s="67"/>
      <c r="F432" s="19"/>
      <c r="G432" s="67"/>
      <c r="H432" s="19"/>
      <c r="I432" s="67"/>
      <c r="J432" s="19"/>
      <c r="K432" s="67"/>
      <c r="L432" s="19"/>
      <c r="M432" s="67"/>
      <c r="N432" s="19"/>
      <c r="O432" s="71"/>
      <c r="P432" s="51"/>
    </row>
    <row r="433" spans="1:16" ht="11.25" customHeight="1" x14ac:dyDescent="0.2">
      <c r="B433" s="20"/>
      <c r="C433" s="68"/>
      <c r="D433" s="20"/>
      <c r="E433" s="68"/>
      <c r="F433" s="20"/>
      <c r="G433" s="68"/>
      <c r="H433" s="20"/>
      <c r="I433" s="68"/>
      <c r="J433" s="20"/>
      <c r="K433" s="68"/>
      <c r="L433" s="20"/>
      <c r="M433" s="68"/>
      <c r="N433" s="20"/>
      <c r="O433" s="72"/>
      <c r="P433" s="51"/>
    </row>
    <row r="434" spans="1:16" ht="11.25" customHeight="1" x14ac:dyDescent="0.2">
      <c r="B434" s="20"/>
      <c r="C434" s="68"/>
      <c r="D434" s="20"/>
      <c r="E434" s="68"/>
      <c r="F434" s="20"/>
      <c r="G434" s="68"/>
      <c r="H434" s="20"/>
      <c r="I434" s="68"/>
      <c r="J434" s="20"/>
      <c r="K434" s="68"/>
      <c r="L434" s="20"/>
      <c r="M434" s="68"/>
      <c r="N434" s="20"/>
      <c r="O434" s="72"/>
      <c r="P434" s="51"/>
    </row>
    <row r="435" spans="1:16" ht="11.25" customHeight="1" x14ac:dyDescent="0.2">
      <c r="B435" s="20"/>
      <c r="C435" s="68"/>
      <c r="D435" s="20"/>
      <c r="E435" s="68"/>
      <c r="F435" s="20"/>
      <c r="G435" s="68"/>
      <c r="H435" s="20"/>
      <c r="I435" s="68"/>
      <c r="J435" s="20"/>
      <c r="K435" s="68"/>
      <c r="L435" s="20"/>
      <c r="M435" s="68"/>
      <c r="N435" s="20"/>
      <c r="O435" s="72"/>
      <c r="P435" s="51"/>
    </row>
    <row r="436" spans="1:16" ht="11.25" customHeight="1" x14ac:dyDescent="0.2">
      <c r="B436" s="21"/>
      <c r="C436" s="69"/>
      <c r="D436" s="21"/>
      <c r="E436" s="69"/>
      <c r="F436" s="21"/>
      <c r="G436" s="69"/>
      <c r="H436" s="21"/>
      <c r="I436" s="69"/>
      <c r="J436" s="21"/>
      <c r="K436" s="69"/>
      <c r="L436" s="21"/>
      <c r="M436" s="69"/>
      <c r="N436" s="21"/>
      <c r="O436" s="73"/>
      <c r="P436" s="51"/>
    </row>
    <row r="437" spans="1:16" ht="11.25" customHeight="1" x14ac:dyDescent="0.2">
      <c r="A437" s="43" t="s">
        <v>218</v>
      </c>
      <c r="B437" s="54" t="s">
        <v>346</v>
      </c>
      <c r="C437" s="70">
        <f>SUM(C432:C436)</f>
        <v>0</v>
      </c>
      <c r="D437" s="77"/>
      <c r="E437" s="70">
        <f>SUM(E432:E436)</f>
        <v>0</v>
      </c>
      <c r="F437" s="77"/>
      <c r="G437" s="70">
        <f>SUM(G432:G436)</f>
        <v>0</v>
      </c>
      <c r="H437" s="77"/>
      <c r="I437" s="70">
        <f>SUM(I432:I436)</f>
        <v>0</v>
      </c>
      <c r="J437" s="77"/>
      <c r="K437" s="70">
        <f>SUM(K432:K436)</f>
        <v>0</v>
      </c>
      <c r="L437" s="77"/>
      <c r="M437" s="70">
        <f>SUM(M432:M436)</f>
        <v>0</v>
      </c>
      <c r="N437" s="77"/>
      <c r="O437" s="74">
        <f>SUM(O432:O436)</f>
        <v>0</v>
      </c>
      <c r="P437" s="75">
        <f>SUM(C437,E437,G437,I437,K437,M437,O437)</f>
        <v>0</v>
      </c>
    </row>
    <row r="438" spans="1:16" s="45" customFormat="1" x14ac:dyDescent="0.2">
      <c r="A438" s="46"/>
      <c r="C438" s="6"/>
      <c r="D438" s="6"/>
      <c r="E438" s="6"/>
      <c r="F438" s="6"/>
      <c r="G438" s="6"/>
      <c r="H438" s="6"/>
      <c r="I438" s="6"/>
      <c r="J438" s="6"/>
      <c r="K438" s="6"/>
      <c r="L438" s="6"/>
      <c r="M438" s="6"/>
      <c r="N438" s="6"/>
      <c r="O438" s="6"/>
    </row>
    <row r="439" spans="1:16" ht="15" customHeight="1" x14ac:dyDescent="0.2">
      <c r="A439" s="43" t="s">
        <v>219</v>
      </c>
      <c r="B439" s="9">
        <f ca="1">N430+1</f>
        <v>18</v>
      </c>
      <c r="C439" s="10"/>
      <c r="D439" s="9">
        <f ca="1">B439+1</f>
        <v>19</v>
      </c>
      <c r="E439" s="10"/>
      <c r="F439" s="9">
        <f ca="1">D439+1</f>
        <v>20</v>
      </c>
      <c r="G439" s="10"/>
      <c r="H439" s="9">
        <f ca="1">F439+1</f>
        <v>21</v>
      </c>
      <c r="I439" s="10"/>
      <c r="J439" s="9">
        <f ca="1">H439+1</f>
        <v>22</v>
      </c>
      <c r="K439" s="10"/>
      <c r="L439" s="9">
        <f ca="1">J439+1</f>
        <v>23</v>
      </c>
      <c r="M439" s="10"/>
      <c r="N439" s="9">
        <f ca="1">L439+1</f>
        <v>24</v>
      </c>
      <c r="O439" s="10"/>
      <c r="P439" s="27"/>
    </row>
    <row r="440" spans="1:16" ht="11.25" customHeight="1" x14ac:dyDescent="0.2">
      <c r="A440" s="43" t="s">
        <v>220</v>
      </c>
      <c r="B440" s="35" t="s">
        <v>345</v>
      </c>
      <c r="C440" s="37" t="s">
        <v>359</v>
      </c>
      <c r="D440" s="35" t="s">
        <v>345</v>
      </c>
      <c r="E440" s="37" t="s">
        <v>359</v>
      </c>
      <c r="F440" s="35" t="s">
        <v>345</v>
      </c>
      <c r="G440" s="37" t="s">
        <v>359</v>
      </c>
      <c r="H440" s="35" t="s">
        <v>345</v>
      </c>
      <c r="I440" s="37" t="s">
        <v>359</v>
      </c>
      <c r="J440" s="35" t="s">
        <v>345</v>
      </c>
      <c r="K440" s="37" t="s">
        <v>359</v>
      </c>
      <c r="L440" s="35" t="s">
        <v>345</v>
      </c>
      <c r="M440" s="37" t="s">
        <v>359</v>
      </c>
      <c r="N440" s="35" t="s">
        <v>345</v>
      </c>
      <c r="O440" s="38" t="s">
        <v>359</v>
      </c>
      <c r="P440" s="51"/>
    </row>
    <row r="441" spans="1:16" ht="11.25" customHeight="1" x14ac:dyDescent="0.2">
      <c r="A441" s="43" t="s">
        <v>221</v>
      </c>
      <c r="B441" s="19"/>
      <c r="C441" s="67"/>
      <c r="D441" s="19"/>
      <c r="E441" s="67"/>
      <c r="F441" s="19"/>
      <c r="G441" s="67"/>
      <c r="H441" s="19"/>
      <c r="I441" s="67"/>
      <c r="J441" s="19"/>
      <c r="K441" s="67"/>
      <c r="L441" s="19"/>
      <c r="M441" s="67"/>
      <c r="N441" s="19"/>
      <c r="O441" s="71"/>
      <c r="P441" s="51"/>
    </row>
    <row r="442" spans="1:16" ht="11.25" customHeight="1" x14ac:dyDescent="0.2">
      <c r="B442" s="20"/>
      <c r="C442" s="68"/>
      <c r="D442" s="20"/>
      <c r="E442" s="68"/>
      <c r="F442" s="20"/>
      <c r="G442" s="68"/>
      <c r="H442" s="20"/>
      <c r="I442" s="68"/>
      <c r="J442" s="20"/>
      <c r="K442" s="68"/>
      <c r="L442" s="20"/>
      <c r="M442" s="68"/>
      <c r="N442" s="20"/>
      <c r="O442" s="72"/>
      <c r="P442" s="51"/>
    </row>
    <row r="443" spans="1:16" ht="11.25" customHeight="1" x14ac:dyDescent="0.2">
      <c r="B443" s="20"/>
      <c r="C443" s="68"/>
      <c r="D443" s="20"/>
      <c r="E443" s="68"/>
      <c r="F443" s="20"/>
      <c r="G443" s="68"/>
      <c r="H443" s="20"/>
      <c r="I443" s="68"/>
      <c r="J443" s="20"/>
      <c r="K443" s="68"/>
      <c r="L443" s="20"/>
      <c r="M443" s="68"/>
      <c r="N443" s="20"/>
      <c r="O443" s="72"/>
      <c r="P443" s="51"/>
    </row>
    <row r="444" spans="1:16" ht="11.25" customHeight="1" x14ac:dyDescent="0.2">
      <c r="B444" s="20"/>
      <c r="C444" s="68"/>
      <c r="D444" s="20"/>
      <c r="E444" s="68"/>
      <c r="F444" s="20"/>
      <c r="G444" s="68"/>
      <c r="H444" s="20"/>
      <c r="I444" s="68"/>
      <c r="J444" s="20"/>
      <c r="K444" s="68"/>
      <c r="L444" s="20"/>
      <c r="M444" s="68"/>
      <c r="N444" s="20"/>
      <c r="O444" s="72"/>
      <c r="P444" s="51"/>
    </row>
    <row r="445" spans="1:16" ht="11.25" customHeight="1" x14ac:dyDescent="0.2">
      <c r="B445" s="21"/>
      <c r="C445" s="69"/>
      <c r="D445" s="21"/>
      <c r="E445" s="69"/>
      <c r="F445" s="21"/>
      <c r="G445" s="69"/>
      <c r="H445" s="21"/>
      <c r="I445" s="69"/>
      <c r="J445" s="21"/>
      <c r="K445" s="69"/>
      <c r="L445" s="21"/>
      <c r="M445" s="69"/>
      <c r="N445" s="21"/>
      <c r="O445" s="73"/>
      <c r="P445" s="51"/>
    </row>
    <row r="446" spans="1:16" ht="11.25" customHeight="1" x14ac:dyDescent="0.2">
      <c r="A446" s="43" t="s">
        <v>222</v>
      </c>
      <c r="B446" s="53" t="s">
        <v>346</v>
      </c>
      <c r="C446" s="70">
        <f>SUM(C441:C445)</f>
        <v>0</v>
      </c>
      <c r="D446" s="77"/>
      <c r="E446" s="70">
        <f>SUM(E441:E445)</f>
        <v>0</v>
      </c>
      <c r="F446" s="77"/>
      <c r="G446" s="70">
        <f>SUM(G441:G445)</f>
        <v>0</v>
      </c>
      <c r="H446" s="77"/>
      <c r="I446" s="70">
        <f>SUM(I441:I445)</f>
        <v>0</v>
      </c>
      <c r="J446" s="77"/>
      <c r="K446" s="70">
        <f>SUM(K441:K445)</f>
        <v>0</v>
      </c>
      <c r="L446" s="77"/>
      <c r="M446" s="70">
        <f>SUM(M441:M445)</f>
        <v>0</v>
      </c>
      <c r="N446" s="77"/>
      <c r="O446" s="74">
        <f>SUM(O441:O445)</f>
        <v>0</v>
      </c>
      <c r="P446" s="75">
        <f>SUM(C446,E446,G446,I446,K446,M446,O446)</f>
        <v>0</v>
      </c>
    </row>
    <row r="447" spans="1:16" s="45" customFormat="1" x14ac:dyDescent="0.2">
      <c r="A447" s="46"/>
      <c r="C447" s="6"/>
      <c r="D447" s="6"/>
      <c r="E447" s="6"/>
      <c r="F447" s="6"/>
      <c r="G447" s="6"/>
      <c r="H447" s="6"/>
      <c r="I447" s="6"/>
      <c r="J447" s="6"/>
      <c r="K447" s="6"/>
      <c r="L447" s="6"/>
      <c r="M447" s="6"/>
      <c r="N447" s="6"/>
      <c r="O447" s="6"/>
    </row>
    <row r="448" spans="1:16" ht="15" customHeight="1" x14ac:dyDescent="0.2">
      <c r="A448" s="43" t="s">
        <v>223</v>
      </c>
      <c r="B448" s="9">
        <f ca="1">DAY(IF(DAY(AugSun1)=1,AugSun1+22,AugSun1+29))</f>
        <v>25</v>
      </c>
      <c r="C448" s="10"/>
      <c r="D448" s="9">
        <f ca="1">DAY(IF(DAY(AugSun1)=1,AugSun1+23,AugSun1+30))</f>
        <v>26</v>
      </c>
      <c r="E448" s="10"/>
      <c r="F448" s="9">
        <f ca="1">DAY(IF(DAY(AugSun1)=1,AugSun1+24,AugSun1+31))</f>
        <v>27</v>
      </c>
      <c r="G448" s="10"/>
      <c r="H448" s="9">
        <f ca="1">DAY(IF(DAY(AugSun1)=1,AugSun1+25,AugSun1+32))</f>
        <v>28</v>
      </c>
      <c r="I448" s="10"/>
      <c r="J448" s="9">
        <f ca="1">DAY(IF(DAY(AugSun1)=1,AugSun1+26,AugSun1+33))</f>
        <v>29</v>
      </c>
      <c r="K448" s="10"/>
      <c r="L448" s="9">
        <f ca="1">DAY(IF(DAY(AugSun1)=1,AugSun1+27,AugSun1+34))</f>
        <v>30</v>
      </c>
      <c r="M448" s="10"/>
      <c r="N448" s="9">
        <f ca="1">DAY(IF(DAY(AugSun1)=1,AugSun1+28,AugSun1+35))</f>
        <v>31</v>
      </c>
      <c r="O448" s="10"/>
      <c r="P448" s="27"/>
    </row>
    <row r="449" spans="1:16" ht="11.25" customHeight="1" x14ac:dyDescent="0.2">
      <c r="A449" s="43" t="s">
        <v>224</v>
      </c>
      <c r="B449" s="35" t="s">
        <v>345</v>
      </c>
      <c r="C449" s="37" t="s">
        <v>359</v>
      </c>
      <c r="D449" s="35" t="s">
        <v>345</v>
      </c>
      <c r="E449" s="37" t="s">
        <v>359</v>
      </c>
      <c r="F449" s="35" t="s">
        <v>345</v>
      </c>
      <c r="G449" s="37" t="s">
        <v>359</v>
      </c>
      <c r="H449" s="35" t="s">
        <v>345</v>
      </c>
      <c r="I449" s="37" t="s">
        <v>359</v>
      </c>
      <c r="J449" s="35" t="s">
        <v>345</v>
      </c>
      <c r="K449" s="37" t="s">
        <v>359</v>
      </c>
      <c r="L449" s="35" t="s">
        <v>345</v>
      </c>
      <c r="M449" s="37" t="s">
        <v>359</v>
      </c>
      <c r="N449" s="35" t="s">
        <v>345</v>
      </c>
      <c r="O449" s="38" t="s">
        <v>359</v>
      </c>
      <c r="P449" s="51"/>
    </row>
    <row r="450" spans="1:16" ht="11.25" customHeight="1" x14ac:dyDescent="0.2">
      <c r="A450" s="43" t="s">
        <v>225</v>
      </c>
      <c r="B450" s="14"/>
      <c r="C450" s="67"/>
      <c r="D450" s="17"/>
      <c r="E450" s="67"/>
      <c r="F450" s="14"/>
      <c r="G450" s="67"/>
      <c r="H450" s="14"/>
      <c r="I450" s="67"/>
      <c r="J450" s="14"/>
      <c r="K450" s="67"/>
      <c r="L450" s="14"/>
      <c r="M450" s="67"/>
      <c r="N450" s="23"/>
      <c r="O450" s="78"/>
      <c r="P450" s="51"/>
    </row>
    <row r="451" spans="1:16" ht="11.25" customHeight="1" x14ac:dyDescent="0.2">
      <c r="B451" s="15"/>
      <c r="C451" s="68"/>
      <c r="D451" s="15"/>
      <c r="E451" s="68"/>
      <c r="F451" s="15"/>
      <c r="G451" s="68"/>
      <c r="H451" s="15"/>
      <c r="I451" s="68"/>
      <c r="J451" s="15"/>
      <c r="K451" s="68"/>
      <c r="L451" s="15"/>
      <c r="M451" s="68"/>
      <c r="N451" s="24"/>
      <c r="O451" s="79"/>
      <c r="P451" s="51"/>
    </row>
    <row r="452" spans="1:16" ht="11.25" customHeight="1" x14ac:dyDescent="0.2">
      <c r="B452" s="15"/>
      <c r="C452" s="68"/>
      <c r="D452" s="15"/>
      <c r="E452" s="68"/>
      <c r="F452" s="15"/>
      <c r="G452" s="68"/>
      <c r="H452" s="15"/>
      <c r="I452" s="68"/>
      <c r="J452" s="15"/>
      <c r="K452" s="68"/>
      <c r="L452" s="15"/>
      <c r="M452" s="68"/>
      <c r="N452" s="24"/>
      <c r="O452" s="79"/>
      <c r="P452" s="51"/>
    </row>
    <row r="453" spans="1:16" ht="11.25" customHeight="1" x14ac:dyDescent="0.2">
      <c r="B453" s="15"/>
      <c r="C453" s="68"/>
      <c r="D453" s="15"/>
      <c r="E453" s="68"/>
      <c r="F453" s="15"/>
      <c r="G453" s="68"/>
      <c r="H453" s="15"/>
      <c r="I453" s="68"/>
      <c r="J453" s="15"/>
      <c r="K453" s="68"/>
      <c r="L453" s="15"/>
      <c r="M453" s="68"/>
      <c r="N453" s="24"/>
      <c r="O453" s="79"/>
      <c r="P453" s="51"/>
    </row>
    <row r="454" spans="1:16" ht="11.25" customHeight="1" x14ac:dyDescent="0.2">
      <c r="B454" s="16"/>
      <c r="C454" s="69"/>
      <c r="D454" s="16"/>
      <c r="E454" s="69"/>
      <c r="F454" s="16"/>
      <c r="G454" s="69"/>
      <c r="H454" s="16"/>
      <c r="I454" s="69"/>
      <c r="J454" s="16"/>
      <c r="K454" s="69"/>
      <c r="L454" s="16"/>
      <c r="M454" s="69"/>
      <c r="N454" s="25"/>
      <c r="O454" s="80"/>
      <c r="P454" s="51"/>
    </row>
    <row r="455" spans="1:16" ht="11.25" customHeight="1" x14ac:dyDescent="0.2">
      <c r="A455" s="43" t="s">
        <v>226</v>
      </c>
      <c r="B455" s="53" t="s">
        <v>346</v>
      </c>
      <c r="C455" s="70">
        <f>SUM(C450:C454)</f>
        <v>0</v>
      </c>
      <c r="D455" s="77"/>
      <c r="E455" s="70">
        <f>SUM(E450:E454)</f>
        <v>0</v>
      </c>
      <c r="F455" s="77"/>
      <c r="G455" s="70">
        <f>SUM(G450:G454)</f>
        <v>0</v>
      </c>
      <c r="H455" s="77"/>
      <c r="I455" s="70">
        <f>SUM(I450:I454)</f>
        <v>0</v>
      </c>
      <c r="J455" s="77"/>
      <c r="K455" s="70">
        <f>SUM(K450:K454)</f>
        <v>0</v>
      </c>
      <c r="L455" s="77"/>
      <c r="M455" s="70">
        <f>SUM(M450:M454)</f>
        <v>0</v>
      </c>
      <c r="N455" s="77"/>
      <c r="O455" s="74">
        <f>SUM(O450:O454)</f>
        <v>0</v>
      </c>
      <c r="P455" s="75">
        <f ca="1">SUMIF(B448:N448,"&gt;="&amp;15,C455:O455)</f>
        <v>0</v>
      </c>
    </row>
    <row r="456" spans="1:16" s="45" customFormat="1" x14ac:dyDescent="0.2">
      <c r="A456" s="46"/>
      <c r="C456" s="6"/>
      <c r="D456" s="6"/>
      <c r="E456" s="6"/>
      <c r="F456" s="6"/>
      <c r="G456" s="6"/>
      <c r="H456" s="6"/>
      <c r="I456" s="6"/>
      <c r="J456" s="6"/>
      <c r="K456" s="6"/>
      <c r="L456" s="6"/>
      <c r="M456" s="6"/>
      <c r="N456" s="6"/>
      <c r="O456" s="6"/>
    </row>
    <row r="457" spans="1:16" ht="15" customHeight="1" x14ac:dyDescent="0.2">
      <c r="A457" s="43" t="s">
        <v>227</v>
      </c>
      <c r="B457" s="9">
        <f ca="1">DAY(IF(DAY(AugSun1)=1,AugSun1+29,AugSun1+36))</f>
        <v>1</v>
      </c>
      <c r="C457" s="8"/>
      <c r="D457" s="9">
        <f ca="1">DAY(IF(DAY(AugSun1)=1,AugSun1+30,AugSun1+37))</f>
        <v>2</v>
      </c>
      <c r="E457" s="10"/>
      <c r="F457" s="7">
        <f ca="1">DAY(IF(DAY(AugSun1)=1,AugSun1+31,AugSun1+38))</f>
        <v>3</v>
      </c>
      <c r="G457" s="10"/>
      <c r="H457" s="9">
        <f ca="1">DAY(IF(DAY(AugSun1)=1,AugSun1+32,AugSun1+39))</f>
        <v>4</v>
      </c>
      <c r="I457" s="10"/>
      <c r="J457" s="9">
        <f ca="1">DAY(IF(DAY(AugSun1)=1,AugSun1+33,AugSun1+40))</f>
        <v>5</v>
      </c>
      <c r="K457" s="10"/>
      <c r="L457" s="9">
        <f ca="1">DAY(IF(DAY(AugSun1)=1,AugSun1+34,AugSun1+41))</f>
        <v>6</v>
      </c>
      <c r="M457" s="10"/>
      <c r="N457" s="9">
        <f ca="1">DAY(IF(DAY(AugSun1)=1,AugSun1+35,AugSun1+42))</f>
        <v>7</v>
      </c>
      <c r="O457" s="10"/>
      <c r="P457" s="27"/>
    </row>
    <row r="458" spans="1:16" ht="11.25" customHeight="1" x14ac:dyDescent="0.2">
      <c r="A458" s="43" t="s">
        <v>228</v>
      </c>
      <c r="B458" s="35" t="s">
        <v>345</v>
      </c>
      <c r="C458" s="37" t="s">
        <v>359</v>
      </c>
      <c r="D458" s="35" t="s">
        <v>345</v>
      </c>
      <c r="E458" s="37" t="s">
        <v>359</v>
      </c>
      <c r="F458" s="35" t="s">
        <v>345</v>
      </c>
      <c r="G458" s="37" t="s">
        <v>359</v>
      </c>
      <c r="H458" s="35" t="s">
        <v>345</v>
      </c>
      <c r="I458" s="37" t="s">
        <v>359</v>
      </c>
      <c r="J458" s="35" t="s">
        <v>345</v>
      </c>
      <c r="K458" s="37" t="s">
        <v>359</v>
      </c>
      <c r="L458" s="35" t="s">
        <v>345</v>
      </c>
      <c r="M458" s="37" t="s">
        <v>359</v>
      </c>
      <c r="N458" s="35" t="s">
        <v>345</v>
      </c>
      <c r="O458" s="38" t="s">
        <v>359</v>
      </c>
      <c r="P458" s="51"/>
    </row>
    <row r="459" spans="1:16" ht="11.25" customHeight="1" x14ac:dyDescent="0.2">
      <c r="A459" s="43" t="s">
        <v>229</v>
      </c>
      <c r="B459" s="14"/>
      <c r="C459" s="67"/>
      <c r="D459" s="17"/>
      <c r="E459" s="67"/>
      <c r="F459" s="14"/>
      <c r="G459" s="67"/>
      <c r="H459" s="14"/>
      <c r="I459" s="67"/>
      <c r="J459" s="14"/>
      <c r="K459" s="67"/>
      <c r="L459" s="14"/>
      <c r="M459" s="67"/>
      <c r="N459" s="14"/>
      <c r="O459" s="71"/>
      <c r="P459" s="51"/>
    </row>
    <row r="460" spans="1:16" ht="11.25" customHeight="1" x14ac:dyDescent="0.2">
      <c r="B460" s="15"/>
      <c r="C460" s="68"/>
      <c r="D460" s="15"/>
      <c r="E460" s="68"/>
      <c r="F460" s="15"/>
      <c r="G460" s="68"/>
      <c r="H460" s="15"/>
      <c r="I460" s="68"/>
      <c r="J460" s="15"/>
      <c r="K460" s="68"/>
      <c r="L460" s="15"/>
      <c r="M460" s="68"/>
      <c r="N460" s="15"/>
      <c r="O460" s="72"/>
      <c r="P460" s="51"/>
    </row>
    <row r="461" spans="1:16" ht="11.25" customHeight="1" x14ac:dyDescent="0.2">
      <c r="B461" s="15"/>
      <c r="C461" s="68"/>
      <c r="D461" s="15"/>
      <c r="E461" s="68"/>
      <c r="F461" s="15"/>
      <c r="G461" s="68"/>
      <c r="H461" s="15"/>
      <c r="I461" s="68"/>
      <c r="J461" s="15"/>
      <c r="K461" s="68"/>
      <c r="L461" s="15"/>
      <c r="M461" s="68"/>
      <c r="N461" s="15"/>
      <c r="O461" s="72"/>
      <c r="P461" s="51"/>
    </row>
    <row r="462" spans="1:16" ht="11.25" customHeight="1" x14ac:dyDescent="0.2">
      <c r="B462" s="15"/>
      <c r="C462" s="68"/>
      <c r="D462" s="15"/>
      <c r="E462" s="68"/>
      <c r="F462" s="15"/>
      <c r="G462" s="68"/>
      <c r="H462" s="15"/>
      <c r="I462" s="68"/>
      <c r="J462" s="15"/>
      <c r="K462" s="68"/>
      <c r="L462" s="15"/>
      <c r="M462" s="68"/>
      <c r="N462" s="15"/>
      <c r="O462" s="72"/>
      <c r="P462" s="51"/>
    </row>
    <row r="463" spans="1:16" ht="11.25" customHeight="1" x14ac:dyDescent="0.2">
      <c r="B463" s="16"/>
      <c r="C463" s="69"/>
      <c r="D463" s="16"/>
      <c r="E463" s="69"/>
      <c r="F463" s="16"/>
      <c r="G463" s="69"/>
      <c r="H463" s="16"/>
      <c r="I463" s="69"/>
      <c r="J463" s="16"/>
      <c r="K463" s="69"/>
      <c r="L463" s="16"/>
      <c r="M463" s="69"/>
      <c r="N463" s="16"/>
      <c r="O463" s="73"/>
      <c r="P463" s="51"/>
    </row>
    <row r="464" spans="1:16" ht="11.25" customHeight="1" x14ac:dyDescent="0.2">
      <c r="A464" s="43" t="s">
        <v>230</v>
      </c>
      <c r="B464" s="53" t="s">
        <v>346</v>
      </c>
      <c r="C464" s="70">
        <f>SUM(C459:C463)</f>
        <v>0</v>
      </c>
      <c r="D464" s="77"/>
      <c r="E464" s="70">
        <f>SUM(E459:E463)</f>
        <v>0</v>
      </c>
      <c r="F464" s="77"/>
      <c r="G464" s="70">
        <f>SUM(G459:G463)</f>
        <v>0</v>
      </c>
      <c r="H464" s="77"/>
      <c r="I464" s="70">
        <f>SUM(I459:I463)</f>
        <v>0</v>
      </c>
      <c r="J464" s="77"/>
      <c r="K464" s="70">
        <f>SUM(K459:K463)</f>
        <v>0</v>
      </c>
      <c r="L464" s="77"/>
      <c r="M464" s="70">
        <f>SUM(M459:M463)</f>
        <v>0</v>
      </c>
      <c r="N464" s="77"/>
      <c r="O464" s="74">
        <f>SUM(O459:O463)</f>
        <v>0</v>
      </c>
      <c r="P464" s="75">
        <f ca="1">SUMIF(B457:N457,"&gt;="&amp;15,C464:O464)</f>
        <v>0</v>
      </c>
    </row>
    <row r="465" spans="1:16" s="45" customFormat="1" ht="17.25" customHeight="1" x14ac:dyDescent="0.2">
      <c r="A465" s="46"/>
      <c r="B465" s="49"/>
      <c r="C465" s="50"/>
      <c r="D465" s="49"/>
      <c r="E465" s="50"/>
      <c r="F465" s="49"/>
      <c r="G465" s="50"/>
      <c r="H465" s="49"/>
      <c r="I465" s="50"/>
      <c r="J465" s="49"/>
      <c r="K465" s="50"/>
      <c r="L465" s="49"/>
      <c r="M465" s="50"/>
      <c r="N465" s="49"/>
      <c r="O465" s="50"/>
      <c r="P465" s="49"/>
    </row>
    <row r="466" spans="1:16" ht="12" customHeight="1" x14ac:dyDescent="0.2">
      <c r="A466" s="43" t="s">
        <v>231</v>
      </c>
      <c r="B466" s="97" t="s">
        <v>354</v>
      </c>
      <c r="C466" s="97"/>
      <c r="D466" s="97"/>
      <c r="E466" s="97"/>
      <c r="F466"/>
      <c r="G466" s="4"/>
      <c r="H466"/>
      <c r="I466" s="4"/>
      <c r="J466"/>
      <c r="K466" s="4"/>
      <c r="L466" s="81" t="s">
        <v>369</v>
      </c>
      <c r="M466" s="81"/>
      <c r="N466" s="81" t="s">
        <v>371</v>
      </c>
      <c r="O466" s="81"/>
      <c r="P466"/>
    </row>
    <row r="467" spans="1:16" ht="25.5" customHeight="1" x14ac:dyDescent="0.2">
      <c r="A467" s="43" t="s">
        <v>232</v>
      </c>
      <c r="B467" s="97"/>
      <c r="C467" s="97"/>
      <c r="D467" s="97"/>
      <c r="E467" s="97"/>
      <c r="F467" s="47" t="str">
        <f ca="1">IFERROR(WEEKDAY(DATEVALUE(B466&amp;" 1, "&amp;Year1)),"")</f>
        <v/>
      </c>
      <c r="G467" s="6"/>
      <c r="H467" s="45"/>
      <c r="I467" s="6"/>
      <c r="J467" s="45"/>
      <c r="K467" s="6"/>
      <c r="L467" s="82">
        <f ca="1">SUM(P477,P486,P495,P504,P513,P522)</f>
        <v>0</v>
      </c>
      <c r="M467" s="83"/>
      <c r="N467" s="82">
        <f ca="1">SUM(P:P)</f>
        <v>439.95</v>
      </c>
      <c r="O467" s="84"/>
      <c r="P467"/>
    </row>
    <row r="468" spans="1:16" s="45" customFormat="1" ht="9" customHeight="1" x14ac:dyDescent="0.2">
      <c r="A468" s="46" t="s">
        <v>233</v>
      </c>
      <c r="B468" s="98">
        <v>1</v>
      </c>
      <c r="C468" s="98"/>
      <c r="D468" s="98">
        <v>2</v>
      </c>
      <c r="E468" s="98"/>
      <c r="F468" s="98">
        <v>3</v>
      </c>
      <c r="G468" s="98"/>
      <c r="H468" s="98">
        <v>4</v>
      </c>
      <c r="I468" s="98"/>
      <c r="J468" s="98">
        <v>5</v>
      </c>
      <c r="K468" s="98"/>
      <c r="L468" s="98">
        <v>6</v>
      </c>
      <c r="M468" s="98"/>
      <c r="N468" s="98">
        <v>7</v>
      </c>
      <c r="O468" s="98"/>
      <c r="P468" s="48"/>
    </row>
    <row r="469" spans="1:16" ht="15" customHeight="1" x14ac:dyDescent="0.2">
      <c r="A469" s="43" t="s">
        <v>234</v>
      </c>
      <c r="B469" s="87" t="s">
        <v>372</v>
      </c>
      <c r="C469" s="88"/>
      <c r="D469" s="89" t="s">
        <v>344</v>
      </c>
      <c r="E469" s="90"/>
      <c r="F469" s="91" t="s">
        <v>360</v>
      </c>
      <c r="G469" s="90" t="e">
        <f ca="1">IF(WEEKDAY(DATEVALUE(Month1&amp;" 1, "&amp;Year1))=COLUMN(#REF!),1,IF(LEN(E469)&gt;0,E469+1,""))</f>
        <v>#VALUE!</v>
      </c>
      <c r="H469" s="92" t="s">
        <v>361</v>
      </c>
      <c r="I469" s="92" t="e">
        <f ca="1">IF(WEEKDAY(DATEVALUE(Month1&amp;" 1, "&amp;Year1))=COLUMN(#REF!),1,IF(LEN(G469)&gt;0,G469+1,""))</f>
        <v>#VALUE!</v>
      </c>
      <c r="J469" s="91" t="s">
        <v>364</v>
      </c>
      <c r="K469" s="90" t="e">
        <f ca="1">IF(WEEKDAY(DATEVALUE(Month1&amp;" 1, "&amp;Year1))=COLUMN(#REF!),1,IF(LEN(I469)&gt;0,I469+1,""))</f>
        <v>#VALUE!</v>
      </c>
      <c r="L469" s="93" t="s">
        <v>368</v>
      </c>
      <c r="M469" s="94" t="e">
        <f ca="1">IF(WEEKDAY(DATEVALUE(Month1&amp;" 1, "&amp;Year1))=COLUMN(#REF!),1,IF(LEN(K469)&gt;0,K469+1,""))</f>
        <v>#VALUE!</v>
      </c>
      <c r="N469" s="95" t="s">
        <v>370</v>
      </c>
      <c r="O469" s="96" t="e">
        <f ca="1">IF(WEEKDAY(DATEVALUE(Month1&amp;" 1, "&amp;Year1))=COLUMN(#REF!),1,IF(LEN(M469)&gt;0,M469+1,""))</f>
        <v>#VALUE!</v>
      </c>
      <c r="P469" s="40" t="s">
        <v>373</v>
      </c>
    </row>
    <row r="470" spans="1:16" ht="15" customHeight="1" x14ac:dyDescent="0.2">
      <c r="A470" s="43" t="s">
        <v>235</v>
      </c>
      <c r="B470" s="11">
        <f ca="1">DAY(IF(DAY(SepSun1)=1,SepSun1-6,SepSun1+1))</f>
        <v>1</v>
      </c>
      <c r="C470" s="13"/>
      <c r="D470" s="18">
        <f ca="1">DAY(IF(DAY(SepSun1)=1,SepSun1-5,SepSun1+2))</f>
        <v>2</v>
      </c>
      <c r="E470" s="13"/>
      <c r="F470" s="18">
        <f ca="1">DAY(IF(DAY(SepSun1)=1,SepSun1-4,SepSun1+3))</f>
        <v>3</v>
      </c>
      <c r="G470" s="13"/>
      <c r="H470" s="18">
        <f ca="1">DAY(IF(DAY(SepSun1)=1,SepSun1-3,SepSun1+4))</f>
        <v>4</v>
      </c>
      <c r="I470" s="13"/>
      <c r="J470" s="18">
        <f ca="1">DAY(IF(DAY(SepSun1)=1,SepSun1-2,SepSun1+5))</f>
        <v>5</v>
      </c>
      <c r="K470" s="13"/>
      <c r="L470" s="18">
        <f ca="1">DAY(IF(DAY(SepSun1)=1,SepSun1-1,SepSun1+6))</f>
        <v>6</v>
      </c>
      <c r="M470" s="13"/>
      <c r="N470" s="22">
        <f ca="1">DAY(IF(DAY(SepSun1)=1,SepSun1,SepSun1+7))</f>
        <v>7</v>
      </c>
      <c r="O470" s="12"/>
      <c r="P470" s="51"/>
    </row>
    <row r="471" spans="1:16" ht="11.25" customHeight="1" x14ac:dyDescent="0.2">
      <c r="A471" s="43" t="s">
        <v>236</v>
      </c>
      <c r="B471" s="39" t="s">
        <v>345</v>
      </c>
      <c r="C471" s="34" t="s">
        <v>359</v>
      </c>
      <c r="D471" s="33" t="s">
        <v>345</v>
      </c>
      <c r="E471" s="34" t="s">
        <v>359</v>
      </c>
      <c r="F471" s="33" t="s">
        <v>345</v>
      </c>
      <c r="G471" s="34" t="s">
        <v>359</v>
      </c>
      <c r="H471" s="33" t="s">
        <v>345</v>
      </c>
      <c r="I471" s="34" t="s">
        <v>359</v>
      </c>
      <c r="J471" s="33" t="s">
        <v>345</v>
      </c>
      <c r="K471" s="34" t="s">
        <v>359</v>
      </c>
      <c r="L471" s="33" t="s">
        <v>345</v>
      </c>
      <c r="M471" s="34" t="s">
        <v>359</v>
      </c>
      <c r="N471" s="35" t="s">
        <v>345</v>
      </c>
      <c r="O471" s="36" t="s">
        <v>359</v>
      </c>
      <c r="P471" s="51"/>
    </row>
    <row r="472" spans="1:16" ht="11.25" customHeight="1" x14ac:dyDescent="0.2">
      <c r="A472" s="43" t="s">
        <v>237</v>
      </c>
      <c r="B472" s="14"/>
      <c r="C472" s="67"/>
      <c r="D472" s="17"/>
      <c r="E472" s="67"/>
      <c r="F472" s="14"/>
      <c r="G472" s="67"/>
      <c r="H472" s="14"/>
      <c r="I472" s="67"/>
      <c r="J472" s="14"/>
      <c r="K472" s="67"/>
      <c r="L472" s="14"/>
      <c r="M472" s="67"/>
      <c r="N472" s="14"/>
      <c r="O472" s="71"/>
      <c r="P472" s="51"/>
    </row>
    <row r="473" spans="1:16" ht="11.25" customHeight="1" x14ac:dyDescent="0.2">
      <c r="B473" s="15"/>
      <c r="C473" s="68"/>
      <c r="D473" s="15"/>
      <c r="E473" s="68"/>
      <c r="F473" s="15"/>
      <c r="G473" s="68"/>
      <c r="H473" s="15"/>
      <c r="I473" s="68"/>
      <c r="J473" s="15"/>
      <c r="K473" s="68"/>
      <c r="L473" s="15"/>
      <c r="M473" s="68"/>
      <c r="N473" s="15"/>
      <c r="O473" s="72"/>
      <c r="P473" s="51"/>
    </row>
    <row r="474" spans="1:16" ht="11.25" customHeight="1" x14ac:dyDescent="0.2">
      <c r="B474" s="15"/>
      <c r="C474" s="68"/>
      <c r="D474" s="15"/>
      <c r="E474" s="68"/>
      <c r="F474" s="15"/>
      <c r="G474" s="68"/>
      <c r="H474" s="15"/>
      <c r="I474" s="68"/>
      <c r="J474" s="15"/>
      <c r="K474" s="68"/>
      <c r="L474" s="15"/>
      <c r="M474" s="68"/>
      <c r="N474" s="15"/>
      <c r="O474" s="72"/>
      <c r="P474" s="51"/>
    </row>
    <row r="475" spans="1:16" ht="11.25" customHeight="1" x14ac:dyDescent="0.2">
      <c r="B475" s="15"/>
      <c r="C475" s="68"/>
      <c r="D475" s="15"/>
      <c r="E475" s="68"/>
      <c r="F475" s="15"/>
      <c r="G475" s="68"/>
      <c r="H475" s="15"/>
      <c r="I475" s="68"/>
      <c r="J475" s="15"/>
      <c r="K475" s="68"/>
      <c r="L475" s="15"/>
      <c r="M475" s="68"/>
      <c r="N475" s="15"/>
      <c r="O475" s="72"/>
      <c r="P475" s="51"/>
    </row>
    <row r="476" spans="1:16" ht="11.25" customHeight="1" x14ac:dyDescent="0.2">
      <c r="B476" s="16"/>
      <c r="C476" s="69"/>
      <c r="D476" s="16"/>
      <c r="E476" s="69"/>
      <c r="F476" s="16"/>
      <c r="G476" s="69"/>
      <c r="H476" s="16"/>
      <c r="I476" s="69"/>
      <c r="J476" s="16"/>
      <c r="K476" s="69"/>
      <c r="L476" s="16"/>
      <c r="M476" s="69"/>
      <c r="N476" s="16"/>
      <c r="O476" s="73"/>
      <c r="P476" s="51"/>
    </row>
    <row r="477" spans="1:16" ht="11.25" customHeight="1" x14ac:dyDescent="0.2">
      <c r="A477" s="43" t="s">
        <v>238</v>
      </c>
      <c r="B477" s="53" t="s">
        <v>346</v>
      </c>
      <c r="C477" s="70">
        <f>SUM(C472:C476)</f>
        <v>0</v>
      </c>
      <c r="D477" s="77"/>
      <c r="E477" s="70">
        <f>SUM(E472:E476)</f>
        <v>0</v>
      </c>
      <c r="F477" s="77"/>
      <c r="G477" s="70">
        <f>SUM(G472:G476)</f>
        <v>0</v>
      </c>
      <c r="H477" s="77"/>
      <c r="I477" s="70">
        <f>SUM(I472:I476)</f>
        <v>0</v>
      </c>
      <c r="J477" s="77"/>
      <c r="K477" s="70">
        <f>SUM(K472:K476)</f>
        <v>0</v>
      </c>
      <c r="L477" s="77"/>
      <c r="M477" s="70">
        <f>SUM(M472:M476)</f>
        <v>0</v>
      </c>
      <c r="N477" s="77"/>
      <c r="O477" s="74">
        <f>SUM(O472:O476)</f>
        <v>0</v>
      </c>
      <c r="P477" s="75">
        <f ca="1">SUMIF(B470:N470,"&lt;8",C477:O477)</f>
        <v>0</v>
      </c>
    </row>
    <row r="478" spans="1:16" s="45" customFormat="1" x14ac:dyDescent="0.2">
      <c r="A478" s="46"/>
      <c r="C478" s="6"/>
      <c r="D478" s="6"/>
      <c r="E478" s="6"/>
      <c r="F478" s="6"/>
      <c r="G478" s="6"/>
      <c r="H478" s="6"/>
      <c r="I478" s="6"/>
      <c r="J478" s="6"/>
      <c r="K478" s="6"/>
      <c r="L478" s="6"/>
      <c r="M478" s="6"/>
      <c r="N478" s="6"/>
      <c r="O478" s="6"/>
    </row>
    <row r="479" spans="1:16" ht="15" customHeight="1" x14ac:dyDescent="0.2">
      <c r="A479" s="43" t="s">
        <v>239</v>
      </c>
      <c r="B479" s="9">
        <f ca="1">N470+1</f>
        <v>8</v>
      </c>
      <c r="C479" s="10"/>
      <c r="D479" s="9">
        <f ca="1">B479+1</f>
        <v>9</v>
      </c>
      <c r="E479" s="10"/>
      <c r="F479" s="9">
        <f ca="1">D479+1</f>
        <v>10</v>
      </c>
      <c r="G479" s="10"/>
      <c r="H479" s="9">
        <f ca="1">F479+1</f>
        <v>11</v>
      </c>
      <c r="I479" s="10"/>
      <c r="J479" s="9">
        <f ca="1">H479+1</f>
        <v>12</v>
      </c>
      <c r="K479" s="10"/>
      <c r="L479" s="9">
        <f ca="1">J479+1</f>
        <v>13</v>
      </c>
      <c r="M479" s="10"/>
      <c r="N479" s="9">
        <f ca="1">L479+1</f>
        <v>14</v>
      </c>
      <c r="O479" s="10"/>
      <c r="P479" s="27"/>
    </row>
    <row r="480" spans="1:16" ht="11.25" customHeight="1" x14ac:dyDescent="0.2">
      <c r="A480" s="43" t="s">
        <v>240</v>
      </c>
      <c r="B480" s="35" t="s">
        <v>345</v>
      </c>
      <c r="C480" s="37" t="s">
        <v>359</v>
      </c>
      <c r="D480" s="35" t="s">
        <v>345</v>
      </c>
      <c r="E480" s="37" t="s">
        <v>359</v>
      </c>
      <c r="F480" s="35" t="s">
        <v>345</v>
      </c>
      <c r="G480" s="37" t="s">
        <v>359</v>
      </c>
      <c r="H480" s="35" t="s">
        <v>345</v>
      </c>
      <c r="I480" s="37" t="s">
        <v>359</v>
      </c>
      <c r="J480" s="35" t="s">
        <v>345</v>
      </c>
      <c r="K480" s="37" t="s">
        <v>359</v>
      </c>
      <c r="L480" s="35" t="s">
        <v>345</v>
      </c>
      <c r="M480" s="37" t="s">
        <v>359</v>
      </c>
      <c r="N480" s="35" t="s">
        <v>345</v>
      </c>
      <c r="O480" s="38" t="s">
        <v>359</v>
      </c>
      <c r="P480" s="51"/>
    </row>
    <row r="481" spans="1:16" ht="11.25" customHeight="1" x14ac:dyDescent="0.2">
      <c r="A481" s="43" t="s">
        <v>241</v>
      </c>
      <c r="B481" s="19"/>
      <c r="C481" s="67"/>
      <c r="D481" s="19"/>
      <c r="E481" s="67"/>
      <c r="F481" s="19"/>
      <c r="G481" s="67"/>
      <c r="H481" s="19"/>
      <c r="I481" s="67"/>
      <c r="J481" s="19"/>
      <c r="K481" s="67"/>
      <c r="L481" s="19"/>
      <c r="M481" s="67"/>
      <c r="N481" s="19"/>
      <c r="O481" s="71"/>
      <c r="P481" s="51"/>
    </row>
    <row r="482" spans="1:16" ht="11.25" customHeight="1" x14ac:dyDescent="0.2">
      <c r="B482" s="20"/>
      <c r="C482" s="68"/>
      <c r="D482" s="20"/>
      <c r="E482" s="68"/>
      <c r="F482" s="20"/>
      <c r="G482" s="68"/>
      <c r="H482" s="20"/>
      <c r="I482" s="68"/>
      <c r="J482" s="20"/>
      <c r="K482" s="68"/>
      <c r="L482" s="20"/>
      <c r="M482" s="68"/>
      <c r="N482" s="20"/>
      <c r="O482" s="72"/>
      <c r="P482" s="51"/>
    </row>
    <row r="483" spans="1:16" ht="11.25" customHeight="1" x14ac:dyDescent="0.2">
      <c r="B483" s="20"/>
      <c r="C483" s="68"/>
      <c r="D483" s="20"/>
      <c r="E483" s="68"/>
      <c r="F483" s="20"/>
      <c r="G483" s="68"/>
      <c r="H483" s="20"/>
      <c r="I483" s="68"/>
      <c r="J483" s="20"/>
      <c r="K483" s="68"/>
      <c r="L483" s="20"/>
      <c r="M483" s="68"/>
      <c r="N483" s="20"/>
      <c r="O483" s="72"/>
      <c r="P483" s="51"/>
    </row>
    <row r="484" spans="1:16" ht="11.25" customHeight="1" x14ac:dyDescent="0.2">
      <c r="B484" s="20"/>
      <c r="C484" s="68"/>
      <c r="D484" s="20"/>
      <c r="E484" s="68"/>
      <c r="F484" s="20"/>
      <c r="G484" s="68"/>
      <c r="H484" s="20"/>
      <c r="I484" s="68"/>
      <c r="J484" s="20"/>
      <c r="K484" s="68"/>
      <c r="L484" s="20"/>
      <c r="M484" s="68"/>
      <c r="N484" s="20"/>
      <c r="O484" s="72"/>
      <c r="P484" s="51"/>
    </row>
    <row r="485" spans="1:16" ht="11.25" customHeight="1" x14ac:dyDescent="0.2">
      <c r="B485" s="21"/>
      <c r="C485" s="69"/>
      <c r="D485" s="21"/>
      <c r="E485" s="69"/>
      <c r="F485" s="21"/>
      <c r="G485" s="69"/>
      <c r="H485" s="21"/>
      <c r="I485" s="69"/>
      <c r="J485" s="21"/>
      <c r="K485" s="69"/>
      <c r="L485" s="21"/>
      <c r="M485" s="69"/>
      <c r="N485" s="21"/>
      <c r="O485" s="73"/>
      <c r="P485" s="51"/>
    </row>
    <row r="486" spans="1:16" ht="11.25" customHeight="1" x14ac:dyDescent="0.2">
      <c r="A486" s="43" t="s">
        <v>242</v>
      </c>
      <c r="B486" s="53" t="s">
        <v>346</v>
      </c>
      <c r="C486" s="70">
        <f>SUM(C481:C485)</f>
        <v>0</v>
      </c>
      <c r="D486" s="77"/>
      <c r="E486" s="70">
        <f>SUM(E481:E485)</f>
        <v>0</v>
      </c>
      <c r="F486" s="77"/>
      <c r="G486" s="70">
        <f>SUM(G481:G485)</f>
        <v>0</v>
      </c>
      <c r="H486" s="77"/>
      <c r="I486" s="70">
        <f>SUM(I481:I485)</f>
        <v>0</v>
      </c>
      <c r="J486" s="77"/>
      <c r="K486" s="70">
        <f>SUM(K481:K485)</f>
        <v>0</v>
      </c>
      <c r="L486" s="77"/>
      <c r="M486" s="70">
        <f>SUM(M481:M485)</f>
        <v>0</v>
      </c>
      <c r="N486" s="77"/>
      <c r="O486" s="74">
        <f>SUM(O481:O485)</f>
        <v>0</v>
      </c>
      <c r="P486" s="75">
        <f>SUM(C486,E486,G486,I486,K486,M486,O486)</f>
        <v>0</v>
      </c>
    </row>
    <row r="487" spans="1:16" s="45" customFormat="1" x14ac:dyDescent="0.2">
      <c r="A487" s="46"/>
      <c r="C487" s="6"/>
      <c r="D487" s="6"/>
      <c r="E487" s="6"/>
      <c r="F487" s="6"/>
      <c r="G487" s="6"/>
      <c r="H487" s="6"/>
      <c r="I487" s="6"/>
      <c r="J487" s="6"/>
      <c r="K487" s="6"/>
      <c r="L487" s="6"/>
      <c r="M487" s="6"/>
      <c r="N487" s="6"/>
      <c r="O487" s="6"/>
    </row>
    <row r="488" spans="1:16" ht="15" customHeight="1" x14ac:dyDescent="0.2">
      <c r="A488" s="43" t="s">
        <v>243</v>
      </c>
      <c r="B488" s="9">
        <f ca="1">N479+1</f>
        <v>15</v>
      </c>
      <c r="C488" s="10"/>
      <c r="D488" s="9">
        <f ca="1">B488+1</f>
        <v>16</v>
      </c>
      <c r="E488" s="10"/>
      <c r="F488" s="9">
        <f ca="1">D488+1</f>
        <v>17</v>
      </c>
      <c r="G488" s="10"/>
      <c r="H488" s="9">
        <f ca="1">F488+1</f>
        <v>18</v>
      </c>
      <c r="I488" s="10"/>
      <c r="J488" s="9">
        <f ca="1">H488+1</f>
        <v>19</v>
      </c>
      <c r="K488" s="10"/>
      <c r="L488" s="9">
        <f ca="1">J488+1</f>
        <v>20</v>
      </c>
      <c r="M488" s="10"/>
      <c r="N488" s="9">
        <f ca="1">L488+1</f>
        <v>21</v>
      </c>
      <c r="O488" s="10"/>
      <c r="P488" s="27"/>
    </row>
    <row r="489" spans="1:16" ht="11.25" customHeight="1" x14ac:dyDescent="0.2">
      <c r="A489" s="43" t="s">
        <v>244</v>
      </c>
      <c r="B489" s="35" t="s">
        <v>345</v>
      </c>
      <c r="C489" s="37" t="s">
        <v>359</v>
      </c>
      <c r="D489" s="35" t="s">
        <v>345</v>
      </c>
      <c r="E489" s="37" t="s">
        <v>359</v>
      </c>
      <c r="F489" s="35" t="s">
        <v>345</v>
      </c>
      <c r="G489" s="37" t="s">
        <v>359</v>
      </c>
      <c r="H489" s="35" t="s">
        <v>345</v>
      </c>
      <c r="I489" s="37" t="s">
        <v>359</v>
      </c>
      <c r="J489" s="35" t="s">
        <v>345</v>
      </c>
      <c r="K489" s="37" t="s">
        <v>359</v>
      </c>
      <c r="L489" s="35" t="s">
        <v>345</v>
      </c>
      <c r="M489" s="37" t="s">
        <v>359</v>
      </c>
      <c r="N489" s="35" t="s">
        <v>345</v>
      </c>
      <c r="O489" s="38" t="s">
        <v>359</v>
      </c>
      <c r="P489" s="51"/>
    </row>
    <row r="490" spans="1:16" ht="11.25" customHeight="1" x14ac:dyDescent="0.2">
      <c r="A490" s="43" t="s">
        <v>245</v>
      </c>
      <c r="B490" s="19"/>
      <c r="C490" s="67"/>
      <c r="D490" s="19"/>
      <c r="E490" s="67"/>
      <c r="F490" s="19"/>
      <c r="G490" s="67"/>
      <c r="H490" s="19"/>
      <c r="I490" s="67"/>
      <c r="J490" s="19"/>
      <c r="K490" s="67"/>
      <c r="L490" s="19"/>
      <c r="M490" s="67"/>
      <c r="N490" s="19"/>
      <c r="O490" s="71"/>
      <c r="P490" s="51"/>
    </row>
    <row r="491" spans="1:16" ht="11.25" customHeight="1" x14ac:dyDescent="0.2">
      <c r="B491" s="20"/>
      <c r="C491" s="68"/>
      <c r="D491" s="20"/>
      <c r="E491" s="68"/>
      <c r="F491" s="20"/>
      <c r="G491" s="68"/>
      <c r="H491" s="20"/>
      <c r="I491" s="68"/>
      <c r="J491" s="20"/>
      <c r="K491" s="68"/>
      <c r="L491" s="20"/>
      <c r="M491" s="68"/>
      <c r="N491" s="20"/>
      <c r="O491" s="72"/>
      <c r="P491" s="51"/>
    </row>
    <row r="492" spans="1:16" ht="11.25" customHeight="1" x14ac:dyDescent="0.2">
      <c r="B492" s="20"/>
      <c r="C492" s="68"/>
      <c r="D492" s="20"/>
      <c r="E492" s="68"/>
      <c r="F492" s="20"/>
      <c r="G492" s="68"/>
      <c r="H492" s="20"/>
      <c r="I492" s="68"/>
      <c r="J492" s="20"/>
      <c r="K492" s="68"/>
      <c r="L492" s="20"/>
      <c r="M492" s="68"/>
      <c r="N492" s="20"/>
      <c r="O492" s="72"/>
      <c r="P492" s="51"/>
    </row>
    <row r="493" spans="1:16" ht="11.25" customHeight="1" x14ac:dyDescent="0.2">
      <c r="B493" s="20"/>
      <c r="C493" s="68"/>
      <c r="D493" s="20"/>
      <c r="E493" s="68"/>
      <c r="F493" s="20"/>
      <c r="G493" s="68"/>
      <c r="H493" s="20"/>
      <c r="I493" s="68"/>
      <c r="J493" s="20"/>
      <c r="K493" s="68"/>
      <c r="L493" s="20"/>
      <c r="M493" s="68"/>
      <c r="N493" s="20"/>
      <c r="O493" s="72"/>
      <c r="P493" s="51"/>
    </row>
    <row r="494" spans="1:16" ht="11.25" customHeight="1" x14ac:dyDescent="0.2">
      <c r="B494" s="21"/>
      <c r="C494" s="69"/>
      <c r="D494" s="21"/>
      <c r="E494" s="69"/>
      <c r="F494" s="21"/>
      <c r="G494" s="69"/>
      <c r="H494" s="21"/>
      <c r="I494" s="69"/>
      <c r="J494" s="21"/>
      <c r="K494" s="69"/>
      <c r="L494" s="21"/>
      <c r="M494" s="69"/>
      <c r="N494" s="21"/>
      <c r="O494" s="73"/>
      <c r="P494" s="51"/>
    </row>
    <row r="495" spans="1:16" ht="11.25" customHeight="1" x14ac:dyDescent="0.2">
      <c r="A495" s="43" t="s">
        <v>246</v>
      </c>
      <c r="B495" s="54" t="s">
        <v>346</v>
      </c>
      <c r="C495" s="70">
        <f>SUM(C490:C494)</f>
        <v>0</v>
      </c>
      <c r="D495" s="77"/>
      <c r="E495" s="70">
        <f>SUM(E490:E494)</f>
        <v>0</v>
      </c>
      <c r="F495" s="77"/>
      <c r="G495" s="70">
        <f>SUM(G490:G494)</f>
        <v>0</v>
      </c>
      <c r="H495" s="77"/>
      <c r="I495" s="70">
        <f>SUM(I490:I494)</f>
        <v>0</v>
      </c>
      <c r="J495" s="77"/>
      <c r="K495" s="70">
        <f>SUM(K490:K494)</f>
        <v>0</v>
      </c>
      <c r="L495" s="77"/>
      <c r="M495" s="70">
        <f>SUM(M490:M494)</f>
        <v>0</v>
      </c>
      <c r="N495" s="77"/>
      <c r="O495" s="74">
        <f>SUM(O490:O494)</f>
        <v>0</v>
      </c>
      <c r="P495" s="75">
        <f>SUM(C495,E495,G495,I495,K495,M495,O495)</f>
        <v>0</v>
      </c>
    </row>
    <row r="496" spans="1:16" s="45" customFormat="1" x14ac:dyDescent="0.2">
      <c r="A496" s="46"/>
      <c r="C496" s="6"/>
      <c r="D496" s="6"/>
      <c r="E496" s="6"/>
      <c r="F496" s="6"/>
      <c r="G496" s="6"/>
      <c r="H496" s="6"/>
      <c r="I496" s="6"/>
      <c r="J496" s="6"/>
      <c r="K496" s="6"/>
      <c r="L496" s="6"/>
      <c r="M496" s="6"/>
      <c r="N496" s="6"/>
      <c r="O496" s="6"/>
    </row>
    <row r="497" spans="1:16" ht="15" customHeight="1" x14ac:dyDescent="0.2">
      <c r="A497" s="43" t="s">
        <v>247</v>
      </c>
      <c r="B497" s="9">
        <f ca="1">N488+1</f>
        <v>22</v>
      </c>
      <c r="C497" s="10"/>
      <c r="D497" s="9">
        <f ca="1">B497+1</f>
        <v>23</v>
      </c>
      <c r="E497" s="10"/>
      <c r="F497" s="9">
        <f ca="1">D497+1</f>
        <v>24</v>
      </c>
      <c r="G497" s="10"/>
      <c r="H497" s="9">
        <f ca="1">F497+1</f>
        <v>25</v>
      </c>
      <c r="I497" s="10"/>
      <c r="J497" s="9">
        <f ca="1">H497+1</f>
        <v>26</v>
      </c>
      <c r="K497" s="10"/>
      <c r="L497" s="9">
        <f ca="1">J497+1</f>
        <v>27</v>
      </c>
      <c r="M497" s="10"/>
      <c r="N497" s="9">
        <f ca="1">L497+1</f>
        <v>28</v>
      </c>
      <c r="O497" s="10"/>
      <c r="P497" s="27"/>
    </row>
    <row r="498" spans="1:16" ht="11.25" customHeight="1" x14ac:dyDescent="0.2">
      <c r="A498" s="43" t="s">
        <v>248</v>
      </c>
      <c r="B498" s="35" t="s">
        <v>345</v>
      </c>
      <c r="C498" s="37" t="s">
        <v>359</v>
      </c>
      <c r="D498" s="35" t="s">
        <v>345</v>
      </c>
      <c r="E498" s="37" t="s">
        <v>359</v>
      </c>
      <c r="F498" s="35" t="s">
        <v>345</v>
      </c>
      <c r="G498" s="37" t="s">
        <v>359</v>
      </c>
      <c r="H498" s="35" t="s">
        <v>345</v>
      </c>
      <c r="I498" s="37" t="s">
        <v>359</v>
      </c>
      <c r="J498" s="35" t="s">
        <v>345</v>
      </c>
      <c r="K498" s="37" t="s">
        <v>359</v>
      </c>
      <c r="L498" s="35" t="s">
        <v>345</v>
      </c>
      <c r="M498" s="37" t="s">
        <v>359</v>
      </c>
      <c r="N498" s="35" t="s">
        <v>345</v>
      </c>
      <c r="O498" s="38" t="s">
        <v>359</v>
      </c>
      <c r="P498" s="51"/>
    </row>
    <row r="499" spans="1:16" ht="11.25" customHeight="1" x14ac:dyDescent="0.2">
      <c r="A499" s="43" t="s">
        <v>249</v>
      </c>
      <c r="B499" s="19"/>
      <c r="C499" s="67"/>
      <c r="D499" s="19"/>
      <c r="E499" s="67"/>
      <c r="F499" s="19"/>
      <c r="G499" s="67"/>
      <c r="H499" s="19"/>
      <c r="I499" s="67"/>
      <c r="J499" s="19"/>
      <c r="K499" s="67"/>
      <c r="L499" s="19"/>
      <c r="M499" s="67"/>
      <c r="N499" s="19"/>
      <c r="O499" s="71"/>
      <c r="P499" s="51"/>
    </row>
    <row r="500" spans="1:16" ht="11.25" customHeight="1" x14ac:dyDescent="0.2">
      <c r="B500" s="20"/>
      <c r="C500" s="68"/>
      <c r="D500" s="20"/>
      <c r="E500" s="68"/>
      <c r="F500" s="20"/>
      <c r="G500" s="68"/>
      <c r="H500" s="20"/>
      <c r="I500" s="68"/>
      <c r="J500" s="20"/>
      <c r="K500" s="68"/>
      <c r="L500" s="20"/>
      <c r="M500" s="68"/>
      <c r="N500" s="20"/>
      <c r="O500" s="72"/>
      <c r="P500" s="51"/>
    </row>
    <row r="501" spans="1:16" ht="11.25" customHeight="1" x14ac:dyDescent="0.2">
      <c r="B501" s="20"/>
      <c r="C501" s="68"/>
      <c r="D501" s="20"/>
      <c r="E501" s="68"/>
      <c r="F501" s="20"/>
      <c r="G501" s="68"/>
      <c r="H501" s="20"/>
      <c r="I501" s="68"/>
      <c r="J501" s="20"/>
      <c r="K501" s="68"/>
      <c r="L501" s="20"/>
      <c r="M501" s="68"/>
      <c r="N501" s="20"/>
      <c r="O501" s="72"/>
      <c r="P501" s="51"/>
    </row>
    <row r="502" spans="1:16" ht="11.25" customHeight="1" x14ac:dyDescent="0.2">
      <c r="B502" s="20"/>
      <c r="C502" s="68"/>
      <c r="D502" s="20"/>
      <c r="E502" s="68"/>
      <c r="F502" s="20"/>
      <c r="G502" s="68"/>
      <c r="H502" s="20"/>
      <c r="I502" s="68"/>
      <c r="J502" s="20"/>
      <c r="K502" s="68"/>
      <c r="L502" s="20"/>
      <c r="M502" s="68"/>
      <c r="N502" s="20"/>
      <c r="O502" s="72"/>
      <c r="P502" s="51"/>
    </row>
    <row r="503" spans="1:16" ht="11.25" customHeight="1" x14ac:dyDescent="0.2">
      <c r="B503" s="21"/>
      <c r="C503" s="69"/>
      <c r="D503" s="21"/>
      <c r="E503" s="69"/>
      <c r="F503" s="21"/>
      <c r="G503" s="69"/>
      <c r="H503" s="21"/>
      <c r="I503" s="69"/>
      <c r="J503" s="21"/>
      <c r="K503" s="69"/>
      <c r="L503" s="21"/>
      <c r="M503" s="69"/>
      <c r="N503" s="21"/>
      <c r="O503" s="73"/>
      <c r="P503" s="51"/>
    </row>
    <row r="504" spans="1:16" ht="11.25" customHeight="1" x14ac:dyDescent="0.2">
      <c r="A504" s="43" t="s">
        <v>250</v>
      </c>
      <c r="B504" s="53" t="s">
        <v>346</v>
      </c>
      <c r="C504" s="70">
        <f>SUM(C499:C503)</f>
        <v>0</v>
      </c>
      <c r="D504" s="77"/>
      <c r="E504" s="70">
        <f>SUM(E499:E503)</f>
        <v>0</v>
      </c>
      <c r="F504" s="77"/>
      <c r="G504" s="70">
        <f>SUM(G499:G503)</f>
        <v>0</v>
      </c>
      <c r="H504" s="77"/>
      <c r="I504" s="70">
        <f>SUM(I499:I503)</f>
        <v>0</v>
      </c>
      <c r="J504" s="77"/>
      <c r="K504" s="70">
        <f>SUM(K499:K503)</f>
        <v>0</v>
      </c>
      <c r="L504" s="77"/>
      <c r="M504" s="70">
        <f>SUM(M499:M503)</f>
        <v>0</v>
      </c>
      <c r="N504" s="77"/>
      <c r="O504" s="74">
        <f>SUM(O499:O503)</f>
        <v>0</v>
      </c>
      <c r="P504" s="75">
        <f>SUM(C504,E504,G504,I504,K504,M504,O504)</f>
        <v>0</v>
      </c>
    </row>
    <row r="505" spans="1:16" s="45" customFormat="1" x14ac:dyDescent="0.2">
      <c r="A505" s="46"/>
      <c r="C505" s="6"/>
      <c r="D505" s="6"/>
      <c r="E505" s="6"/>
      <c r="F505" s="6"/>
      <c r="G505" s="6"/>
      <c r="H505" s="6"/>
      <c r="I505" s="6"/>
      <c r="J505" s="6"/>
      <c r="K505" s="6"/>
      <c r="L505" s="6"/>
      <c r="M505" s="6"/>
      <c r="N505" s="6"/>
      <c r="O505" s="6"/>
    </row>
    <row r="506" spans="1:16" ht="15" customHeight="1" x14ac:dyDescent="0.2">
      <c r="A506" s="43" t="s">
        <v>251</v>
      </c>
      <c r="B506" s="9">
        <f ca="1">DAY(IF(DAY(SepSun1)=1,SepSun1+22,SepSun1+29))</f>
        <v>29</v>
      </c>
      <c r="C506" s="10"/>
      <c r="D506" s="9">
        <f ca="1">DAY(IF(DAY(SepSun1)=1,SepSun1+23,SepSun1+30))</f>
        <v>30</v>
      </c>
      <c r="E506" s="10"/>
      <c r="F506" s="9">
        <f ca="1">DAY(IF(DAY(SepSun1)=1,SepSun1+24,SepSun1+31))</f>
        <v>1</v>
      </c>
      <c r="G506" s="10"/>
      <c r="H506" s="9">
        <f ca="1">DAY(IF(DAY(SepSun1)=1,SepSun1+25,SepSun1+32))</f>
        <v>2</v>
      </c>
      <c r="I506" s="10"/>
      <c r="J506" s="9">
        <f ca="1">DAY(IF(DAY(SepSun1)=1,SepSun1+26,SepSun1+33))</f>
        <v>3</v>
      </c>
      <c r="K506" s="10"/>
      <c r="L506" s="9">
        <f ca="1">DAY(IF(DAY(SepSun1)=1,SepSun1+27,SepSun1+34))</f>
        <v>4</v>
      </c>
      <c r="M506" s="10"/>
      <c r="N506" s="9">
        <f ca="1">DAY(IF(DAY(SepSun1)=1,SepSun1+28,SepSun1+35))</f>
        <v>5</v>
      </c>
      <c r="O506" s="10"/>
      <c r="P506" s="27"/>
    </row>
    <row r="507" spans="1:16" ht="11.25" customHeight="1" x14ac:dyDescent="0.2">
      <c r="A507" s="43" t="s">
        <v>252</v>
      </c>
      <c r="B507" s="35" t="s">
        <v>345</v>
      </c>
      <c r="C507" s="37" t="s">
        <v>359</v>
      </c>
      <c r="D507" s="35" t="s">
        <v>345</v>
      </c>
      <c r="E507" s="37" t="s">
        <v>359</v>
      </c>
      <c r="F507" s="35" t="s">
        <v>345</v>
      </c>
      <c r="G507" s="37" t="s">
        <v>359</v>
      </c>
      <c r="H507" s="35" t="s">
        <v>345</v>
      </c>
      <c r="I507" s="37" t="s">
        <v>359</v>
      </c>
      <c r="J507" s="35" t="s">
        <v>345</v>
      </c>
      <c r="K507" s="37" t="s">
        <v>359</v>
      </c>
      <c r="L507" s="35" t="s">
        <v>345</v>
      </c>
      <c r="M507" s="37" t="s">
        <v>359</v>
      </c>
      <c r="N507" s="35" t="s">
        <v>345</v>
      </c>
      <c r="O507" s="38" t="s">
        <v>359</v>
      </c>
      <c r="P507" s="51"/>
    </row>
    <row r="508" spans="1:16" ht="11.25" customHeight="1" x14ac:dyDescent="0.2">
      <c r="A508" s="43" t="s">
        <v>253</v>
      </c>
      <c r="B508" s="14"/>
      <c r="C508" s="67"/>
      <c r="D508" s="17"/>
      <c r="E508" s="67"/>
      <c r="F508" s="14"/>
      <c r="G508" s="67"/>
      <c r="H508" s="14"/>
      <c r="I508" s="67"/>
      <c r="J508" s="14"/>
      <c r="K508" s="67"/>
      <c r="L508" s="14"/>
      <c r="M508" s="67"/>
      <c r="N508" s="23"/>
      <c r="O508" s="78"/>
      <c r="P508" s="51"/>
    </row>
    <row r="509" spans="1:16" ht="11.25" customHeight="1" x14ac:dyDescent="0.2">
      <c r="B509" s="15"/>
      <c r="C509" s="68"/>
      <c r="D509" s="15"/>
      <c r="E509" s="68"/>
      <c r="F509" s="15"/>
      <c r="G509" s="68"/>
      <c r="H509" s="15"/>
      <c r="I509" s="68"/>
      <c r="J509" s="15"/>
      <c r="K509" s="68"/>
      <c r="L509" s="15"/>
      <c r="M509" s="68"/>
      <c r="N509" s="24"/>
      <c r="O509" s="79"/>
      <c r="P509" s="51"/>
    </row>
    <row r="510" spans="1:16" ht="11.25" customHeight="1" x14ac:dyDescent="0.2">
      <c r="B510" s="15"/>
      <c r="C510" s="68"/>
      <c r="D510" s="15"/>
      <c r="E510" s="68"/>
      <c r="F510" s="15"/>
      <c r="G510" s="68"/>
      <c r="H510" s="15"/>
      <c r="I510" s="68"/>
      <c r="J510" s="15"/>
      <c r="K510" s="68"/>
      <c r="L510" s="15"/>
      <c r="M510" s="68"/>
      <c r="N510" s="24"/>
      <c r="O510" s="79"/>
      <c r="P510" s="51"/>
    </row>
    <row r="511" spans="1:16" ht="11.25" customHeight="1" x14ac:dyDescent="0.2">
      <c r="B511" s="15"/>
      <c r="C511" s="68"/>
      <c r="D511" s="15"/>
      <c r="E511" s="68"/>
      <c r="F511" s="15"/>
      <c r="G511" s="68"/>
      <c r="H511" s="15"/>
      <c r="I511" s="68"/>
      <c r="J511" s="15"/>
      <c r="K511" s="68"/>
      <c r="L511" s="15"/>
      <c r="M511" s="68"/>
      <c r="N511" s="24"/>
      <c r="O511" s="79"/>
      <c r="P511" s="51"/>
    </row>
    <row r="512" spans="1:16" ht="11.25" customHeight="1" x14ac:dyDescent="0.2">
      <c r="B512" s="16"/>
      <c r="C512" s="69"/>
      <c r="D512" s="16"/>
      <c r="E512" s="69"/>
      <c r="F512" s="16"/>
      <c r="G512" s="69"/>
      <c r="H512" s="16"/>
      <c r="I512" s="69"/>
      <c r="J512" s="16"/>
      <c r="K512" s="69"/>
      <c r="L512" s="16"/>
      <c r="M512" s="69"/>
      <c r="N512" s="25"/>
      <c r="O512" s="80"/>
      <c r="P512" s="51"/>
    </row>
    <row r="513" spans="1:16" ht="11.25" customHeight="1" x14ac:dyDescent="0.2">
      <c r="A513" s="43" t="s">
        <v>254</v>
      </c>
      <c r="B513" s="53" t="s">
        <v>346</v>
      </c>
      <c r="C513" s="70">
        <f>SUM(C508:C512)</f>
        <v>0</v>
      </c>
      <c r="D513" s="77"/>
      <c r="E513" s="70">
        <f>SUM(E508:E512)</f>
        <v>0</v>
      </c>
      <c r="F513" s="77"/>
      <c r="G513" s="70">
        <f>SUM(G508:G512)</f>
        <v>0</v>
      </c>
      <c r="H513" s="77"/>
      <c r="I513" s="70">
        <f>SUM(I508:I512)</f>
        <v>0</v>
      </c>
      <c r="J513" s="77"/>
      <c r="K513" s="70">
        <f>SUM(K508:K512)</f>
        <v>0</v>
      </c>
      <c r="L513" s="77"/>
      <c r="M513" s="70">
        <f>SUM(M508:M512)</f>
        <v>0</v>
      </c>
      <c r="N513" s="77"/>
      <c r="O513" s="74">
        <f>SUM(O508:O512)</f>
        <v>0</v>
      </c>
      <c r="P513" s="75">
        <f ca="1">SUMIF(B506:N506,"&gt;="&amp;15,C513:O513)</f>
        <v>0</v>
      </c>
    </row>
    <row r="514" spans="1:16" s="45" customFormat="1" x14ac:dyDescent="0.2">
      <c r="A514" s="46"/>
      <c r="C514" s="6"/>
      <c r="D514" s="6"/>
      <c r="E514" s="6"/>
      <c r="F514" s="6"/>
      <c r="G514" s="6"/>
      <c r="H514" s="6"/>
      <c r="I514" s="6"/>
      <c r="J514" s="6"/>
      <c r="K514" s="6"/>
      <c r="L514" s="6"/>
      <c r="M514" s="6"/>
      <c r="N514" s="6"/>
      <c r="O514" s="6"/>
    </row>
    <row r="515" spans="1:16" ht="15" customHeight="1" x14ac:dyDescent="0.2">
      <c r="A515" s="43" t="s">
        <v>255</v>
      </c>
      <c r="B515" s="9">
        <f ca="1">DAY(IF(DAY(SepSun1)=1,SepSun1+29,SepSun1+36))</f>
        <v>6</v>
      </c>
      <c r="C515" s="8"/>
      <c r="D515" s="9">
        <f ca="1">DAY(IF(DAY(SepSun1)=1,SepSun1+30,SepSun1+37))</f>
        <v>7</v>
      </c>
      <c r="E515" s="10"/>
      <c r="F515" s="7">
        <f ca="1">DAY(IF(DAY(SepSun1)=1,SepSun1+31,SepSun1+38))</f>
        <v>8</v>
      </c>
      <c r="G515" s="10"/>
      <c r="H515" s="9">
        <f ca="1">DAY(IF(DAY(SepSun1)=1,SepSun1+32,SepSun1+39))</f>
        <v>9</v>
      </c>
      <c r="I515" s="10"/>
      <c r="J515" s="9">
        <f ca="1">DAY(IF(DAY(SepSun1)=1,SepSun1+33,SepSun1+40))</f>
        <v>10</v>
      </c>
      <c r="K515" s="10"/>
      <c r="L515" s="9">
        <f ca="1">DAY(IF(DAY(SepSun1)=1,SepSun1+34,SepSun1+41))</f>
        <v>11</v>
      </c>
      <c r="M515" s="10"/>
      <c r="N515" s="9">
        <f ca="1">DAY(IF(DAY(SepSun1)=1,SepSun1+35,SepSun1+42))</f>
        <v>12</v>
      </c>
      <c r="O515" s="10"/>
      <c r="P515" s="27"/>
    </row>
    <row r="516" spans="1:16" ht="11.25" customHeight="1" x14ac:dyDescent="0.2">
      <c r="A516" s="43" t="s">
        <v>256</v>
      </c>
      <c r="B516" s="35" t="s">
        <v>345</v>
      </c>
      <c r="C516" s="37" t="s">
        <v>359</v>
      </c>
      <c r="D516" s="35" t="s">
        <v>345</v>
      </c>
      <c r="E516" s="37" t="s">
        <v>359</v>
      </c>
      <c r="F516" s="35" t="s">
        <v>345</v>
      </c>
      <c r="G516" s="37" t="s">
        <v>359</v>
      </c>
      <c r="H516" s="35" t="s">
        <v>345</v>
      </c>
      <c r="I516" s="37" t="s">
        <v>359</v>
      </c>
      <c r="J516" s="35" t="s">
        <v>345</v>
      </c>
      <c r="K516" s="37" t="s">
        <v>359</v>
      </c>
      <c r="L516" s="35" t="s">
        <v>345</v>
      </c>
      <c r="M516" s="37" t="s">
        <v>359</v>
      </c>
      <c r="N516" s="35" t="s">
        <v>345</v>
      </c>
      <c r="O516" s="38" t="s">
        <v>359</v>
      </c>
      <c r="P516" s="51"/>
    </row>
    <row r="517" spans="1:16" ht="11.25" customHeight="1" x14ac:dyDescent="0.2">
      <c r="A517" s="43" t="s">
        <v>257</v>
      </c>
      <c r="B517" s="14"/>
      <c r="C517" s="67"/>
      <c r="D517" s="17"/>
      <c r="E517" s="67"/>
      <c r="F517" s="14"/>
      <c r="G517" s="67"/>
      <c r="H517" s="14"/>
      <c r="I517" s="67"/>
      <c r="J517" s="14"/>
      <c r="K517" s="67"/>
      <c r="L517" s="14"/>
      <c r="M517" s="67"/>
      <c r="N517" s="14"/>
      <c r="O517" s="71"/>
      <c r="P517" s="51"/>
    </row>
    <row r="518" spans="1:16" ht="11.25" customHeight="1" x14ac:dyDescent="0.2">
      <c r="B518" s="15"/>
      <c r="C518" s="68"/>
      <c r="D518" s="15"/>
      <c r="E518" s="68"/>
      <c r="F518" s="15"/>
      <c r="G518" s="68"/>
      <c r="H518" s="15"/>
      <c r="I518" s="68"/>
      <c r="J518" s="15"/>
      <c r="K518" s="68"/>
      <c r="L518" s="15"/>
      <c r="M518" s="68"/>
      <c r="N518" s="15"/>
      <c r="O518" s="72"/>
      <c r="P518" s="51"/>
    </row>
    <row r="519" spans="1:16" ht="11.25" customHeight="1" x14ac:dyDescent="0.2">
      <c r="B519" s="15"/>
      <c r="C519" s="68"/>
      <c r="D519" s="15"/>
      <c r="E519" s="68"/>
      <c r="F519" s="15"/>
      <c r="G519" s="68"/>
      <c r="H519" s="15"/>
      <c r="I519" s="68"/>
      <c r="J519" s="15"/>
      <c r="K519" s="68"/>
      <c r="L519" s="15"/>
      <c r="M519" s="68"/>
      <c r="N519" s="15"/>
      <c r="O519" s="72"/>
      <c r="P519" s="51"/>
    </row>
    <row r="520" spans="1:16" ht="11.25" customHeight="1" x14ac:dyDescent="0.2">
      <c r="B520" s="15"/>
      <c r="C520" s="68"/>
      <c r="D520" s="15"/>
      <c r="E520" s="68"/>
      <c r="F520" s="15"/>
      <c r="G520" s="68"/>
      <c r="H520" s="15"/>
      <c r="I520" s="68"/>
      <c r="J520" s="15"/>
      <c r="K520" s="68"/>
      <c r="L520" s="15"/>
      <c r="M520" s="68"/>
      <c r="N520" s="15"/>
      <c r="O520" s="72"/>
      <c r="P520" s="51"/>
    </row>
    <row r="521" spans="1:16" ht="11.25" customHeight="1" x14ac:dyDescent="0.2">
      <c r="B521" s="16"/>
      <c r="C521" s="69"/>
      <c r="D521" s="16"/>
      <c r="E521" s="69"/>
      <c r="F521" s="16"/>
      <c r="G521" s="69"/>
      <c r="H521" s="16"/>
      <c r="I521" s="69"/>
      <c r="J521" s="16"/>
      <c r="K521" s="69"/>
      <c r="L521" s="16"/>
      <c r="M521" s="69"/>
      <c r="N521" s="16"/>
      <c r="O521" s="73"/>
      <c r="P521" s="51"/>
    </row>
    <row r="522" spans="1:16" ht="11.25" customHeight="1" x14ac:dyDescent="0.2">
      <c r="A522" s="43" t="s">
        <v>258</v>
      </c>
      <c r="B522" s="53" t="s">
        <v>346</v>
      </c>
      <c r="C522" s="70">
        <f>SUM(C517:C521)</f>
        <v>0</v>
      </c>
      <c r="D522" s="77"/>
      <c r="E522" s="70">
        <f>SUM(E517:E521)</f>
        <v>0</v>
      </c>
      <c r="F522" s="77"/>
      <c r="G522" s="70">
        <f>SUM(G517:G521)</f>
        <v>0</v>
      </c>
      <c r="H522" s="77"/>
      <c r="I522" s="70">
        <f>SUM(I517:I521)</f>
        <v>0</v>
      </c>
      <c r="J522" s="77"/>
      <c r="K522" s="70">
        <f>SUM(K517:K521)</f>
        <v>0</v>
      </c>
      <c r="L522" s="77"/>
      <c r="M522" s="70">
        <f>SUM(M517:M521)</f>
        <v>0</v>
      </c>
      <c r="N522" s="77"/>
      <c r="O522" s="74">
        <f>SUM(O517:O521)</f>
        <v>0</v>
      </c>
      <c r="P522" s="75">
        <f ca="1">SUMIF(B515:N515,"&gt;="&amp;15,C522:O522)</f>
        <v>0</v>
      </c>
    </row>
    <row r="523" spans="1:16" s="45" customFormat="1" ht="17.25" customHeight="1" x14ac:dyDescent="0.2">
      <c r="A523" s="46"/>
      <c r="B523" s="49"/>
      <c r="C523" s="50"/>
      <c r="D523" s="49"/>
      <c r="E523" s="50"/>
      <c r="F523" s="49"/>
      <c r="G523" s="50"/>
      <c r="H523" s="49"/>
      <c r="I523" s="50"/>
      <c r="J523" s="49"/>
      <c r="K523" s="50"/>
      <c r="L523" s="49"/>
      <c r="M523" s="50"/>
      <c r="N523" s="49"/>
      <c r="O523" s="50"/>
      <c r="P523" s="49"/>
    </row>
    <row r="524" spans="1:16" ht="12" customHeight="1" x14ac:dyDescent="0.2">
      <c r="A524" s="43" t="s">
        <v>259</v>
      </c>
      <c r="B524" s="97" t="s">
        <v>355</v>
      </c>
      <c r="C524" s="97"/>
      <c r="D524" s="97"/>
      <c r="E524" s="97"/>
      <c r="F524"/>
      <c r="G524" s="4"/>
      <c r="H524"/>
      <c r="I524" s="4"/>
      <c r="J524"/>
      <c r="K524" s="4"/>
      <c r="L524" s="81" t="s">
        <v>369</v>
      </c>
      <c r="M524" s="81"/>
      <c r="N524" s="81" t="s">
        <v>371</v>
      </c>
      <c r="O524" s="81"/>
      <c r="P524"/>
    </row>
    <row r="525" spans="1:16" ht="25.5" customHeight="1" x14ac:dyDescent="0.2">
      <c r="A525" s="43" t="s">
        <v>260</v>
      </c>
      <c r="B525" s="97"/>
      <c r="C525" s="97"/>
      <c r="D525" s="97"/>
      <c r="E525" s="97"/>
      <c r="F525" s="47" t="str">
        <f ca="1">IFERROR(WEEKDAY(DATEVALUE(B524&amp;" 1, "&amp;Year1)),"")</f>
        <v/>
      </c>
      <c r="G525" s="6"/>
      <c r="H525" s="45"/>
      <c r="I525" s="6"/>
      <c r="J525" s="45"/>
      <c r="K525" s="6"/>
      <c r="L525" s="82">
        <f ca="1">SUM(P535,P544,P553,P562,P571,P580)</f>
        <v>0</v>
      </c>
      <c r="M525" s="83"/>
      <c r="N525" s="82">
        <f ca="1">SUM(P:P)</f>
        <v>439.95</v>
      </c>
      <c r="O525" s="84"/>
      <c r="P525"/>
    </row>
    <row r="526" spans="1:16" s="45" customFormat="1" ht="9" customHeight="1" x14ac:dyDescent="0.2">
      <c r="A526" s="46" t="s">
        <v>261</v>
      </c>
      <c r="B526" s="98">
        <v>1</v>
      </c>
      <c r="C526" s="98"/>
      <c r="D526" s="98">
        <v>2</v>
      </c>
      <c r="E526" s="98"/>
      <c r="F526" s="98">
        <v>3</v>
      </c>
      <c r="G526" s="98"/>
      <c r="H526" s="98">
        <v>4</v>
      </c>
      <c r="I526" s="98"/>
      <c r="J526" s="98">
        <v>5</v>
      </c>
      <c r="K526" s="98"/>
      <c r="L526" s="98">
        <v>6</v>
      </c>
      <c r="M526" s="98"/>
      <c r="N526" s="98">
        <v>7</v>
      </c>
      <c r="O526" s="98"/>
      <c r="P526" s="48"/>
    </row>
    <row r="527" spans="1:16" ht="15" customHeight="1" x14ac:dyDescent="0.2">
      <c r="A527" s="43" t="s">
        <v>262</v>
      </c>
      <c r="B527" s="87" t="s">
        <v>372</v>
      </c>
      <c r="C527" s="88"/>
      <c r="D527" s="89" t="s">
        <v>344</v>
      </c>
      <c r="E527" s="90"/>
      <c r="F527" s="91" t="s">
        <v>360</v>
      </c>
      <c r="G527" s="90" t="e">
        <f ca="1">IF(WEEKDAY(DATEVALUE(Month1&amp;" 1, "&amp;Year1))=COLUMN(#REF!),1,IF(LEN(E527)&gt;0,E527+1,""))</f>
        <v>#VALUE!</v>
      </c>
      <c r="H527" s="92" t="s">
        <v>361</v>
      </c>
      <c r="I527" s="92" t="e">
        <f ca="1">IF(WEEKDAY(DATEVALUE(Month1&amp;" 1, "&amp;Year1))=COLUMN(#REF!),1,IF(LEN(G527)&gt;0,G527+1,""))</f>
        <v>#VALUE!</v>
      </c>
      <c r="J527" s="91" t="s">
        <v>364</v>
      </c>
      <c r="K527" s="90" t="e">
        <f ca="1">IF(WEEKDAY(DATEVALUE(Month1&amp;" 1, "&amp;Year1))=COLUMN(#REF!),1,IF(LEN(I527)&gt;0,I527+1,""))</f>
        <v>#VALUE!</v>
      </c>
      <c r="L527" s="93" t="s">
        <v>368</v>
      </c>
      <c r="M527" s="94" t="e">
        <f ca="1">IF(WEEKDAY(DATEVALUE(Month1&amp;" 1, "&amp;Year1))=COLUMN(#REF!),1,IF(LEN(K527)&gt;0,K527+1,""))</f>
        <v>#VALUE!</v>
      </c>
      <c r="N527" s="95" t="s">
        <v>370</v>
      </c>
      <c r="O527" s="96" t="e">
        <f ca="1">IF(WEEKDAY(DATEVALUE(Month1&amp;" 1, "&amp;Year1))=COLUMN(#REF!),1,IF(LEN(M527)&gt;0,M527+1,""))</f>
        <v>#VALUE!</v>
      </c>
      <c r="P527" s="40" t="s">
        <v>373</v>
      </c>
    </row>
    <row r="528" spans="1:16" ht="15" customHeight="1" x14ac:dyDescent="0.2">
      <c r="A528" s="43" t="s">
        <v>263</v>
      </c>
      <c r="B528" s="11">
        <f ca="1">DAY(IF(DAY(OctSun1)=1,OctSun1-6,OctSun1+1))</f>
        <v>29</v>
      </c>
      <c r="C528" s="13"/>
      <c r="D528" s="18">
        <f ca="1">DAY(IF(DAY(OctSun1)=1,OctSun1-5,OctSun1+2))</f>
        <v>30</v>
      </c>
      <c r="E528" s="13"/>
      <c r="F528" s="18">
        <f ca="1">DAY(IF(DAY(OctSun1)=1,OctSun1-4,OctSun1+3))</f>
        <v>1</v>
      </c>
      <c r="G528" s="13"/>
      <c r="H528" s="18">
        <f ca="1">DAY(IF(DAY(OctSun1)=1,OctSun1-3,OctSun1+4))</f>
        <v>2</v>
      </c>
      <c r="I528" s="13"/>
      <c r="J528" s="18">
        <f ca="1">DAY(IF(DAY(OctSun1)=1,OctSun1-2,OctSun1+5))</f>
        <v>3</v>
      </c>
      <c r="K528" s="13"/>
      <c r="L528" s="18">
        <f ca="1">DAY(IF(DAY(OctSun1)=1,OctSun1-1,OctSun1+6))</f>
        <v>4</v>
      </c>
      <c r="M528" s="13"/>
      <c r="N528" s="22">
        <f ca="1">DAY(IF(DAY(OctSun1)=1,OctSun1,OctSun1+7))</f>
        <v>5</v>
      </c>
      <c r="O528" s="12"/>
      <c r="P528" s="51"/>
    </row>
    <row r="529" spans="1:16" ht="11.25" customHeight="1" x14ac:dyDescent="0.2">
      <c r="A529" s="43" t="s">
        <v>264</v>
      </c>
      <c r="B529" s="39" t="s">
        <v>345</v>
      </c>
      <c r="C529" s="34" t="s">
        <v>359</v>
      </c>
      <c r="D529" s="33" t="s">
        <v>345</v>
      </c>
      <c r="E529" s="34" t="s">
        <v>359</v>
      </c>
      <c r="F529" s="33" t="s">
        <v>345</v>
      </c>
      <c r="G529" s="34" t="s">
        <v>359</v>
      </c>
      <c r="H529" s="33" t="s">
        <v>345</v>
      </c>
      <c r="I529" s="34" t="s">
        <v>359</v>
      </c>
      <c r="J529" s="33" t="s">
        <v>345</v>
      </c>
      <c r="K529" s="34" t="s">
        <v>359</v>
      </c>
      <c r="L529" s="33" t="s">
        <v>345</v>
      </c>
      <c r="M529" s="34" t="s">
        <v>359</v>
      </c>
      <c r="N529" s="35" t="s">
        <v>345</v>
      </c>
      <c r="O529" s="36" t="s">
        <v>359</v>
      </c>
      <c r="P529" s="51"/>
    </row>
    <row r="530" spans="1:16" ht="11.25" customHeight="1" x14ac:dyDescent="0.2">
      <c r="A530" s="43" t="s">
        <v>265</v>
      </c>
      <c r="B530" s="14"/>
      <c r="C530" s="67"/>
      <c r="D530" s="17"/>
      <c r="E530" s="67"/>
      <c r="F530" s="14"/>
      <c r="G530" s="67"/>
      <c r="H530" s="14"/>
      <c r="I530" s="67"/>
      <c r="J530" s="14"/>
      <c r="K530" s="67"/>
      <c r="L530" s="14"/>
      <c r="M530" s="67"/>
      <c r="N530" s="14"/>
      <c r="O530" s="71"/>
      <c r="P530" s="51"/>
    </row>
    <row r="531" spans="1:16" ht="11.25" customHeight="1" x14ac:dyDescent="0.2">
      <c r="B531" s="15"/>
      <c r="C531" s="68"/>
      <c r="D531" s="15"/>
      <c r="E531" s="68"/>
      <c r="F531" s="15"/>
      <c r="G531" s="68"/>
      <c r="H531" s="15"/>
      <c r="I531" s="68"/>
      <c r="J531" s="15"/>
      <c r="K531" s="68"/>
      <c r="L531" s="15"/>
      <c r="M531" s="68"/>
      <c r="N531" s="15"/>
      <c r="O531" s="72"/>
      <c r="P531" s="51"/>
    </row>
    <row r="532" spans="1:16" ht="11.25" customHeight="1" x14ac:dyDescent="0.2">
      <c r="B532" s="15"/>
      <c r="C532" s="68"/>
      <c r="D532" s="15"/>
      <c r="E532" s="68"/>
      <c r="F532" s="15"/>
      <c r="G532" s="68"/>
      <c r="H532" s="15"/>
      <c r="I532" s="68"/>
      <c r="J532" s="15"/>
      <c r="K532" s="68"/>
      <c r="L532" s="15"/>
      <c r="M532" s="68"/>
      <c r="N532" s="15"/>
      <c r="O532" s="72"/>
      <c r="P532" s="51"/>
    </row>
    <row r="533" spans="1:16" ht="11.25" customHeight="1" x14ac:dyDescent="0.2">
      <c r="B533" s="15"/>
      <c r="C533" s="68"/>
      <c r="D533" s="15"/>
      <c r="E533" s="68"/>
      <c r="F533" s="15"/>
      <c r="G533" s="68"/>
      <c r="H533" s="15"/>
      <c r="I533" s="68"/>
      <c r="J533" s="15"/>
      <c r="K533" s="68"/>
      <c r="L533" s="15"/>
      <c r="M533" s="68"/>
      <c r="N533" s="15"/>
      <c r="O533" s="72"/>
      <c r="P533" s="51"/>
    </row>
    <row r="534" spans="1:16" ht="11.25" customHeight="1" x14ac:dyDescent="0.2">
      <c r="B534" s="16"/>
      <c r="C534" s="69"/>
      <c r="D534" s="16"/>
      <c r="E534" s="69"/>
      <c r="F534" s="16"/>
      <c r="G534" s="69"/>
      <c r="H534" s="16"/>
      <c r="I534" s="69"/>
      <c r="J534" s="16"/>
      <c r="K534" s="69"/>
      <c r="L534" s="16"/>
      <c r="M534" s="69"/>
      <c r="N534" s="16"/>
      <c r="O534" s="73"/>
      <c r="P534" s="51"/>
    </row>
    <row r="535" spans="1:16" ht="11.25" customHeight="1" x14ac:dyDescent="0.2">
      <c r="A535" s="43" t="s">
        <v>266</v>
      </c>
      <c r="B535" s="53" t="s">
        <v>346</v>
      </c>
      <c r="C535" s="70">
        <f>SUM(C530:C534)</f>
        <v>0</v>
      </c>
      <c r="D535" s="77"/>
      <c r="E535" s="70">
        <f>SUM(E530:E534)</f>
        <v>0</v>
      </c>
      <c r="F535" s="77"/>
      <c r="G535" s="70">
        <f>SUM(G530:G534)</f>
        <v>0</v>
      </c>
      <c r="H535" s="77"/>
      <c r="I535" s="70">
        <f>SUM(I530:I534)</f>
        <v>0</v>
      </c>
      <c r="J535" s="77"/>
      <c r="K535" s="70">
        <f>SUM(K530:K534)</f>
        <v>0</v>
      </c>
      <c r="L535" s="77"/>
      <c r="M535" s="70">
        <f>SUM(M530:M534)</f>
        <v>0</v>
      </c>
      <c r="N535" s="77"/>
      <c r="O535" s="74">
        <f>SUM(O530:O534)</f>
        <v>0</v>
      </c>
      <c r="P535" s="75">
        <f ca="1">SUMIF(B528:N528,"&lt;8",C535:O535)</f>
        <v>0</v>
      </c>
    </row>
    <row r="536" spans="1:16" s="45" customFormat="1" x14ac:dyDescent="0.2">
      <c r="A536" s="46"/>
      <c r="C536" s="6"/>
      <c r="D536" s="6"/>
      <c r="E536" s="6"/>
      <c r="F536" s="6"/>
      <c r="G536" s="6"/>
      <c r="H536" s="6"/>
      <c r="I536" s="6"/>
      <c r="J536" s="6"/>
      <c r="K536" s="6"/>
      <c r="L536" s="6"/>
      <c r="M536" s="6"/>
      <c r="N536" s="6"/>
      <c r="O536" s="6"/>
    </row>
    <row r="537" spans="1:16" ht="15" customHeight="1" x14ac:dyDescent="0.2">
      <c r="A537" s="43" t="s">
        <v>267</v>
      </c>
      <c r="B537" s="9">
        <f ca="1">N528+1</f>
        <v>6</v>
      </c>
      <c r="C537" s="10"/>
      <c r="D537" s="9">
        <f ca="1">B537+1</f>
        <v>7</v>
      </c>
      <c r="E537" s="10"/>
      <c r="F537" s="9">
        <f ca="1">D537+1</f>
        <v>8</v>
      </c>
      <c r="G537" s="10"/>
      <c r="H537" s="9">
        <f ca="1">F537+1</f>
        <v>9</v>
      </c>
      <c r="I537" s="10"/>
      <c r="J537" s="9">
        <f ca="1">H537+1</f>
        <v>10</v>
      </c>
      <c r="K537" s="10"/>
      <c r="L537" s="9">
        <f ca="1">J537+1</f>
        <v>11</v>
      </c>
      <c r="M537" s="10"/>
      <c r="N537" s="9">
        <f ca="1">L537+1</f>
        <v>12</v>
      </c>
      <c r="O537" s="10"/>
      <c r="P537" s="27"/>
    </row>
    <row r="538" spans="1:16" ht="11.25" customHeight="1" x14ac:dyDescent="0.2">
      <c r="A538" s="43" t="s">
        <v>268</v>
      </c>
      <c r="B538" s="35" t="s">
        <v>345</v>
      </c>
      <c r="C538" s="37" t="s">
        <v>359</v>
      </c>
      <c r="D538" s="35" t="s">
        <v>345</v>
      </c>
      <c r="E538" s="37" t="s">
        <v>359</v>
      </c>
      <c r="F538" s="35" t="s">
        <v>345</v>
      </c>
      <c r="G538" s="37" t="s">
        <v>359</v>
      </c>
      <c r="H538" s="35" t="s">
        <v>345</v>
      </c>
      <c r="I538" s="37" t="s">
        <v>359</v>
      </c>
      <c r="J538" s="35" t="s">
        <v>345</v>
      </c>
      <c r="K538" s="37" t="s">
        <v>359</v>
      </c>
      <c r="L538" s="35" t="s">
        <v>345</v>
      </c>
      <c r="M538" s="37" t="s">
        <v>359</v>
      </c>
      <c r="N538" s="35" t="s">
        <v>345</v>
      </c>
      <c r="O538" s="38" t="s">
        <v>359</v>
      </c>
      <c r="P538" s="51"/>
    </row>
    <row r="539" spans="1:16" ht="11.25" customHeight="1" x14ac:dyDescent="0.2">
      <c r="A539" s="43" t="s">
        <v>269</v>
      </c>
      <c r="B539" s="19"/>
      <c r="C539" s="67"/>
      <c r="D539" s="19"/>
      <c r="E539" s="67"/>
      <c r="F539" s="19"/>
      <c r="G539" s="67"/>
      <c r="H539" s="19"/>
      <c r="I539" s="67"/>
      <c r="J539" s="19"/>
      <c r="K539" s="67"/>
      <c r="L539" s="19"/>
      <c r="M539" s="67"/>
      <c r="N539" s="19"/>
      <c r="O539" s="71"/>
      <c r="P539" s="51"/>
    </row>
    <row r="540" spans="1:16" ht="11.25" customHeight="1" x14ac:dyDescent="0.2">
      <c r="B540" s="20"/>
      <c r="C540" s="68"/>
      <c r="D540" s="20"/>
      <c r="E540" s="68"/>
      <c r="F540" s="20"/>
      <c r="G540" s="68"/>
      <c r="H540" s="20"/>
      <c r="I540" s="68"/>
      <c r="J540" s="20"/>
      <c r="K540" s="68"/>
      <c r="L540" s="20"/>
      <c r="M540" s="68"/>
      <c r="N540" s="20"/>
      <c r="O540" s="72"/>
      <c r="P540" s="51"/>
    </row>
    <row r="541" spans="1:16" ht="11.25" customHeight="1" x14ac:dyDescent="0.2">
      <c r="B541" s="20"/>
      <c r="C541" s="68"/>
      <c r="D541" s="20"/>
      <c r="E541" s="68"/>
      <c r="F541" s="20"/>
      <c r="G541" s="68"/>
      <c r="H541" s="20"/>
      <c r="I541" s="68"/>
      <c r="J541" s="20"/>
      <c r="K541" s="68"/>
      <c r="L541" s="20"/>
      <c r="M541" s="68"/>
      <c r="N541" s="20"/>
      <c r="O541" s="72"/>
      <c r="P541" s="51"/>
    </row>
    <row r="542" spans="1:16" ht="11.25" customHeight="1" x14ac:dyDescent="0.2">
      <c r="B542" s="20"/>
      <c r="C542" s="68"/>
      <c r="D542" s="20"/>
      <c r="E542" s="68"/>
      <c r="F542" s="20"/>
      <c r="G542" s="68"/>
      <c r="H542" s="20"/>
      <c r="I542" s="68"/>
      <c r="J542" s="20"/>
      <c r="K542" s="68"/>
      <c r="L542" s="20"/>
      <c r="M542" s="68"/>
      <c r="N542" s="20"/>
      <c r="O542" s="72"/>
      <c r="P542" s="51"/>
    </row>
    <row r="543" spans="1:16" ht="11.25" customHeight="1" x14ac:dyDescent="0.2">
      <c r="B543" s="21"/>
      <c r="C543" s="69"/>
      <c r="D543" s="21"/>
      <c r="E543" s="69"/>
      <c r="F543" s="21"/>
      <c r="G543" s="69"/>
      <c r="H543" s="21"/>
      <c r="I543" s="69"/>
      <c r="J543" s="21"/>
      <c r="K543" s="69"/>
      <c r="L543" s="21"/>
      <c r="M543" s="69"/>
      <c r="N543" s="21"/>
      <c r="O543" s="73"/>
      <c r="P543" s="51"/>
    </row>
    <row r="544" spans="1:16" ht="11.25" customHeight="1" x14ac:dyDescent="0.2">
      <c r="A544" s="43" t="s">
        <v>270</v>
      </c>
      <c r="B544" s="53" t="s">
        <v>346</v>
      </c>
      <c r="C544" s="70">
        <f>SUM(C539:C543)</f>
        <v>0</v>
      </c>
      <c r="D544" s="77"/>
      <c r="E544" s="70">
        <f>SUM(E539:E543)</f>
        <v>0</v>
      </c>
      <c r="F544" s="77"/>
      <c r="G544" s="70">
        <f>SUM(G539:G543)</f>
        <v>0</v>
      </c>
      <c r="H544" s="77"/>
      <c r="I544" s="70">
        <f>SUM(I539:I543)</f>
        <v>0</v>
      </c>
      <c r="J544" s="77"/>
      <c r="K544" s="70">
        <f>SUM(K539:K543)</f>
        <v>0</v>
      </c>
      <c r="L544" s="77"/>
      <c r="M544" s="70">
        <f>SUM(M539:M543)</f>
        <v>0</v>
      </c>
      <c r="N544" s="77"/>
      <c r="O544" s="74">
        <f>SUM(O539:O543)</f>
        <v>0</v>
      </c>
      <c r="P544" s="75">
        <f>SUM(C544,E544,G544,I544,K544,M544,O544)</f>
        <v>0</v>
      </c>
    </row>
    <row r="545" spans="1:16" s="45" customFormat="1" x14ac:dyDescent="0.2">
      <c r="A545" s="46"/>
      <c r="C545" s="6"/>
      <c r="D545" s="6"/>
      <c r="E545" s="6"/>
      <c r="F545" s="6"/>
      <c r="G545" s="6"/>
      <c r="H545" s="6"/>
      <c r="I545" s="6"/>
      <c r="J545" s="6"/>
      <c r="K545" s="6"/>
      <c r="L545" s="6"/>
      <c r="M545" s="6"/>
      <c r="N545" s="6"/>
      <c r="O545" s="6"/>
    </row>
    <row r="546" spans="1:16" ht="15" customHeight="1" x14ac:dyDescent="0.2">
      <c r="A546" s="43" t="s">
        <v>271</v>
      </c>
      <c r="B546" s="9">
        <f ca="1">N537+1</f>
        <v>13</v>
      </c>
      <c r="C546" s="10"/>
      <c r="D546" s="9">
        <f ca="1">B546+1</f>
        <v>14</v>
      </c>
      <c r="E546" s="10"/>
      <c r="F546" s="9">
        <f ca="1">D546+1</f>
        <v>15</v>
      </c>
      <c r="G546" s="10"/>
      <c r="H546" s="9">
        <f ca="1">F546+1</f>
        <v>16</v>
      </c>
      <c r="I546" s="10"/>
      <c r="J546" s="9">
        <f ca="1">H546+1</f>
        <v>17</v>
      </c>
      <c r="K546" s="10"/>
      <c r="L546" s="9">
        <f ca="1">J546+1</f>
        <v>18</v>
      </c>
      <c r="M546" s="10"/>
      <c r="N546" s="9">
        <f ca="1">L546+1</f>
        <v>19</v>
      </c>
      <c r="O546" s="10"/>
      <c r="P546" s="27"/>
    </row>
    <row r="547" spans="1:16" ht="11.25" customHeight="1" x14ac:dyDescent="0.2">
      <c r="A547" s="43" t="s">
        <v>272</v>
      </c>
      <c r="B547" s="35" t="s">
        <v>345</v>
      </c>
      <c r="C547" s="37" t="s">
        <v>359</v>
      </c>
      <c r="D547" s="35" t="s">
        <v>345</v>
      </c>
      <c r="E547" s="37" t="s">
        <v>359</v>
      </c>
      <c r="F547" s="35" t="s">
        <v>345</v>
      </c>
      <c r="G547" s="37" t="s">
        <v>359</v>
      </c>
      <c r="H547" s="35" t="s">
        <v>345</v>
      </c>
      <c r="I547" s="37" t="s">
        <v>359</v>
      </c>
      <c r="J547" s="35" t="s">
        <v>345</v>
      </c>
      <c r="K547" s="37" t="s">
        <v>359</v>
      </c>
      <c r="L547" s="35" t="s">
        <v>345</v>
      </c>
      <c r="M547" s="37" t="s">
        <v>359</v>
      </c>
      <c r="N547" s="35" t="s">
        <v>345</v>
      </c>
      <c r="O547" s="38" t="s">
        <v>359</v>
      </c>
      <c r="P547" s="51"/>
    </row>
    <row r="548" spans="1:16" ht="11.25" customHeight="1" x14ac:dyDescent="0.2">
      <c r="A548" s="43" t="s">
        <v>273</v>
      </c>
      <c r="B548" s="19"/>
      <c r="C548" s="67"/>
      <c r="D548" s="19"/>
      <c r="E548" s="67"/>
      <c r="F548" s="19"/>
      <c r="G548" s="67"/>
      <c r="H548" s="19"/>
      <c r="I548" s="67"/>
      <c r="J548" s="19"/>
      <c r="K548" s="67"/>
      <c r="L548" s="19"/>
      <c r="M548" s="67"/>
      <c r="N548" s="19"/>
      <c r="O548" s="71"/>
      <c r="P548" s="51"/>
    </row>
    <row r="549" spans="1:16" ht="11.25" customHeight="1" x14ac:dyDescent="0.2">
      <c r="B549" s="20"/>
      <c r="C549" s="68"/>
      <c r="D549" s="20"/>
      <c r="E549" s="68"/>
      <c r="F549" s="20"/>
      <c r="G549" s="68"/>
      <c r="H549" s="20"/>
      <c r="I549" s="68"/>
      <c r="J549" s="20"/>
      <c r="K549" s="68"/>
      <c r="L549" s="20"/>
      <c r="M549" s="68"/>
      <c r="N549" s="20"/>
      <c r="O549" s="72"/>
      <c r="P549" s="51"/>
    </row>
    <row r="550" spans="1:16" ht="11.25" customHeight="1" x14ac:dyDescent="0.2">
      <c r="B550" s="20"/>
      <c r="C550" s="68"/>
      <c r="D550" s="20"/>
      <c r="E550" s="68"/>
      <c r="F550" s="20"/>
      <c r="G550" s="68"/>
      <c r="H550" s="20"/>
      <c r="I550" s="68"/>
      <c r="J550" s="20"/>
      <c r="K550" s="68"/>
      <c r="L550" s="20"/>
      <c r="M550" s="68"/>
      <c r="N550" s="20"/>
      <c r="O550" s="72"/>
      <c r="P550" s="51"/>
    </row>
    <row r="551" spans="1:16" ht="11.25" customHeight="1" x14ac:dyDescent="0.2">
      <c r="B551" s="20"/>
      <c r="C551" s="68"/>
      <c r="D551" s="20"/>
      <c r="E551" s="68"/>
      <c r="F551" s="20"/>
      <c r="G551" s="68"/>
      <c r="H551" s="20"/>
      <c r="I551" s="68"/>
      <c r="J551" s="20"/>
      <c r="K551" s="68"/>
      <c r="L551" s="20"/>
      <c r="M551" s="68"/>
      <c r="N551" s="20"/>
      <c r="O551" s="72"/>
      <c r="P551" s="51"/>
    </row>
    <row r="552" spans="1:16" ht="11.25" customHeight="1" x14ac:dyDescent="0.2">
      <c r="B552" s="21"/>
      <c r="C552" s="69"/>
      <c r="D552" s="21"/>
      <c r="E552" s="69"/>
      <c r="F552" s="21"/>
      <c r="G552" s="69"/>
      <c r="H552" s="21"/>
      <c r="I552" s="69"/>
      <c r="J552" s="21"/>
      <c r="K552" s="69"/>
      <c r="L552" s="21"/>
      <c r="M552" s="69"/>
      <c r="N552" s="21"/>
      <c r="O552" s="73"/>
      <c r="P552" s="51"/>
    </row>
    <row r="553" spans="1:16" ht="11.25" customHeight="1" x14ac:dyDescent="0.2">
      <c r="A553" s="43" t="s">
        <v>274</v>
      </c>
      <c r="B553" s="54" t="s">
        <v>346</v>
      </c>
      <c r="C553" s="70">
        <f>SUM(C548:C552)</f>
        <v>0</v>
      </c>
      <c r="D553" s="77"/>
      <c r="E553" s="70">
        <f>SUM(E548:E552)</f>
        <v>0</v>
      </c>
      <c r="F553" s="77"/>
      <c r="G553" s="70">
        <f>SUM(G548:G552)</f>
        <v>0</v>
      </c>
      <c r="H553" s="77"/>
      <c r="I553" s="70">
        <f>SUM(I548:I552)</f>
        <v>0</v>
      </c>
      <c r="J553" s="77"/>
      <c r="K553" s="70">
        <f>SUM(K548:K552)</f>
        <v>0</v>
      </c>
      <c r="L553" s="77"/>
      <c r="M553" s="70">
        <f>SUM(M548:M552)</f>
        <v>0</v>
      </c>
      <c r="N553" s="77"/>
      <c r="O553" s="74">
        <f>SUM(O548:O552)</f>
        <v>0</v>
      </c>
      <c r="P553" s="75">
        <f>SUM(C553,E553,G553,I553,K553,M553,O553)</f>
        <v>0</v>
      </c>
    </row>
    <row r="554" spans="1:16" s="45" customFormat="1" x14ac:dyDescent="0.2">
      <c r="A554" s="46"/>
      <c r="C554" s="6"/>
      <c r="D554" s="6"/>
      <c r="E554" s="6"/>
      <c r="F554" s="6"/>
      <c r="G554" s="6"/>
      <c r="H554" s="6"/>
      <c r="I554" s="6"/>
      <c r="J554" s="6"/>
      <c r="K554" s="6"/>
      <c r="L554" s="6"/>
      <c r="M554" s="6"/>
      <c r="N554" s="6"/>
      <c r="O554" s="6"/>
    </row>
    <row r="555" spans="1:16" ht="15" customHeight="1" x14ac:dyDescent="0.2">
      <c r="A555" s="43" t="s">
        <v>275</v>
      </c>
      <c r="B555" s="9">
        <f ca="1">N546+1</f>
        <v>20</v>
      </c>
      <c r="C555" s="10"/>
      <c r="D555" s="9">
        <f ca="1">B555+1</f>
        <v>21</v>
      </c>
      <c r="E555" s="10"/>
      <c r="F555" s="9">
        <f ca="1">D555+1</f>
        <v>22</v>
      </c>
      <c r="G555" s="10"/>
      <c r="H555" s="9">
        <f ca="1">F555+1</f>
        <v>23</v>
      </c>
      <c r="I555" s="10"/>
      <c r="J555" s="9">
        <f ca="1">H555+1</f>
        <v>24</v>
      </c>
      <c r="K555" s="10"/>
      <c r="L555" s="9">
        <f ca="1">J555+1</f>
        <v>25</v>
      </c>
      <c r="M555" s="10"/>
      <c r="N555" s="9">
        <f ca="1">L555+1</f>
        <v>26</v>
      </c>
      <c r="O555" s="10"/>
      <c r="P555" s="27"/>
    </row>
    <row r="556" spans="1:16" ht="11.25" customHeight="1" x14ac:dyDescent="0.2">
      <c r="A556" s="43" t="s">
        <v>276</v>
      </c>
      <c r="B556" s="35" t="s">
        <v>345</v>
      </c>
      <c r="C556" s="37" t="s">
        <v>359</v>
      </c>
      <c r="D556" s="35" t="s">
        <v>345</v>
      </c>
      <c r="E556" s="37" t="s">
        <v>359</v>
      </c>
      <c r="F556" s="35" t="s">
        <v>345</v>
      </c>
      <c r="G556" s="37" t="s">
        <v>359</v>
      </c>
      <c r="H556" s="35" t="s">
        <v>345</v>
      </c>
      <c r="I556" s="37" t="s">
        <v>359</v>
      </c>
      <c r="J556" s="35" t="s">
        <v>345</v>
      </c>
      <c r="K556" s="37" t="s">
        <v>359</v>
      </c>
      <c r="L556" s="35" t="s">
        <v>345</v>
      </c>
      <c r="M556" s="37" t="s">
        <v>359</v>
      </c>
      <c r="N556" s="35" t="s">
        <v>345</v>
      </c>
      <c r="O556" s="38" t="s">
        <v>359</v>
      </c>
      <c r="P556" s="51"/>
    </row>
    <row r="557" spans="1:16" ht="11.25" customHeight="1" x14ac:dyDescent="0.2">
      <c r="A557" s="43" t="s">
        <v>277</v>
      </c>
      <c r="B557" s="19"/>
      <c r="C557" s="67"/>
      <c r="D557" s="19"/>
      <c r="E557" s="67"/>
      <c r="F557" s="19"/>
      <c r="G557" s="67"/>
      <c r="H557" s="19"/>
      <c r="I557" s="67"/>
      <c r="J557" s="19"/>
      <c r="K557" s="67"/>
      <c r="L557" s="19"/>
      <c r="M557" s="67"/>
      <c r="N557" s="19"/>
      <c r="O557" s="71"/>
      <c r="P557" s="51"/>
    </row>
    <row r="558" spans="1:16" ht="11.25" customHeight="1" x14ac:dyDescent="0.2">
      <c r="B558" s="20"/>
      <c r="C558" s="68"/>
      <c r="D558" s="20"/>
      <c r="E558" s="68"/>
      <c r="F558" s="20"/>
      <c r="G558" s="68"/>
      <c r="H558" s="20"/>
      <c r="I558" s="68"/>
      <c r="J558" s="20"/>
      <c r="K558" s="68"/>
      <c r="L558" s="20"/>
      <c r="M558" s="68"/>
      <c r="N558" s="20"/>
      <c r="O558" s="72"/>
      <c r="P558" s="51"/>
    </row>
    <row r="559" spans="1:16" ht="11.25" customHeight="1" x14ac:dyDescent="0.2">
      <c r="B559" s="20"/>
      <c r="C559" s="68"/>
      <c r="D559" s="20"/>
      <c r="E559" s="68"/>
      <c r="F559" s="20"/>
      <c r="G559" s="68"/>
      <c r="H559" s="20"/>
      <c r="I559" s="68"/>
      <c r="J559" s="20"/>
      <c r="K559" s="68"/>
      <c r="L559" s="20"/>
      <c r="M559" s="68"/>
      <c r="N559" s="20"/>
      <c r="O559" s="72"/>
      <c r="P559" s="51"/>
    </row>
    <row r="560" spans="1:16" ht="11.25" customHeight="1" x14ac:dyDescent="0.2">
      <c r="B560" s="20"/>
      <c r="C560" s="68"/>
      <c r="D560" s="20"/>
      <c r="E560" s="68"/>
      <c r="F560" s="20"/>
      <c r="G560" s="68"/>
      <c r="H560" s="20"/>
      <c r="I560" s="68"/>
      <c r="J560" s="20"/>
      <c r="K560" s="68"/>
      <c r="L560" s="20"/>
      <c r="M560" s="68"/>
      <c r="N560" s="20"/>
      <c r="O560" s="72"/>
      <c r="P560" s="51"/>
    </row>
    <row r="561" spans="1:16" ht="11.25" customHeight="1" x14ac:dyDescent="0.2">
      <c r="B561" s="21"/>
      <c r="C561" s="69"/>
      <c r="D561" s="21"/>
      <c r="E561" s="69"/>
      <c r="F561" s="21"/>
      <c r="G561" s="69"/>
      <c r="H561" s="21"/>
      <c r="I561" s="69"/>
      <c r="J561" s="21"/>
      <c r="K561" s="69"/>
      <c r="L561" s="21"/>
      <c r="M561" s="69"/>
      <c r="N561" s="21"/>
      <c r="O561" s="73"/>
      <c r="P561" s="51"/>
    </row>
    <row r="562" spans="1:16" ht="11.25" customHeight="1" x14ac:dyDescent="0.2">
      <c r="A562" s="43" t="s">
        <v>278</v>
      </c>
      <c r="B562" s="53" t="s">
        <v>346</v>
      </c>
      <c r="C562" s="70">
        <f>SUM(C557:C561)</f>
        <v>0</v>
      </c>
      <c r="D562" s="77"/>
      <c r="E562" s="70">
        <f>SUM(E557:E561)</f>
        <v>0</v>
      </c>
      <c r="F562" s="77"/>
      <c r="G562" s="70">
        <f>SUM(G557:G561)</f>
        <v>0</v>
      </c>
      <c r="H562" s="77"/>
      <c r="I562" s="70">
        <f>SUM(I557:I561)</f>
        <v>0</v>
      </c>
      <c r="J562" s="77"/>
      <c r="K562" s="70">
        <f>SUM(K557:K561)</f>
        <v>0</v>
      </c>
      <c r="L562" s="77"/>
      <c r="M562" s="70">
        <f>SUM(M557:M561)</f>
        <v>0</v>
      </c>
      <c r="N562" s="77"/>
      <c r="O562" s="74">
        <f>SUM(O557:O561)</f>
        <v>0</v>
      </c>
      <c r="P562" s="75">
        <f>SUM(C562,E562,G562,I562,K562,M562,O562)</f>
        <v>0</v>
      </c>
    </row>
    <row r="563" spans="1:16" s="45" customFormat="1" x14ac:dyDescent="0.2">
      <c r="A563" s="46"/>
      <c r="C563" s="6"/>
      <c r="D563" s="6"/>
      <c r="E563" s="6"/>
      <c r="F563" s="6"/>
      <c r="G563" s="6"/>
      <c r="H563" s="6"/>
      <c r="I563" s="6"/>
      <c r="J563" s="6"/>
      <c r="K563" s="6"/>
      <c r="L563" s="6"/>
      <c r="M563" s="6"/>
      <c r="N563" s="6"/>
      <c r="O563" s="6"/>
    </row>
    <row r="564" spans="1:16" ht="15" customHeight="1" x14ac:dyDescent="0.2">
      <c r="A564" s="43" t="s">
        <v>279</v>
      </c>
      <c r="B564" s="9">
        <f ca="1">DAY(IF(DAY(OctSun1)=1,OctSun1+22,OctSun1+29))</f>
        <v>27</v>
      </c>
      <c r="C564" s="10"/>
      <c r="D564" s="9">
        <f ca="1">DAY(IF(DAY(OctSun1)=1,OctSun1+23,OctSun1+30))</f>
        <v>28</v>
      </c>
      <c r="E564" s="10"/>
      <c r="F564" s="9">
        <f ca="1">DAY(IF(DAY(OctSun1)=1,OctSun1+24,OctSun1+31))</f>
        <v>29</v>
      </c>
      <c r="G564" s="10"/>
      <c r="H564" s="9">
        <f ca="1">DAY(IF(DAY(OctSun1)=1,OctSun1+25,OctSun1+32))</f>
        <v>30</v>
      </c>
      <c r="I564" s="10"/>
      <c r="J564" s="9">
        <f ca="1">DAY(IF(DAY(OctSun1)=1,OctSun1+26,OctSun1+33))</f>
        <v>31</v>
      </c>
      <c r="K564" s="10"/>
      <c r="L564" s="9">
        <f ca="1">DAY(IF(DAY(OctSun1)=1,OctSun1+27,OctSun1+34))</f>
        <v>1</v>
      </c>
      <c r="M564" s="10"/>
      <c r="N564" s="9">
        <f ca="1">DAY(IF(DAY(OctSun1)=1,OctSun1+28,OctSun1+35))</f>
        <v>2</v>
      </c>
      <c r="O564" s="10"/>
      <c r="P564" s="27"/>
    </row>
    <row r="565" spans="1:16" ht="11.25" customHeight="1" x14ac:dyDescent="0.2">
      <c r="A565" s="43" t="s">
        <v>280</v>
      </c>
      <c r="B565" s="35" t="s">
        <v>345</v>
      </c>
      <c r="C565" s="37" t="s">
        <v>359</v>
      </c>
      <c r="D565" s="35" t="s">
        <v>345</v>
      </c>
      <c r="E565" s="37" t="s">
        <v>359</v>
      </c>
      <c r="F565" s="35" t="s">
        <v>345</v>
      </c>
      <c r="G565" s="37" t="s">
        <v>359</v>
      </c>
      <c r="H565" s="35" t="s">
        <v>345</v>
      </c>
      <c r="I565" s="37" t="s">
        <v>359</v>
      </c>
      <c r="J565" s="35" t="s">
        <v>345</v>
      </c>
      <c r="K565" s="37" t="s">
        <v>359</v>
      </c>
      <c r="L565" s="35" t="s">
        <v>345</v>
      </c>
      <c r="M565" s="37" t="s">
        <v>359</v>
      </c>
      <c r="N565" s="35" t="s">
        <v>345</v>
      </c>
      <c r="O565" s="38" t="s">
        <v>359</v>
      </c>
      <c r="P565" s="51"/>
    </row>
    <row r="566" spans="1:16" ht="11.25" customHeight="1" x14ac:dyDescent="0.2">
      <c r="A566" s="43" t="s">
        <v>281</v>
      </c>
      <c r="B566" s="14"/>
      <c r="C566" s="67"/>
      <c r="D566" s="17"/>
      <c r="E566" s="67"/>
      <c r="F566" s="14"/>
      <c r="G566" s="67"/>
      <c r="H566" s="14"/>
      <c r="I566" s="67"/>
      <c r="J566" s="14"/>
      <c r="K566" s="67"/>
      <c r="L566" s="14"/>
      <c r="M566" s="67"/>
      <c r="N566" s="23"/>
      <c r="O566" s="78"/>
      <c r="P566" s="51"/>
    </row>
    <row r="567" spans="1:16" ht="11.25" customHeight="1" x14ac:dyDescent="0.2">
      <c r="B567" s="15"/>
      <c r="C567" s="68"/>
      <c r="D567" s="15"/>
      <c r="E567" s="68"/>
      <c r="F567" s="15"/>
      <c r="G567" s="68"/>
      <c r="H567" s="15"/>
      <c r="I567" s="68"/>
      <c r="J567" s="15"/>
      <c r="K567" s="68"/>
      <c r="L567" s="15"/>
      <c r="M567" s="68"/>
      <c r="N567" s="24"/>
      <c r="O567" s="79"/>
      <c r="P567" s="51"/>
    </row>
    <row r="568" spans="1:16" ht="11.25" customHeight="1" x14ac:dyDescent="0.2">
      <c r="B568" s="15"/>
      <c r="C568" s="68"/>
      <c r="D568" s="15"/>
      <c r="E568" s="68"/>
      <c r="F568" s="15"/>
      <c r="G568" s="68"/>
      <c r="H568" s="15"/>
      <c r="I568" s="68"/>
      <c r="J568" s="15"/>
      <c r="K568" s="68"/>
      <c r="L568" s="15"/>
      <c r="M568" s="68"/>
      <c r="N568" s="24"/>
      <c r="O568" s="79"/>
      <c r="P568" s="51"/>
    </row>
    <row r="569" spans="1:16" ht="11.25" customHeight="1" x14ac:dyDescent="0.2">
      <c r="B569" s="15"/>
      <c r="C569" s="68"/>
      <c r="D569" s="15"/>
      <c r="E569" s="68"/>
      <c r="F569" s="15"/>
      <c r="G569" s="68"/>
      <c r="H569" s="15"/>
      <c r="I569" s="68"/>
      <c r="J569" s="15"/>
      <c r="K569" s="68"/>
      <c r="L569" s="15"/>
      <c r="M569" s="68"/>
      <c r="N569" s="24"/>
      <c r="O569" s="79"/>
      <c r="P569" s="51"/>
    </row>
    <row r="570" spans="1:16" ht="11.25" customHeight="1" x14ac:dyDescent="0.2">
      <c r="B570" s="16"/>
      <c r="C570" s="69"/>
      <c r="D570" s="16"/>
      <c r="E570" s="69"/>
      <c r="F570" s="16"/>
      <c r="G570" s="69"/>
      <c r="H570" s="16"/>
      <c r="I570" s="69"/>
      <c r="J570" s="16"/>
      <c r="K570" s="69"/>
      <c r="L570" s="16"/>
      <c r="M570" s="69"/>
      <c r="N570" s="25"/>
      <c r="O570" s="80"/>
      <c r="P570" s="51"/>
    </row>
    <row r="571" spans="1:16" ht="11.25" customHeight="1" x14ac:dyDescent="0.2">
      <c r="A571" s="43" t="s">
        <v>282</v>
      </c>
      <c r="B571" s="53" t="s">
        <v>346</v>
      </c>
      <c r="C571" s="70">
        <f>SUM(C566:C570)</f>
        <v>0</v>
      </c>
      <c r="D571" s="77"/>
      <c r="E571" s="70">
        <f>SUM(E566:E570)</f>
        <v>0</v>
      </c>
      <c r="F571" s="77"/>
      <c r="G571" s="70">
        <f>SUM(G566:G570)</f>
        <v>0</v>
      </c>
      <c r="H571" s="77"/>
      <c r="I571" s="70">
        <f>SUM(I566:I570)</f>
        <v>0</v>
      </c>
      <c r="J571" s="77"/>
      <c r="K571" s="70">
        <f>SUM(K566:K570)</f>
        <v>0</v>
      </c>
      <c r="L571" s="77"/>
      <c r="M571" s="70">
        <f>SUM(M566:M570)</f>
        <v>0</v>
      </c>
      <c r="N571" s="77"/>
      <c r="O571" s="74">
        <f>SUM(O566:O570)</f>
        <v>0</v>
      </c>
      <c r="P571" s="75">
        <f ca="1">SUMIF(B564:N564,"&gt;="&amp;15,C571:O571)</f>
        <v>0</v>
      </c>
    </row>
    <row r="572" spans="1:16" s="45" customFormat="1" x14ac:dyDescent="0.2">
      <c r="A572" s="46"/>
      <c r="C572" s="6"/>
      <c r="D572" s="6"/>
      <c r="E572" s="6"/>
      <c r="F572" s="6"/>
      <c r="G572" s="6"/>
      <c r="H572" s="6"/>
      <c r="I572" s="6"/>
      <c r="J572" s="6"/>
      <c r="K572" s="6"/>
      <c r="L572" s="6"/>
      <c r="M572" s="6"/>
      <c r="N572" s="6"/>
      <c r="O572" s="6"/>
    </row>
    <row r="573" spans="1:16" ht="15" customHeight="1" x14ac:dyDescent="0.2">
      <c r="A573" s="43" t="s">
        <v>283</v>
      </c>
      <c r="B573" s="9">
        <f ca="1">DAY(IF(DAY(OctSun1)=1,OctSun1+29,OctSun1+36))</f>
        <v>3</v>
      </c>
      <c r="C573" s="8"/>
      <c r="D573" s="9">
        <f ca="1">DAY(IF(DAY(OctSun1)=1,OctSun1+30,OctSun1+37))</f>
        <v>4</v>
      </c>
      <c r="E573" s="10"/>
      <c r="F573" s="7">
        <f ca="1">DAY(IF(DAY(OctSun1)=1,OctSun1+31,OctSun1+38))</f>
        <v>5</v>
      </c>
      <c r="G573" s="10"/>
      <c r="H573" s="9">
        <f ca="1">DAY(IF(DAY(OctSun1)=1,OctSun1+32,OctSun1+39))</f>
        <v>6</v>
      </c>
      <c r="I573" s="10"/>
      <c r="J573" s="9">
        <f ca="1">DAY(IF(DAY(OctSun1)=1,OctSun1+33,OctSun1+40))</f>
        <v>7</v>
      </c>
      <c r="K573" s="10"/>
      <c r="L573" s="9">
        <f ca="1">DAY(IF(DAY(OctSun1)=1,OctSun1+34,OctSun1+41))</f>
        <v>8</v>
      </c>
      <c r="M573" s="10"/>
      <c r="N573" s="9">
        <f ca="1">DAY(IF(DAY(OctSun1)=1,OctSun1+35,OctSun1+42))</f>
        <v>9</v>
      </c>
      <c r="O573" s="10"/>
      <c r="P573" s="27"/>
    </row>
    <row r="574" spans="1:16" ht="11.25" customHeight="1" x14ac:dyDescent="0.2">
      <c r="A574" s="43" t="s">
        <v>284</v>
      </c>
      <c r="B574" s="35" t="s">
        <v>345</v>
      </c>
      <c r="C574" s="37" t="s">
        <v>359</v>
      </c>
      <c r="D574" s="35" t="s">
        <v>345</v>
      </c>
      <c r="E574" s="37" t="s">
        <v>359</v>
      </c>
      <c r="F574" s="35" t="s">
        <v>345</v>
      </c>
      <c r="G574" s="37" t="s">
        <v>359</v>
      </c>
      <c r="H574" s="35" t="s">
        <v>345</v>
      </c>
      <c r="I574" s="37" t="s">
        <v>359</v>
      </c>
      <c r="J574" s="35" t="s">
        <v>345</v>
      </c>
      <c r="K574" s="37" t="s">
        <v>359</v>
      </c>
      <c r="L574" s="35" t="s">
        <v>345</v>
      </c>
      <c r="M574" s="37" t="s">
        <v>359</v>
      </c>
      <c r="N574" s="35" t="s">
        <v>345</v>
      </c>
      <c r="O574" s="38" t="s">
        <v>359</v>
      </c>
      <c r="P574" s="51"/>
    </row>
    <row r="575" spans="1:16" ht="11.25" customHeight="1" x14ac:dyDescent="0.2">
      <c r="A575" s="43" t="s">
        <v>285</v>
      </c>
      <c r="B575" s="14"/>
      <c r="C575" s="67"/>
      <c r="D575" s="17"/>
      <c r="E575" s="67"/>
      <c r="F575" s="14"/>
      <c r="G575" s="67"/>
      <c r="H575" s="14"/>
      <c r="I575" s="67"/>
      <c r="J575" s="14"/>
      <c r="K575" s="67"/>
      <c r="L575" s="14"/>
      <c r="M575" s="67"/>
      <c r="N575" s="14"/>
      <c r="O575" s="71"/>
      <c r="P575" s="51"/>
    </row>
    <row r="576" spans="1:16" ht="11.25" customHeight="1" x14ac:dyDescent="0.2">
      <c r="B576" s="15"/>
      <c r="C576" s="68"/>
      <c r="D576" s="15"/>
      <c r="E576" s="68"/>
      <c r="F576" s="15"/>
      <c r="G576" s="68"/>
      <c r="H576" s="15"/>
      <c r="I576" s="68"/>
      <c r="J576" s="15"/>
      <c r="K576" s="68"/>
      <c r="L576" s="15"/>
      <c r="M576" s="68"/>
      <c r="N576" s="15"/>
      <c r="O576" s="72"/>
      <c r="P576" s="51"/>
    </row>
    <row r="577" spans="1:16" ht="11.25" customHeight="1" x14ac:dyDescent="0.2">
      <c r="B577" s="15"/>
      <c r="C577" s="68"/>
      <c r="D577" s="15"/>
      <c r="E577" s="68"/>
      <c r="F577" s="15"/>
      <c r="G577" s="68"/>
      <c r="H577" s="15"/>
      <c r="I577" s="68"/>
      <c r="J577" s="15"/>
      <c r="K577" s="68"/>
      <c r="L577" s="15"/>
      <c r="M577" s="68"/>
      <c r="N577" s="15"/>
      <c r="O577" s="72"/>
      <c r="P577" s="51"/>
    </row>
    <row r="578" spans="1:16" ht="11.25" customHeight="1" x14ac:dyDescent="0.2">
      <c r="B578" s="15"/>
      <c r="C578" s="68"/>
      <c r="D578" s="15"/>
      <c r="E578" s="68"/>
      <c r="F578" s="15"/>
      <c r="G578" s="68"/>
      <c r="H578" s="15"/>
      <c r="I578" s="68"/>
      <c r="J578" s="15"/>
      <c r="K578" s="68"/>
      <c r="L578" s="15"/>
      <c r="M578" s="68"/>
      <c r="N578" s="15"/>
      <c r="O578" s="72"/>
      <c r="P578" s="51"/>
    </row>
    <row r="579" spans="1:16" ht="11.25" customHeight="1" x14ac:dyDescent="0.2">
      <c r="B579" s="16"/>
      <c r="C579" s="69"/>
      <c r="D579" s="16"/>
      <c r="E579" s="69"/>
      <c r="F579" s="16"/>
      <c r="G579" s="69"/>
      <c r="H579" s="16"/>
      <c r="I579" s="69"/>
      <c r="J579" s="16"/>
      <c r="K579" s="69"/>
      <c r="L579" s="15"/>
      <c r="M579" s="69"/>
      <c r="N579" s="16"/>
      <c r="O579" s="73"/>
      <c r="P579" s="51"/>
    </row>
    <row r="580" spans="1:16" ht="11.25" customHeight="1" x14ac:dyDescent="0.2">
      <c r="A580" s="43" t="s">
        <v>286</v>
      </c>
      <c r="B580" s="53" t="s">
        <v>346</v>
      </c>
      <c r="C580" s="70">
        <f>SUM(C575:C579)</f>
        <v>0</v>
      </c>
      <c r="D580" s="77"/>
      <c r="E580" s="70">
        <f>SUM(E575:E579)</f>
        <v>0</v>
      </c>
      <c r="F580" s="77"/>
      <c r="G580" s="70">
        <f>SUM(G575:G579)</f>
        <v>0</v>
      </c>
      <c r="H580" s="77"/>
      <c r="I580" s="70">
        <f>SUM(I575:I579)</f>
        <v>0</v>
      </c>
      <c r="J580" s="77"/>
      <c r="K580" s="70">
        <f>SUM(K575:K579)</f>
        <v>0</v>
      </c>
      <c r="L580" s="77"/>
      <c r="M580" s="70">
        <f>SUM(M575:M579)</f>
        <v>0</v>
      </c>
      <c r="N580" s="77"/>
      <c r="O580" s="74">
        <f>SUM(O575:O579)</f>
        <v>0</v>
      </c>
      <c r="P580" s="75">
        <f ca="1">SUMIF(B573:N573,"&gt;="&amp;15,C580:O580)</f>
        <v>0</v>
      </c>
    </row>
    <row r="581" spans="1:16" s="45" customFormat="1" ht="17.25" customHeight="1" x14ac:dyDescent="0.2">
      <c r="A581" s="46"/>
      <c r="B581" s="49"/>
      <c r="C581" s="50"/>
      <c r="D581" s="49"/>
      <c r="E581" s="50"/>
      <c r="F581" s="49"/>
      <c r="G581" s="50"/>
      <c r="H581" s="49"/>
      <c r="I581" s="50"/>
      <c r="J581" s="49"/>
      <c r="K581" s="50"/>
      <c r="L581" s="49"/>
      <c r="M581" s="50"/>
      <c r="N581" s="49"/>
      <c r="O581" s="50"/>
      <c r="P581" s="49"/>
    </row>
    <row r="582" spans="1:16" ht="12" customHeight="1" x14ac:dyDescent="0.2">
      <c r="A582" s="43" t="s">
        <v>287</v>
      </c>
      <c r="B582" s="97" t="s">
        <v>356</v>
      </c>
      <c r="C582" s="97"/>
      <c r="D582" s="97"/>
      <c r="E582" s="97"/>
      <c r="F582"/>
      <c r="G582" s="4"/>
      <c r="H582"/>
      <c r="I582" s="4"/>
      <c r="J582"/>
      <c r="K582" s="4"/>
      <c r="L582" s="81" t="s">
        <v>369</v>
      </c>
      <c r="M582" s="81"/>
      <c r="N582" s="81" t="s">
        <v>371</v>
      </c>
      <c r="O582" s="81"/>
      <c r="P582"/>
    </row>
    <row r="583" spans="1:16" ht="25.5" customHeight="1" x14ac:dyDescent="0.2">
      <c r="A583" s="43" t="s">
        <v>288</v>
      </c>
      <c r="B583" s="97"/>
      <c r="C583" s="97"/>
      <c r="D583" s="97"/>
      <c r="E583" s="97"/>
      <c r="F583" s="47" t="str">
        <f ca="1">IFERROR(WEEKDAY(DATEVALUE(B582&amp;" 1, "&amp;Year1)),"")</f>
        <v/>
      </c>
      <c r="G583" s="6"/>
      <c r="H583" s="45"/>
      <c r="I583" s="6"/>
      <c r="J583" s="45"/>
      <c r="K583" s="6"/>
      <c r="L583" s="82">
        <f ca="1">SUM(P593,P602,P611,P620,P629,P638)</f>
        <v>0</v>
      </c>
      <c r="M583" s="83"/>
      <c r="N583" s="82">
        <f ca="1">SUM(P:P)</f>
        <v>439.95</v>
      </c>
      <c r="O583" s="84"/>
      <c r="P583"/>
    </row>
    <row r="584" spans="1:16" s="45" customFormat="1" ht="9" customHeight="1" x14ac:dyDescent="0.2">
      <c r="A584" s="46" t="s">
        <v>289</v>
      </c>
      <c r="B584" s="98">
        <v>1</v>
      </c>
      <c r="C584" s="98"/>
      <c r="D584" s="98">
        <v>2</v>
      </c>
      <c r="E584" s="98"/>
      <c r="F584" s="98">
        <v>3</v>
      </c>
      <c r="G584" s="98"/>
      <c r="H584" s="98">
        <v>4</v>
      </c>
      <c r="I584" s="98"/>
      <c r="J584" s="98">
        <v>5</v>
      </c>
      <c r="K584" s="98"/>
      <c r="L584" s="98">
        <v>6</v>
      </c>
      <c r="M584" s="98"/>
      <c r="N584" s="98">
        <v>7</v>
      </c>
      <c r="O584" s="98"/>
      <c r="P584" s="48"/>
    </row>
    <row r="585" spans="1:16" ht="15" customHeight="1" x14ac:dyDescent="0.2">
      <c r="A585" s="43" t="s">
        <v>290</v>
      </c>
      <c r="B585" s="87" t="s">
        <v>372</v>
      </c>
      <c r="C585" s="88"/>
      <c r="D585" s="89" t="s">
        <v>344</v>
      </c>
      <c r="E585" s="90"/>
      <c r="F585" s="91" t="s">
        <v>360</v>
      </c>
      <c r="G585" s="90" t="e">
        <f ca="1">IF(WEEKDAY(DATEVALUE(Month1&amp;" 1, "&amp;Year1))=COLUMN(#REF!),1,IF(LEN(E585)&gt;0,E585+1,""))</f>
        <v>#VALUE!</v>
      </c>
      <c r="H585" s="92" t="s">
        <v>361</v>
      </c>
      <c r="I585" s="92" t="e">
        <f ca="1">IF(WEEKDAY(DATEVALUE(Month1&amp;" 1, "&amp;Year1))=COLUMN(#REF!),1,IF(LEN(G585)&gt;0,G585+1,""))</f>
        <v>#VALUE!</v>
      </c>
      <c r="J585" s="91" t="s">
        <v>364</v>
      </c>
      <c r="K585" s="90" t="e">
        <f ca="1">IF(WEEKDAY(DATEVALUE(Month1&amp;" 1, "&amp;Year1))=COLUMN(#REF!),1,IF(LEN(I585)&gt;0,I585+1,""))</f>
        <v>#VALUE!</v>
      </c>
      <c r="L585" s="93" t="s">
        <v>368</v>
      </c>
      <c r="M585" s="94" t="e">
        <f ca="1">IF(WEEKDAY(DATEVALUE(Month1&amp;" 1, "&amp;Year1))=COLUMN(#REF!),1,IF(LEN(K585)&gt;0,K585+1,""))</f>
        <v>#VALUE!</v>
      </c>
      <c r="N585" s="95" t="s">
        <v>370</v>
      </c>
      <c r="O585" s="96" t="e">
        <f ca="1">IF(WEEKDAY(DATEVALUE(Month1&amp;" 1, "&amp;Year1))=COLUMN(#REF!),1,IF(LEN(M585)&gt;0,M585+1,""))</f>
        <v>#VALUE!</v>
      </c>
      <c r="P585" s="40" t="s">
        <v>373</v>
      </c>
    </row>
    <row r="586" spans="1:16" ht="15" customHeight="1" x14ac:dyDescent="0.2">
      <c r="A586" s="43" t="s">
        <v>291</v>
      </c>
      <c r="B586" s="11">
        <f ca="1">DAY(IF(DAY(NovSun1)=1,NovSun1-6,NovSun1+1))</f>
        <v>27</v>
      </c>
      <c r="C586" s="13"/>
      <c r="D586" s="18">
        <f ca="1">DAY(IF(DAY(NovSun1)=1,NovSun1-5,NovSun1+2))</f>
        <v>28</v>
      </c>
      <c r="E586" s="13"/>
      <c r="F586" s="18">
        <f ca="1">DAY(IF(DAY(NovSun1)=1,NovSun1-4,NovSun1+3))</f>
        <v>29</v>
      </c>
      <c r="G586" s="13"/>
      <c r="H586" s="18">
        <f ca="1">DAY(IF(DAY(NovSun1)=1,NovSun1-3,NovSun1+4))</f>
        <v>30</v>
      </c>
      <c r="I586" s="13"/>
      <c r="J586" s="18">
        <f ca="1">DAY(IF(DAY(NovSun1)=1,NovSun1-2,NovSun1+5))</f>
        <v>31</v>
      </c>
      <c r="K586" s="13"/>
      <c r="L586" s="18">
        <f ca="1">DAY(IF(DAY(NovSun1)=1,NovSun1-1,NovSun1+6))</f>
        <v>1</v>
      </c>
      <c r="M586" s="13"/>
      <c r="N586" s="22">
        <f ca="1">DAY(IF(DAY(NovSun1)=1,NovSun1,NovSun1+7))</f>
        <v>2</v>
      </c>
      <c r="O586" s="12"/>
      <c r="P586" s="51"/>
    </row>
    <row r="587" spans="1:16" ht="11.25" customHeight="1" x14ac:dyDescent="0.2">
      <c r="A587" s="43" t="s">
        <v>292</v>
      </c>
      <c r="B587" s="39" t="s">
        <v>345</v>
      </c>
      <c r="C587" s="34" t="s">
        <v>359</v>
      </c>
      <c r="D587" s="33" t="s">
        <v>345</v>
      </c>
      <c r="E587" s="34" t="s">
        <v>359</v>
      </c>
      <c r="F587" s="33" t="s">
        <v>345</v>
      </c>
      <c r="G587" s="34" t="s">
        <v>359</v>
      </c>
      <c r="H587" s="33" t="s">
        <v>345</v>
      </c>
      <c r="I587" s="34" t="s">
        <v>359</v>
      </c>
      <c r="J587" s="33" t="s">
        <v>345</v>
      </c>
      <c r="K587" s="34" t="s">
        <v>359</v>
      </c>
      <c r="L587" s="33" t="s">
        <v>345</v>
      </c>
      <c r="M587" s="34" t="s">
        <v>359</v>
      </c>
      <c r="N587" s="35" t="s">
        <v>345</v>
      </c>
      <c r="O587" s="36" t="s">
        <v>359</v>
      </c>
      <c r="P587" s="51"/>
    </row>
    <row r="588" spans="1:16" ht="11.25" customHeight="1" x14ac:dyDescent="0.2">
      <c r="A588" s="43" t="s">
        <v>293</v>
      </c>
      <c r="B588" s="14"/>
      <c r="C588" s="67"/>
      <c r="D588" s="17"/>
      <c r="E588" s="67"/>
      <c r="F588" s="14"/>
      <c r="G588" s="67"/>
      <c r="H588" s="14"/>
      <c r="I588" s="67"/>
      <c r="J588" s="14"/>
      <c r="K588" s="67"/>
      <c r="L588" s="14"/>
      <c r="M588" s="67"/>
      <c r="N588" s="14"/>
      <c r="O588" s="71"/>
      <c r="P588" s="51"/>
    </row>
    <row r="589" spans="1:16" ht="11.25" customHeight="1" x14ac:dyDescent="0.2">
      <c r="B589" s="15"/>
      <c r="C589" s="68"/>
      <c r="D589" s="15"/>
      <c r="E589" s="68"/>
      <c r="F589" s="15"/>
      <c r="G589" s="68"/>
      <c r="H589" s="15"/>
      <c r="I589" s="68"/>
      <c r="J589" s="15"/>
      <c r="K589" s="68"/>
      <c r="L589" s="15"/>
      <c r="M589" s="68"/>
      <c r="N589" s="15"/>
      <c r="O589" s="72"/>
      <c r="P589" s="51"/>
    </row>
    <row r="590" spans="1:16" ht="11.25" customHeight="1" x14ac:dyDescent="0.2">
      <c r="B590" s="15"/>
      <c r="C590" s="68"/>
      <c r="D590" s="15"/>
      <c r="E590" s="68"/>
      <c r="F590" s="15"/>
      <c r="G590" s="68"/>
      <c r="H590" s="15"/>
      <c r="I590" s="68"/>
      <c r="J590" s="15"/>
      <c r="K590" s="68"/>
      <c r="L590" s="15"/>
      <c r="M590" s="68"/>
      <c r="N590" s="15"/>
      <c r="O590" s="72"/>
      <c r="P590" s="51"/>
    </row>
    <row r="591" spans="1:16" ht="11.25" customHeight="1" x14ac:dyDescent="0.2">
      <c r="B591" s="15"/>
      <c r="C591" s="68"/>
      <c r="D591" s="15"/>
      <c r="E591" s="68"/>
      <c r="F591" s="15"/>
      <c r="G591" s="68"/>
      <c r="H591" s="15"/>
      <c r="I591" s="68"/>
      <c r="J591" s="15"/>
      <c r="K591" s="68"/>
      <c r="L591" s="15"/>
      <c r="M591" s="68"/>
      <c r="N591" s="15"/>
      <c r="O591" s="72"/>
      <c r="P591" s="51"/>
    </row>
    <row r="592" spans="1:16" ht="11.25" customHeight="1" x14ac:dyDescent="0.2">
      <c r="B592" s="16"/>
      <c r="C592" s="69"/>
      <c r="D592" s="16"/>
      <c r="E592" s="69"/>
      <c r="F592" s="16"/>
      <c r="G592" s="69"/>
      <c r="H592" s="16"/>
      <c r="I592" s="69"/>
      <c r="J592" s="16"/>
      <c r="K592" s="69"/>
      <c r="L592" s="16"/>
      <c r="M592" s="69"/>
      <c r="N592" s="16"/>
      <c r="O592" s="73"/>
      <c r="P592" s="51"/>
    </row>
    <row r="593" spans="1:16" ht="11.25" customHeight="1" x14ac:dyDescent="0.2">
      <c r="A593" s="43" t="s">
        <v>294</v>
      </c>
      <c r="B593" s="53" t="s">
        <v>346</v>
      </c>
      <c r="C593" s="70">
        <f>SUM(C588:C592)</f>
        <v>0</v>
      </c>
      <c r="D593" s="77"/>
      <c r="E593" s="70">
        <f>SUM(E588:E592)</f>
        <v>0</v>
      </c>
      <c r="F593" s="77"/>
      <c r="G593" s="70">
        <f>SUM(G588:G592)</f>
        <v>0</v>
      </c>
      <c r="H593" s="77"/>
      <c r="I593" s="70">
        <f>SUM(I588:I592)</f>
        <v>0</v>
      </c>
      <c r="J593" s="77"/>
      <c r="K593" s="70">
        <f>SUM(K588:K592)</f>
        <v>0</v>
      </c>
      <c r="L593" s="77"/>
      <c r="M593" s="70">
        <f>SUM(M588:M592)</f>
        <v>0</v>
      </c>
      <c r="N593" s="77"/>
      <c r="O593" s="74">
        <f>SUM(O588:O592)</f>
        <v>0</v>
      </c>
      <c r="P593" s="75">
        <f ca="1">SUMIF(B586:N586,"&lt;8",C593:O593)</f>
        <v>0</v>
      </c>
    </row>
    <row r="594" spans="1:16" s="45" customFormat="1" x14ac:dyDescent="0.2">
      <c r="A594" s="46"/>
      <c r="C594" s="6"/>
      <c r="D594" s="6"/>
      <c r="E594" s="6"/>
      <c r="F594" s="6"/>
      <c r="G594" s="6"/>
      <c r="H594" s="6"/>
      <c r="I594" s="6"/>
      <c r="J594" s="6"/>
      <c r="K594" s="6"/>
      <c r="L594" s="6"/>
      <c r="M594" s="6"/>
      <c r="N594" s="6"/>
      <c r="O594" s="6"/>
    </row>
    <row r="595" spans="1:16" ht="15" customHeight="1" x14ac:dyDescent="0.2">
      <c r="A595" s="43" t="s">
        <v>295</v>
      </c>
      <c r="B595" s="9">
        <f ca="1">N586+1</f>
        <v>3</v>
      </c>
      <c r="C595" s="10"/>
      <c r="D595" s="9">
        <f ca="1">B595+1</f>
        <v>4</v>
      </c>
      <c r="E595" s="10"/>
      <c r="F595" s="9">
        <f ca="1">D595+1</f>
        <v>5</v>
      </c>
      <c r="G595" s="10"/>
      <c r="H595" s="9">
        <f ca="1">F595+1</f>
        <v>6</v>
      </c>
      <c r="I595" s="10"/>
      <c r="J595" s="9">
        <f ca="1">H595+1</f>
        <v>7</v>
      </c>
      <c r="K595" s="10"/>
      <c r="L595" s="9">
        <f ca="1">J595+1</f>
        <v>8</v>
      </c>
      <c r="M595" s="10"/>
      <c r="N595" s="9">
        <f ca="1">L595+1</f>
        <v>9</v>
      </c>
      <c r="O595" s="10"/>
      <c r="P595" s="27"/>
    </row>
    <row r="596" spans="1:16" ht="11.25" customHeight="1" x14ac:dyDescent="0.2">
      <c r="A596" s="43" t="s">
        <v>296</v>
      </c>
      <c r="B596" s="35" t="s">
        <v>345</v>
      </c>
      <c r="C596" s="37" t="s">
        <v>359</v>
      </c>
      <c r="D596" s="35" t="s">
        <v>345</v>
      </c>
      <c r="E596" s="37" t="s">
        <v>359</v>
      </c>
      <c r="F596" s="35" t="s">
        <v>345</v>
      </c>
      <c r="G596" s="37" t="s">
        <v>359</v>
      </c>
      <c r="H596" s="35" t="s">
        <v>345</v>
      </c>
      <c r="I596" s="37" t="s">
        <v>359</v>
      </c>
      <c r="J596" s="35" t="s">
        <v>345</v>
      </c>
      <c r="K596" s="37" t="s">
        <v>359</v>
      </c>
      <c r="L596" s="35" t="s">
        <v>345</v>
      </c>
      <c r="M596" s="37" t="s">
        <v>359</v>
      </c>
      <c r="N596" s="35" t="s">
        <v>345</v>
      </c>
      <c r="O596" s="38" t="s">
        <v>359</v>
      </c>
      <c r="P596" s="51"/>
    </row>
    <row r="597" spans="1:16" ht="11.25" customHeight="1" x14ac:dyDescent="0.2">
      <c r="A597" s="43" t="s">
        <v>297</v>
      </c>
      <c r="B597" s="19"/>
      <c r="C597" s="67"/>
      <c r="D597" s="19"/>
      <c r="E597" s="67"/>
      <c r="F597" s="19"/>
      <c r="G597" s="67"/>
      <c r="H597" s="19"/>
      <c r="I597" s="67"/>
      <c r="J597" s="19"/>
      <c r="K597" s="67"/>
      <c r="L597" s="19"/>
      <c r="M597" s="67"/>
      <c r="N597" s="19"/>
      <c r="O597" s="71"/>
      <c r="P597" s="51"/>
    </row>
    <row r="598" spans="1:16" ht="11.25" customHeight="1" x14ac:dyDescent="0.2">
      <c r="B598" s="20"/>
      <c r="C598" s="68"/>
      <c r="D598" s="20"/>
      <c r="E598" s="68"/>
      <c r="F598" s="20"/>
      <c r="G598" s="68"/>
      <c r="H598" s="20"/>
      <c r="I598" s="68"/>
      <c r="J598" s="20"/>
      <c r="K598" s="68"/>
      <c r="L598" s="20"/>
      <c r="M598" s="68"/>
      <c r="N598" s="20"/>
      <c r="O598" s="72"/>
      <c r="P598" s="51"/>
    </row>
    <row r="599" spans="1:16" ht="11.25" customHeight="1" x14ac:dyDescent="0.2">
      <c r="B599" s="20"/>
      <c r="C599" s="68"/>
      <c r="D599" s="20"/>
      <c r="E599" s="68"/>
      <c r="F599" s="20"/>
      <c r="G599" s="68"/>
      <c r="H599" s="20"/>
      <c r="I599" s="68"/>
      <c r="J599" s="20"/>
      <c r="K599" s="68"/>
      <c r="L599" s="20"/>
      <c r="M599" s="68"/>
      <c r="N599" s="20"/>
      <c r="O599" s="72"/>
      <c r="P599" s="51"/>
    </row>
    <row r="600" spans="1:16" ht="11.25" customHeight="1" x14ac:dyDescent="0.2">
      <c r="B600" s="20"/>
      <c r="C600" s="68"/>
      <c r="D600" s="20"/>
      <c r="E600" s="68"/>
      <c r="F600" s="20"/>
      <c r="G600" s="68"/>
      <c r="H600" s="20"/>
      <c r="I600" s="68"/>
      <c r="J600" s="20"/>
      <c r="K600" s="68"/>
      <c r="L600" s="20"/>
      <c r="M600" s="68"/>
      <c r="N600" s="20"/>
      <c r="O600" s="72"/>
      <c r="P600" s="51"/>
    </row>
    <row r="601" spans="1:16" ht="11.25" customHeight="1" x14ac:dyDescent="0.2">
      <c r="B601" s="21"/>
      <c r="C601" s="69"/>
      <c r="D601" s="21"/>
      <c r="E601" s="69"/>
      <c r="F601" s="21"/>
      <c r="G601" s="69"/>
      <c r="H601" s="21"/>
      <c r="I601" s="69"/>
      <c r="J601" s="21"/>
      <c r="K601" s="69"/>
      <c r="L601" s="21"/>
      <c r="M601" s="69"/>
      <c r="N601" s="21"/>
      <c r="O601" s="73"/>
      <c r="P601" s="51"/>
    </row>
    <row r="602" spans="1:16" ht="11.25" customHeight="1" x14ac:dyDescent="0.2">
      <c r="A602" s="43" t="s">
        <v>298</v>
      </c>
      <c r="B602" s="53" t="s">
        <v>346</v>
      </c>
      <c r="C602" s="70">
        <f>SUM(C597:C601)</f>
        <v>0</v>
      </c>
      <c r="D602" s="77"/>
      <c r="E602" s="70">
        <f>SUM(E597:E601)</f>
        <v>0</v>
      </c>
      <c r="F602" s="77"/>
      <c r="G602" s="70">
        <f>SUM(G597:G601)</f>
        <v>0</v>
      </c>
      <c r="H602" s="77"/>
      <c r="I602" s="70">
        <f>SUM(I597:I601)</f>
        <v>0</v>
      </c>
      <c r="J602" s="77"/>
      <c r="K602" s="70">
        <f>SUM(K597:K601)</f>
        <v>0</v>
      </c>
      <c r="L602" s="77"/>
      <c r="M602" s="70">
        <f>SUM(M597:M601)</f>
        <v>0</v>
      </c>
      <c r="N602" s="77"/>
      <c r="O602" s="74">
        <f>SUM(O597:O601)</f>
        <v>0</v>
      </c>
      <c r="P602" s="75">
        <f>SUM(C602,E602,G602,I602,K602,M602,O602)</f>
        <v>0</v>
      </c>
    </row>
    <row r="603" spans="1:16" s="45" customFormat="1" x14ac:dyDescent="0.2">
      <c r="A603" s="46"/>
      <c r="C603" s="6"/>
      <c r="D603" s="6"/>
      <c r="E603" s="6"/>
      <c r="F603" s="6"/>
      <c r="G603" s="6"/>
      <c r="H603" s="6"/>
      <c r="I603" s="6"/>
      <c r="J603" s="6"/>
      <c r="K603" s="6"/>
      <c r="L603" s="6"/>
      <c r="M603" s="6"/>
      <c r="N603" s="6"/>
      <c r="O603" s="6"/>
    </row>
    <row r="604" spans="1:16" ht="15" customHeight="1" x14ac:dyDescent="0.2">
      <c r="A604" s="43" t="s">
        <v>299</v>
      </c>
      <c r="B604" s="9">
        <f ca="1">N595+1</f>
        <v>10</v>
      </c>
      <c r="C604" s="10"/>
      <c r="D604" s="9">
        <f ca="1">B604+1</f>
        <v>11</v>
      </c>
      <c r="E604" s="10"/>
      <c r="F604" s="9">
        <f ca="1">D604+1</f>
        <v>12</v>
      </c>
      <c r="G604" s="10"/>
      <c r="H604" s="9">
        <f ca="1">F604+1</f>
        <v>13</v>
      </c>
      <c r="I604" s="10"/>
      <c r="J604" s="9">
        <f ca="1">H604+1</f>
        <v>14</v>
      </c>
      <c r="K604" s="10"/>
      <c r="L604" s="9">
        <f ca="1">J604+1</f>
        <v>15</v>
      </c>
      <c r="M604" s="10"/>
      <c r="N604" s="9">
        <f ca="1">L604+1</f>
        <v>16</v>
      </c>
      <c r="O604" s="10"/>
      <c r="P604" s="27"/>
    </row>
    <row r="605" spans="1:16" ht="11.25" customHeight="1" x14ac:dyDescent="0.2">
      <c r="A605" s="43" t="s">
        <v>300</v>
      </c>
      <c r="B605" s="35" t="s">
        <v>345</v>
      </c>
      <c r="C605" s="37" t="s">
        <v>359</v>
      </c>
      <c r="D605" s="35" t="s">
        <v>345</v>
      </c>
      <c r="E605" s="37" t="s">
        <v>359</v>
      </c>
      <c r="F605" s="35" t="s">
        <v>345</v>
      </c>
      <c r="G605" s="37" t="s">
        <v>359</v>
      </c>
      <c r="H605" s="35" t="s">
        <v>345</v>
      </c>
      <c r="I605" s="37" t="s">
        <v>359</v>
      </c>
      <c r="J605" s="35" t="s">
        <v>345</v>
      </c>
      <c r="K605" s="37" t="s">
        <v>359</v>
      </c>
      <c r="L605" s="35" t="s">
        <v>345</v>
      </c>
      <c r="M605" s="37" t="s">
        <v>359</v>
      </c>
      <c r="N605" s="35" t="s">
        <v>345</v>
      </c>
      <c r="O605" s="38" t="s">
        <v>359</v>
      </c>
      <c r="P605" s="51"/>
    </row>
    <row r="606" spans="1:16" ht="11.25" customHeight="1" x14ac:dyDescent="0.2">
      <c r="A606" s="43" t="s">
        <v>301</v>
      </c>
      <c r="B606" s="19"/>
      <c r="C606" s="67"/>
      <c r="D606" s="19"/>
      <c r="E606" s="67"/>
      <c r="F606" s="19"/>
      <c r="G606" s="67"/>
      <c r="H606" s="19"/>
      <c r="I606" s="67"/>
      <c r="J606" s="19"/>
      <c r="K606" s="67"/>
      <c r="L606" s="19"/>
      <c r="M606" s="67"/>
      <c r="N606" s="19"/>
      <c r="O606" s="71"/>
      <c r="P606" s="51"/>
    </row>
    <row r="607" spans="1:16" ht="11.25" customHeight="1" x14ac:dyDescent="0.2">
      <c r="B607" s="20"/>
      <c r="C607" s="68"/>
      <c r="D607" s="20"/>
      <c r="E607" s="68"/>
      <c r="F607" s="20"/>
      <c r="G607" s="68"/>
      <c r="H607" s="20"/>
      <c r="I607" s="68"/>
      <c r="J607" s="20"/>
      <c r="K607" s="68"/>
      <c r="L607" s="20"/>
      <c r="M607" s="68"/>
      <c r="N607" s="20"/>
      <c r="O607" s="72"/>
      <c r="P607" s="51"/>
    </row>
    <row r="608" spans="1:16" ht="11.25" customHeight="1" x14ac:dyDescent="0.2">
      <c r="B608" s="20"/>
      <c r="C608" s="68"/>
      <c r="D608" s="20"/>
      <c r="E608" s="68"/>
      <c r="F608" s="20"/>
      <c r="G608" s="68"/>
      <c r="H608" s="20"/>
      <c r="I608" s="68"/>
      <c r="J608" s="20"/>
      <c r="K608" s="68"/>
      <c r="L608" s="20"/>
      <c r="M608" s="68"/>
      <c r="N608" s="20"/>
      <c r="O608" s="72"/>
      <c r="P608" s="51"/>
    </row>
    <row r="609" spans="1:16" ht="11.25" customHeight="1" x14ac:dyDescent="0.2">
      <c r="B609" s="20"/>
      <c r="C609" s="68"/>
      <c r="D609" s="20"/>
      <c r="E609" s="68"/>
      <c r="F609" s="20"/>
      <c r="G609" s="68"/>
      <c r="H609" s="20"/>
      <c r="I609" s="68"/>
      <c r="J609" s="20"/>
      <c r="K609" s="68"/>
      <c r="L609" s="20"/>
      <c r="M609" s="68"/>
      <c r="N609" s="20"/>
      <c r="O609" s="72"/>
      <c r="P609" s="51"/>
    </row>
    <row r="610" spans="1:16" ht="11.25" customHeight="1" x14ac:dyDescent="0.2">
      <c r="B610" s="21"/>
      <c r="C610" s="69"/>
      <c r="D610" s="21"/>
      <c r="E610" s="69"/>
      <c r="F610" s="21"/>
      <c r="G610" s="69"/>
      <c r="H610" s="21"/>
      <c r="I610" s="69"/>
      <c r="J610" s="21"/>
      <c r="K610" s="69"/>
      <c r="L610" s="21"/>
      <c r="M610" s="69"/>
      <c r="N610" s="21"/>
      <c r="O610" s="73"/>
      <c r="P610" s="51"/>
    </row>
    <row r="611" spans="1:16" ht="11.25" customHeight="1" x14ac:dyDescent="0.2">
      <c r="A611" s="43" t="s">
        <v>302</v>
      </c>
      <c r="B611" s="54" t="s">
        <v>346</v>
      </c>
      <c r="C611" s="70">
        <f>SUM(C606:C610)</f>
        <v>0</v>
      </c>
      <c r="D611" s="77"/>
      <c r="E611" s="70">
        <f>SUM(E606:E610)</f>
        <v>0</v>
      </c>
      <c r="F611" s="77"/>
      <c r="G611" s="70">
        <f>SUM(G606:G610)</f>
        <v>0</v>
      </c>
      <c r="H611" s="77"/>
      <c r="I611" s="70">
        <f>SUM(I606:I610)</f>
        <v>0</v>
      </c>
      <c r="J611" s="77"/>
      <c r="K611" s="70">
        <f>SUM(K606:K610)</f>
        <v>0</v>
      </c>
      <c r="L611" s="77"/>
      <c r="M611" s="70">
        <f>SUM(M606:M610)</f>
        <v>0</v>
      </c>
      <c r="N611" s="77"/>
      <c r="O611" s="74">
        <f>SUM(O606:O610)</f>
        <v>0</v>
      </c>
      <c r="P611" s="75">
        <f>SUM(C611,E611,G611,I611,K611,M611,O611)</f>
        <v>0</v>
      </c>
    </row>
    <row r="612" spans="1:16" s="45" customFormat="1" x14ac:dyDescent="0.2">
      <c r="A612" s="46"/>
      <c r="C612" s="6"/>
      <c r="D612" s="6"/>
      <c r="E612" s="6"/>
      <c r="F612" s="6"/>
      <c r="G612" s="6"/>
      <c r="H612" s="6"/>
      <c r="I612" s="6"/>
      <c r="J612" s="6"/>
      <c r="K612" s="6"/>
      <c r="L612" s="6"/>
      <c r="M612" s="6"/>
      <c r="N612" s="6"/>
      <c r="O612" s="6"/>
    </row>
    <row r="613" spans="1:16" ht="15" customHeight="1" x14ac:dyDescent="0.2">
      <c r="A613" s="43" t="s">
        <v>303</v>
      </c>
      <c r="B613" s="9">
        <f ca="1">N604+1</f>
        <v>17</v>
      </c>
      <c r="C613" s="10"/>
      <c r="D613" s="9">
        <f ca="1">B613+1</f>
        <v>18</v>
      </c>
      <c r="E613" s="10"/>
      <c r="F613" s="9">
        <f ca="1">D613+1</f>
        <v>19</v>
      </c>
      <c r="G613" s="10"/>
      <c r="H613" s="9">
        <f ca="1">F613+1</f>
        <v>20</v>
      </c>
      <c r="I613" s="10"/>
      <c r="J613" s="9">
        <f ca="1">H613+1</f>
        <v>21</v>
      </c>
      <c r="K613" s="10"/>
      <c r="L613" s="9">
        <f ca="1">J613+1</f>
        <v>22</v>
      </c>
      <c r="M613" s="10"/>
      <c r="N613" s="9">
        <f ca="1">L613+1</f>
        <v>23</v>
      </c>
      <c r="O613" s="10"/>
      <c r="P613" s="27"/>
    </row>
    <row r="614" spans="1:16" ht="11.25" customHeight="1" x14ac:dyDescent="0.2">
      <c r="A614" s="43" t="s">
        <v>304</v>
      </c>
      <c r="B614" s="35" t="s">
        <v>345</v>
      </c>
      <c r="C614" s="37" t="s">
        <v>359</v>
      </c>
      <c r="D614" s="35" t="s">
        <v>345</v>
      </c>
      <c r="E614" s="37" t="s">
        <v>359</v>
      </c>
      <c r="F614" s="35" t="s">
        <v>345</v>
      </c>
      <c r="G614" s="37" t="s">
        <v>359</v>
      </c>
      <c r="H614" s="35" t="s">
        <v>345</v>
      </c>
      <c r="I614" s="37" t="s">
        <v>359</v>
      </c>
      <c r="J614" s="35" t="s">
        <v>345</v>
      </c>
      <c r="K614" s="37" t="s">
        <v>359</v>
      </c>
      <c r="L614" s="35" t="s">
        <v>345</v>
      </c>
      <c r="M614" s="37" t="s">
        <v>359</v>
      </c>
      <c r="N614" s="35" t="s">
        <v>345</v>
      </c>
      <c r="O614" s="38" t="s">
        <v>359</v>
      </c>
      <c r="P614" s="51"/>
    </row>
    <row r="615" spans="1:16" ht="11.25" customHeight="1" x14ac:dyDescent="0.2">
      <c r="A615" s="43" t="s">
        <v>305</v>
      </c>
      <c r="B615" s="19"/>
      <c r="C615" s="67"/>
      <c r="D615" s="19"/>
      <c r="E615" s="67"/>
      <c r="F615" s="19"/>
      <c r="G615" s="67"/>
      <c r="H615" s="19"/>
      <c r="I615" s="67"/>
      <c r="J615" s="19"/>
      <c r="K615" s="67"/>
      <c r="L615" s="19"/>
      <c r="M615" s="67"/>
      <c r="N615" s="19"/>
      <c r="O615" s="71"/>
      <c r="P615" s="51"/>
    </row>
    <row r="616" spans="1:16" ht="11.25" customHeight="1" x14ac:dyDescent="0.2">
      <c r="B616" s="20"/>
      <c r="C616" s="68"/>
      <c r="D616" s="20"/>
      <c r="E616" s="68"/>
      <c r="F616" s="20"/>
      <c r="G616" s="68"/>
      <c r="H616" s="20"/>
      <c r="I616" s="68"/>
      <c r="J616" s="20"/>
      <c r="K616" s="68"/>
      <c r="L616" s="20"/>
      <c r="M616" s="68"/>
      <c r="N616" s="20"/>
      <c r="O616" s="72"/>
      <c r="P616" s="51"/>
    </row>
    <row r="617" spans="1:16" ht="11.25" customHeight="1" x14ac:dyDescent="0.2">
      <c r="B617" s="20"/>
      <c r="C617" s="68"/>
      <c r="D617" s="20"/>
      <c r="E617" s="68"/>
      <c r="F617" s="20"/>
      <c r="G617" s="68"/>
      <c r="H617" s="20"/>
      <c r="I617" s="68"/>
      <c r="J617" s="20"/>
      <c r="K617" s="68"/>
      <c r="L617" s="20"/>
      <c r="M617" s="68"/>
      <c r="N617" s="20"/>
      <c r="O617" s="72"/>
      <c r="P617" s="51"/>
    </row>
    <row r="618" spans="1:16" ht="11.25" customHeight="1" x14ac:dyDescent="0.2">
      <c r="B618" s="20"/>
      <c r="C618" s="68"/>
      <c r="D618" s="20"/>
      <c r="E618" s="68"/>
      <c r="F618" s="20"/>
      <c r="G618" s="68"/>
      <c r="H618" s="20"/>
      <c r="I618" s="68"/>
      <c r="J618" s="20"/>
      <c r="K618" s="68"/>
      <c r="L618" s="20"/>
      <c r="M618" s="68"/>
      <c r="N618" s="20"/>
      <c r="O618" s="72"/>
      <c r="P618" s="51"/>
    </row>
    <row r="619" spans="1:16" ht="11.25" customHeight="1" x14ac:dyDescent="0.2">
      <c r="B619" s="21"/>
      <c r="C619" s="69"/>
      <c r="D619" s="21"/>
      <c r="E619" s="69"/>
      <c r="F619" s="21"/>
      <c r="G619" s="69"/>
      <c r="H619" s="21"/>
      <c r="I619" s="69"/>
      <c r="J619" s="21"/>
      <c r="K619" s="69"/>
      <c r="L619" s="21"/>
      <c r="M619" s="69"/>
      <c r="N619" s="21"/>
      <c r="O619" s="73"/>
      <c r="P619" s="51"/>
    </row>
    <row r="620" spans="1:16" ht="11.25" customHeight="1" x14ac:dyDescent="0.2">
      <c r="A620" s="43" t="s">
        <v>306</v>
      </c>
      <c r="B620" s="53" t="s">
        <v>346</v>
      </c>
      <c r="C620" s="70">
        <f>SUM(C615:C619)</f>
        <v>0</v>
      </c>
      <c r="D620" s="77"/>
      <c r="E620" s="70">
        <f>SUM(E615:E619)</f>
        <v>0</v>
      </c>
      <c r="F620" s="77"/>
      <c r="G620" s="70">
        <f>SUM(G615:G619)</f>
        <v>0</v>
      </c>
      <c r="H620" s="77"/>
      <c r="I620" s="70">
        <f>SUM(I615:I619)</f>
        <v>0</v>
      </c>
      <c r="J620" s="77"/>
      <c r="K620" s="70">
        <f>SUM(K615:K619)</f>
        <v>0</v>
      </c>
      <c r="L620" s="77"/>
      <c r="M620" s="70">
        <f>SUM(M615:M619)</f>
        <v>0</v>
      </c>
      <c r="N620" s="77"/>
      <c r="O620" s="74">
        <f>SUM(O615:O619)</f>
        <v>0</v>
      </c>
      <c r="P620" s="75">
        <f>SUM(C620,E620,G620,I620,K620,M620,O620)</f>
        <v>0</v>
      </c>
    </row>
    <row r="621" spans="1:16" s="45" customFormat="1" x14ac:dyDescent="0.2">
      <c r="A621" s="46"/>
      <c r="C621" s="6"/>
      <c r="D621" s="6"/>
      <c r="E621" s="6"/>
      <c r="F621" s="6"/>
      <c r="G621" s="6"/>
      <c r="H621" s="6"/>
      <c r="I621" s="6"/>
      <c r="J621" s="6"/>
      <c r="K621" s="6"/>
      <c r="L621" s="6"/>
      <c r="M621" s="6"/>
      <c r="N621" s="6"/>
      <c r="O621" s="6"/>
    </row>
    <row r="622" spans="1:16" ht="15" customHeight="1" x14ac:dyDescent="0.2">
      <c r="A622" s="43" t="s">
        <v>307</v>
      </c>
      <c r="B622" s="9">
        <f ca="1">DAY(IF(DAY(NovSun1)=1,NovSun1+22,NovSun1+29))</f>
        <v>24</v>
      </c>
      <c r="C622" s="10"/>
      <c r="D622" s="9">
        <f ca="1">DAY(IF(DAY(NovSun1)=1,NovSun1+23,NovSun1+30))</f>
        <v>25</v>
      </c>
      <c r="E622" s="10"/>
      <c r="F622" s="9">
        <f ca="1">DAY(IF(DAY(NovSun1)=1,NovSun1+24,NovSun1+31))</f>
        <v>26</v>
      </c>
      <c r="G622" s="10"/>
      <c r="H622" s="9">
        <f ca="1">DAY(IF(DAY(NovSun1)=1,NovSun1+25,NovSun1+32))</f>
        <v>27</v>
      </c>
      <c r="I622" s="10"/>
      <c r="J622" s="9">
        <f ca="1">DAY(IF(DAY(NovSun1)=1,NovSun1+26,NovSun1+33))</f>
        <v>28</v>
      </c>
      <c r="K622" s="10"/>
      <c r="L622" s="9">
        <f ca="1">DAY(IF(DAY(NovSun1)=1,NovSun1+27,NovSun1+34))</f>
        <v>29</v>
      </c>
      <c r="M622" s="10"/>
      <c r="N622" s="9">
        <f ca="1">DAY(IF(DAY(NovSun1)=1,NovSun1+28,NovSun1+35))</f>
        <v>30</v>
      </c>
      <c r="O622" s="10"/>
      <c r="P622" s="27"/>
    </row>
    <row r="623" spans="1:16" ht="11.25" customHeight="1" x14ac:dyDescent="0.2">
      <c r="A623" s="43" t="s">
        <v>308</v>
      </c>
      <c r="B623" s="35" t="s">
        <v>345</v>
      </c>
      <c r="C623" s="37" t="s">
        <v>359</v>
      </c>
      <c r="D623" s="35" t="s">
        <v>345</v>
      </c>
      <c r="E623" s="37" t="s">
        <v>359</v>
      </c>
      <c r="F623" s="35" t="s">
        <v>345</v>
      </c>
      <c r="G623" s="37" t="s">
        <v>359</v>
      </c>
      <c r="H623" s="35" t="s">
        <v>345</v>
      </c>
      <c r="I623" s="37" t="s">
        <v>359</v>
      </c>
      <c r="J623" s="35" t="s">
        <v>345</v>
      </c>
      <c r="K623" s="37" t="s">
        <v>359</v>
      </c>
      <c r="L623" s="35" t="s">
        <v>345</v>
      </c>
      <c r="M623" s="37" t="s">
        <v>359</v>
      </c>
      <c r="N623" s="35" t="s">
        <v>345</v>
      </c>
      <c r="O623" s="38" t="s">
        <v>359</v>
      </c>
      <c r="P623" s="51"/>
    </row>
    <row r="624" spans="1:16" ht="11.25" customHeight="1" x14ac:dyDescent="0.2">
      <c r="A624" s="43" t="s">
        <v>309</v>
      </c>
      <c r="B624" s="14"/>
      <c r="C624" s="67"/>
      <c r="D624" s="17"/>
      <c r="E624" s="67"/>
      <c r="F624" s="14"/>
      <c r="G624" s="67"/>
      <c r="H624" s="14"/>
      <c r="I624" s="67"/>
      <c r="J624" s="14"/>
      <c r="K624" s="67"/>
      <c r="L624" s="14"/>
      <c r="M624" s="67"/>
      <c r="N624" s="23"/>
      <c r="O624" s="78"/>
      <c r="P624" s="51"/>
    </row>
    <row r="625" spans="1:16" ht="11.25" customHeight="1" x14ac:dyDescent="0.2">
      <c r="B625" s="15"/>
      <c r="C625" s="68"/>
      <c r="D625" s="15"/>
      <c r="E625" s="68"/>
      <c r="F625" s="15"/>
      <c r="G625" s="68"/>
      <c r="H625" s="15"/>
      <c r="I625" s="68"/>
      <c r="J625" s="15"/>
      <c r="K625" s="68"/>
      <c r="L625" s="15"/>
      <c r="M625" s="68"/>
      <c r="N625" s="24"/>
      <c r="O625" s="79"/>
      <c r="P625" s="51"/>
    </row>
    <row r="626" spans="1:16" ht="11.25" customHeight="1" x14ac:dyDescent="0.2">
      <c r="B626" s="15"/>
      <c r="C626" s="68"/>
      <c r="D626" s="15"/>
      <c r="E626" s="68"/>
      <c r="F626" s="15"/>
      <c r="G626" s="68"/>
      <c r="H626" s="15"/>
      <c r="I626" s="68"/>
      <c r="J626" s="15"/>
      <c r="K626" s="68"/>
      <c r="L626" s="15"/>
      <c r="M626" s="68"/>
      <c r="N626" s="24"/>
      <c r="O626" s="79"/>
      <c r="P626" s="51"/>
    </row>
    <row r="627" spans="1:16" ht="11.25" customHeight="1" x14ac:dyDescent="0.2">
      <c r="B627" s="15"/>
      <c r="C627" s="68"/>
      <c r="D627" s="15"/>
      <c r="E627" s="68"/>
      <c r="F627" s="15"/>
      <c r="G627" s="68"/>
      <c r="H627" s="15"/>
      <c r="I627" s="68"/>
      <c r="J627" s="15"/>
      <c r="K627" s="68"/>
      <c r="L627" s="15"/>
      <c r="M627" s="68"/>
      <c r="N627" s="24"/>
      <c r="O627" s="79"/>
      <c r="P627" s="51"/>
    </row>
    <row r="628" spans="1:16" ht="11.25" customHeight="1" x14ac:dyDescent="0.2">
      <c r="B628" s="16"/>
      <c r="C628" s="69"/>
      <c r="D628" s="16"/>
      <c r="E628" s="69"/>
      <c r="F628" s="16"/>
      <c r="G628" s="69"/>
      <c r="H628" s="16"/>
      <c r="I628" s="69"/>
      <c r="J628" s="16"/>
      <c r="K628" s="69"/>
      <c r="L628" s="16"/>
      <c r="M628" s="69"/>
      <c r="N628" s="25"/>
      <c r="O628" s="80"/>
      <c r="P628" s="51"/>
    </row>
    <row r="629" spans="1:16" ht="11.25" customHeight="1" x14ac:dyDescent="0.2">
      <c r="A629" s="43" t="s">
        <v>310</v>
      </c>
      <c r="B629" s="53" t="s">
        <v>346</v>
      </c>
      <c r="C629" s="70">
        <f>SUM(C624:C628)</f>
        <v>0</v>
      </c>
      <c r="D629" s="77"/>
      <c r="E629" s="70">
        <f>SUM(E624:E628)</f>
        <v>0</v>
      </c>
      <c r="F629" s="77"/>
      <c r="G629" s="70">
        <f>SUM(G624:G628)</f>
        <v>0</v>
      </c>
      <c r="H629" s="77"/>
      <c r="I629" s="70">
        <f>SUM(I624:I628)</f>
        <v>0</v>
      </c>
      <c r="J629" s="77"/>
      <c r="K629" s="70">
        <f>SUM(K624:K628)</f>
        <v>0</v>
      </c>
      <c r="L629" s="77"/>
      <c r="M629" s="70">
        <f>SUM(M624:M628)</f>
        <v>0</v>
      </c>
      <c r="N629" s="77"/>
      <c r="O629" s="74">
        <f>SUM(O624:O628)</f>
        <v>0</v>
      </c>
      <c r="P629" s="75">
        <f ca="1">SUMIF(B622:N622,"&gt;="&amp;15,C629:O629)</f>
        <v>0</v>
      </c>
    </row>
    <row r="630" spans="1:16" s="45" customFormat="1" x14ac:dyDescent="0.2">
      <c r="A630" s="46"/>
      <c r="C630" s="6"/>
      <c r="D630" s="6"/>
      <c r="E630" s="6"/>
      <c r="F630" s="6"/>
      <c r="G630" s="6"/>
      <c r="H630" s="6"/>
      <c r="I630" s="6"/>
      <c r="J630" s="6"/>
      <c r="K630" s="6"/>
      <c r="L630" s="6"/>
      <c r="M630" s="6"/>
      <c r="N630" s="6"/>
      <c r="O630" s="6"/>
    </row>
    <row r="631" spans="1:16" ht="15" customHeight="1" x14ac:dyDescent="0.2">
      <c r="A631" s="43" t="s">
        <v>311</v>
      </c>
      <c r="B631" s="9">
        <f ca="1">DAY(IF(DAY(NovSun1)=1,NovSun1+29,NovSun1+36))</f>
        <v>1</v>
      </c>
      <c r="C631" s="8"/>
      <c r="D631" s="9">
        <f ca="1">DAY(IF(DAY(NovSun1)=1,NovSun1+30,NovSun1+37))</f>
        <v>2</v>
      </c>
      <c r="E631" s="10"/>
      <c r="F631" s="7">
        <f ca="1">DAY(IF(DAY(NovSun1)=1,NovSun1+31,NovSun1+38))</f>
        <v>3</v>
      </c>
      <c r="G631" s="10"/>
      <c r="H631" s="9">
        <f ca="1">DAY(IF(DAY(NovSun1)=1,NovSun1+32,NovSun1+39))</f>
        <v>4</v>
      </c>
      <c r="I631" s="10"/>
      <c r="J631" s="9">
        <f ca="1">DAY(IF(DAY(NovSun1)=1,NovSun1+33,NovSun1+40))</f>
        <v>5</v>
      </c>
      <c r="K631" s="10"/>
      <c r="L631" s="9">
        <f ca="1">DAY(IF(DAY(NovSun1)=1,NovSun1+34,NovSun1+41))</f>
        <v>6</v>
      </c>
      <c r="M631" s="10"/>
      <c r="N631" s="9">
        <f ca="1">DAY(IF(DAY(NovSun1)=1,NovSun1+35,NovSun1+42))</f>
        <v>7</v>
      </c>
      <c r="O631" s="10"/>
      <c r="P631" s="27"/>
    </row>
    <row r="632" spans="1:16" ht="11.25" customHeight="1" x14ac:dyDescent="0.2">
      <c r="A632" s="43" t="s">
        <v>312</v>
      </c>
      <c r="B632" s="35" t="s">
        <v>345</v>
      </c>
      <c r="C632" s="37" t="s">
        <v>359</v>
      </c>
      <c r="D632" s="35" t="s">
        <v>345</v>
      </c>
      <c r="E632" s="37" t="s">
        <v>359</v>
      </c>
      <c r="F632" s="35" t="s">
        <v>345</v>
      </c>
      <c r="G632" s="37" t="s">
        <v>359</v>
      </c>
      <c r="H632" s="35" t="s">
        <v>345</v>
      </c>
      <c r="I632" s="37" t="s">
        <v>359</v>
      </c>
      <c r="J632" s="35" t="s">
        <v>345</v>
      </c>
      <c r="K632" s="37" t="s">
        <v>359</v>
      </c>
      <c r="L632" s="35" t="s">
        <v>345</v>
      </c>
      <c r="M632" s="37" t="s">
        <v>359</v>
      </c>
      <c r="N632" s="35" t="s">
        <v>345</v>
      </c>
      <c r="O632" s="38" t="s">
        <v>359</v>
      </c>
      <c r="P632" s="51"/>
    </row>
    <row r="633" spans="1:16" ht="11.25" customHeight="1" x14ac:dyDescent="0.2">
      <c r="A633" s="43" t="s">
        <v>313</v>
      </c>
      <c r="B633" s="14"/>
      <c r="C633" s="67"/>
      <c r="D633" s="17"/>
      <c r="E633" s="67"/>
      <c r="F633" s="14"/>
      <c r="G633" s="67"/>
      <c r="H633" s="14"/>
      <c r="I633" s="67"/>
      <c r="J633" s="14"/>
      <c r="K633" s="67"/>
      <c r="L633" s="14"/>
      <c r="M633" s="67"/>
      <c r="N633" s="14"/>
      <c r="O633" s="71"/>
      <c r="P633" s="51"/>
    </row>
    <row r="634" spans="1:16" ht="11.25" customHeight="1" x14ac:dyDescent="0.2">
      <c r="B634" s="15"/>
      <c r="C634" s="68"/>
      <c r="D634" s="15"/>
      <c r="E634" s="68"/>
      <c r="F634" s="15"/>
      <c r="G634" s="68"/>
      <c r="H634" s="15"/>
      <c r="I634" s="68"/>
      <c r="J634" s="15"/>
      <c r="K634" s="68"/>
      <c r="L634" s="15"/>
      <c r="M634" s="68"/>
      <c r="N634" s="15"/>
      <c r="O634" s="72"/>
      <c r="P634" s="51"/>
    </row>
    <row r="635" spans="1:16" ht="11.25" customHeight="1" x14ac:dyDescent="0.2">
      <c r="B635" s="15"/>
      <c r="C635" s="68"/>
      <c r="D635" s="15"/>
      <c r="E635" s="68"/>
      <c r="F635" s="15"/>
      <c r="G635" s="68"/>
      <c r="H635" s="15"/>
      <c r="I635" s="68"/>
      <c r="J635" s="15"/>
      <c r="K635" s="68"/>
      <c r="L635" s="15"/>
      <c r="M635" s="68"/>
      <c r="N635" s="15"/>
      <c r="O635" s="72"/>
      <c r="P635" s="51"/>
    </row>
    <row r="636" spans="1:16" ht="11.25" customHeight="1" x14ac:dyDescent="0.2">
      <c r="B636" s="15"/>
      <c r="C636" s="68"/>
      <c r="D636" s="15"/>
      <c r="E636" s="68"/>
      <c r="F636" s="15"/>
      <c r="G636" s="68"/>
      <c r="H636" s="15"/>
      <c r="I636" s="68"/>
      <c r="J636" s="15"/>
      <c r="K636" s="68"/>
      <c r="L636" s="15"/>
      <c r="M636" s="68"/>
      <c r="N636" s="15"/>
      <c r="O636" s="72"/>
      <c r="P636" s="51"/>
    </row>
    <row r="637" spans="1:16" ht="11.25" customHeight="1" x14ac:dyDescent="0.2">
      <c r="B637" s="16"/>
      <c r="C637" s="69"/>
      <c r="D637" s="16"/>
      <c r="E637" s="69"/>
      <c r="F637" s="16"/>
      <c r="G637" s="69"/>
      <c r="H637" s="16"/>
      <c r="I637" s="69"/>
      <c r="J637" s="16"/>
      <c r="K637" s="69"/>
      <c r="L637" s="16"/>
      <c r="M637" s="69"/>
      <c r="N637" s="16"/>
      <c r="O637" s="73"/>
      <c r="P637" s="51"/>
    </row>
    <row r="638" spans="1:16" ht="11.25" customHeight="1" x14ac:dyDescent="0.2">
      <c r="A638" s="43" t="s">
        <v>314</v>
      </c>
      <c r="B638" s="53" t="s">
        <v>346</v>
      </c>
      <c r="C638" s="70">
        <f>SUM(C633:C637)</f>
        <v>0</v>
      </c>
      <c r="D638" s="77"/>
      <c r="E638" s="70">
        <f>SUM(E633:E637)</f>
        <v>0</v>
      </c>
      <c r="F638" s="77"/>
      <c r="G638" s="70">
        <f>SUM(G633:G637)</f>
        <v>0</v>
      </c>
      <c r="H638" s="77"/>
      <c r="I638" s="70">
        <f>SUM(I633:I637)</f>
        <v>0</v>
      </c>
      <c r="J638" s="77"/>
      <c r="K638" s="70">
        <f>SUM(K633:K637)</f>
        <v>0</v>
      </c>
      <c r="L638" s="77"/>
      <c r="M638" s="70">
        <f>SUM(M633:M637)</f>
        <v>0</v>
      </c>
      <c r="N638" s="77"/>
      <c r="O638" s="74">
        <f>SUM(O633:O637)</f>
        <v>0</v>
      </c>
      <c r="P638" s="75">
        <f ca="1">SUMIF(B631:N631,"&gt;="&amp;15,C638:O638)</f>
        <v>0</v>
      </c>
    </row>
    <row r="639" spans="1:16" s="45" customFormat="1" ht="17.25" customHeight="1" x14ac:dyDescent="0.2">
      <c r="A639" s="46"/>
      <c r="B639" s="49"/>
      <c r="C639" s="50"/>
      <c r="D639" s="49"/>
      <c r="E639" s="50"/>
      <c r="F639" s="49"/>
      <c r="G639" s="50"/>
      <c r="H639" s="49"/>
      <c r="I639" s="50"/>
      <c r="J639" s="49"/>
      <c r="K639" s="50"/>
      <c r="L639" s="49"/>
      <c r="M639" s="50"/>
      <c r="N639" s="49"/>
      <c r="O639" s="50"/>
      <c r="P639" s="49"/>
    </row>
    <row r="640" spans="1:16" ht="12" customHeight="1" x14ac:dyDescent="0.2">
      <c r="A640" s="43" t="s">
        <v>315</v>
      </c>
      <c r="B640" s="97" t="s">
        <v>357</v>
      </c>
      <c r="C640" s="97"/>
      <c r="D640" s="97"/>
      <c r="E640" s="97"/>
      <c r="F640"/>
      <c r="G640" s="4"/>
      <c r="H640"/>
      <c r="I640" s="4"/>
      <c r="J640"/>
      <c r="K640" s="4"/>
      <c r="L640" s="81" t="s">
        <v>369</v>
      </c>
      <c r="M640" s="81"/>
      <c r="N640" s="81" t="s">
        <v>371</v>
      </c>
      <c r="O640" s="81"/>
      <c r="P640"/>
    </row>
    <row r="641" spans="1:16" ht="25.5" customHeight="1" x14ac:dyDescent="0.2">
      <c r="A641" s="43" t="s">
        <v>316</v>
      </c>
      <c r="B641" s="97"/>
      <c r="C641" s="97"/>
      <c r="D641" s="97"/>
      <c r="E641" s="97"/>
      <c r="F641" s="47" t="str">
        <f ca="1">IFERROR(WEEKDAY(DATEVALUE(B640&amp;" 1, "&amp;Year1)),"")</f>
        <v/>
      </c>
      <c r="G641" s="6"/>
      <c r="H641" s="45"/>
      <c r="I641" s="6"/>
      <c r="J641" s="45"/>
      <c r="K641" s="6"/>
      <c r="L641" s="82">
        <f ca="1">SUM(P651,P660,P669,P678,P687,P696)</f>
        <v>0</v>
      </c>
      <c r="M641" s="83"/>
      <c r="N641" s="82">
        <f ca="1">SUM(P:P)</f>
        <v>439.95</v>
      </c>
      <c r="O641" s="84"/>
      <c r="P641"/>
    </row>
    <row r="642" spans="1:16" s="45" customFormat="1" ht="9" customHeight="1" x14ac:dyDescent="0.2">
      <c r="A642" s="46" t="s">
        <v>317</v>
      </c>
      <c r="B642" s="98">
        <v>1</v>
      </c>
      <c r="C642" s="98"/>
      <c r="D642" s="98">
        <v>2</v>
      </c>
      <c r="E642" s="98"/>
      <c r="F642" s="98">
        <v>3</v>
      </c>
      <c r="G642" s="98"/>
      <c r="H642" s="98">
        <v>4</v>
      </c>
      <c r="I642" s="98"/>
      <c r="J642" s="98">
        <v>5</v>
      </c>
      <c r="K642" s="98"/>
      <c r="L642" s="98">
        <v>6</v>
      </c>
      <c r="M642" s="98"/>
      <c r="N642" s="98">
        <v>7</v>
      </c>
      <c r="O642" s="98"/>
      <c r="P642" s="48"/>
    </row>
    <row r="643" spans="1:16" ht="15" customHeight="1" x14ac:dyDescent="0.2">
      <c r="A643" s="43" t="s">
        <v>318</v>
      </c>
      <c r="B643" s="87" t="s">
        <v>372</v>
      </c>
      <c r="C643" s="88"/>
      <c r="D643" s="89" t="s">
        <v>344</v>
      </c>
      <c r="E643" s="90"/>
      <c r="F643" s="91" t="s">
        <v>360</v>
      </c>
      <c r="G643" s="90" t="e">
        <f ca="1">IF(WEEKDAY(DATEVALUE(Month1&amp;" 1, "&amp;Year1))=COLUMN(#REF!),1,IF(LEN(E643)&gt;0,E643+1,""))</f>
        <v>#VALUE!</v>
      </c>
      <c r="H643" s="92" t="s">
        <v>361</v>
      </c>
      <c r="I643" s="92" t="e">
        <f ca="1">IF(WEEKDAY(DATEVALUE(Month1&amp;" 1, "&amp;Year1))=COLUMN(#REF!),1,IF(LEN(G643)&gt;0,G643+1,""))</f>
        <v>#VALUE!</v>
      </c>
      <c r="J643" s="91" t="s">
        <v>364</v>
      </c>
      <c r="K643" s="90" t="e">
        <f ca="1">IF(WEEKDAY(DATEVALUE(Month1&amp;" 1, "&amp;Year1))=COLUMN(#REF!),1,IF(LEN(I643)&gt;0,I643+1,""))</f>
        <v>#VALUE!</v>
      </c>
      <c r="L643" s="93" t="s">
        <v>368</v>
      </c>
      <c r="M643" s="94" t="e">
        <f ca="1">IF(WEEKDAY(DATEVALUE(Month1&amp;" 1, "&amp;Year1))=COLUMN(#REF!),1,IF(LEN(K643)&gt;0,K643+1,""))</f>
        <v>#VALUE!</v>
      </c>
      <c r="N643" s="95" t="s">
        <v>370</v>
      </c>
      <c r="O643" s="96" t="e">
        <f ca="1">IF(WEEKDAY(DATEVALUE(Month1&amp;" 1, "&amp;Year1))=COLUMN(#REF!),1,IF(LEN(M643)&gt;0,M643+1,""))</f>
        <v>#VALUE!</v>
      </c>
      <c r="P643" s="40" t="s">
        <v>373</v>
      </c>
    </row>
    <row r="644" spans="1:16" ht="15" customHeight="1" x14ac:dyDescent="0.2">
      <c r="A644" s="43" t="s">
        <v>319</v>
      </c>
      <c r="B644" s="11">
        <f ca="1">DAY(IF(DAY(DecSun1)=1,DecSun1-6,DecSun1+1))</f>
        <v>1</v>
      </c>
      <c r="C644" s="13"/>
      <c r="D644" s="18">
        <f ca="1">DAY(IF(DAY(DecSun1)=1,DecSun1-5,DecSun1+2))</f>
        <v>2</v>
      </c>
      <c r="E644" s="13"/>
      <c r="F644" s="18">
        <f ca="1">DAY(IF(DAY(DecSun1)=1,DecSun1-4,DecSun1+3))</f>
        <v>3</v>
      </c>
      <c r="G644" s="13"/>
      <c r="H644" s="18">
        <f ca="1">DAY(IF(DAY(DecSun1)=1,DecSun1-3,DecSun1+4))</f>
        <v>4</v>
      </c>
      <c r="I644" s="13"/>
      <c r="J644" s="18">
        <f ca="1">DAY(IF(DAY(DecSun1)=1,DecSun1-2,DecSun1+5))</f>
        <v>5</v>
      </c>
      <c r="K644" s="13"/>
      <c r="L644" s="18">
        <f ca="1">DAY(IF(DAY(DecSun1)=1,DecSun1-1,DecSun1+6))</f>
        <v>6</v>
      </c>
      <c r="M644" s="13"/>
      <c r="N644" s="22">
        <f ca="1">DAY(IF(DAY(DecSun1)=1,DecSun1,DecSun1+7))</f>
        <v>7</v>
      </c>
      <c r="O644" s="12"/>
      <c r="P644" s="51"/>
    </row>
    <row r="645" spans="1:16" ht="11.25" customHeight="1" x14ac:dyDescent="0.2">
      <c r="A645" s="43" t="s">
        <v>320</v>
      </c>
      <c r="B645" s="39" t="s">
        <v>345</v>
      </c>
      <c r="C645" s="34" t="s">
        <v>359</v>
      </c>
      <c r="D645" s="33" t="s">
        <v>345</v>
      </c>
      <c r="E645" s="34" t="s">
        <v>359</v>
      </c>
      <c r="F645" s="33" t="s">
        <v>345</v>
      </c>
      <c r="G645" s="34" t="s">
        <v>359</v>
      </c>
      <c r="H645" s="33" t="s">
        <v>345</v>
      </c>
      <c r="I645" s="34" t="s">
        <v>359</v>
      </c>
      <c r="J645" s="33" t="s">
        <v>345</v>
      </c>
      <c r="K645" s="34" t="s">
        <v>359</v>
      </c>
      <c r="L645" s="33" t="s">
        <v>345</v>
      </c>
      <c r="M645" s="34" t="s">
        <v>359</v>
      </c>
      <c r="N645" s="35" t="s">
        <v>345</v>
      </c>
      <c r="O645" s="36" t="s">
        <v>359</v>
      </c>
      <c r="P645" s="51"/>
    </row>
    <row r="646" spans="1:16" ht="11.25" customHeight="1" x14ac:dyDescent="0.2">
      <c r="A646" s="43" t="s">
        <v>321</v>
      </c>
      <c r="B646" s="14"/>
      <c r="C646" s="67"/>
      <c r="D646" s="17"/>
      <c r="E646" s="67"/>
      <c r="F646" s="14"/>
      <c r="G646" s="67"/>
      <c r="H646" s="14"/>
      <c r="I646" s="67"/>
      <c r="J646" s="14"/>
      <c r="K646" s="67"/>
      <c r="L646" s="14"/>
      <c r="M646" s="67"/>
      <c r="N646" s="14"/>
      <c r="O646" s="71"/>
      <c r="P646" s="51"/>
    </row>
    <row r="647" spans="1:16" ht="11.25" customHeight="1" x14ac:dyDescent="0.2">
      <c r="B647" s="15"/>
      <c r="C647" s="68"/>
      <c r="D647" s="15"/>
      <c r="E647" s="68"/>
      <c r="F647" s="15"/>
      <c r="G647" s="68"/>
      <c r="H647" s="15"/>
      <c r="I647" s="68"/>
      <c r="J647" s="15"/>
      <c r="K647" s="68"/>
      <c r="L647" s="15"/>
      <c r="M647" s="68"/>
      <c r="N647" s="15"/>
      <c r="O647" s="72"/>
      <c r="P647" s="51"/>
    </row>
    <row r="648" spans="1:16" ht="11.25" customHeight="1" x14ac:dyDescent="0.2">
      <c r="B648" s="15"/>
      <c r="C648" s="68"/>
      <c r="D648" s="15"/>
      <c r="E648" s="68"/>
      <c r="F648" s="15"/>
      <c r="G648" s="68"/>
      <c r="H648" s="15"/>
      <c r="I648" s="68"/>
      <c r="J648" s="15"/>
      <c r="K648" s="68"/>
      <c r="L648" s="15"/>
      <c r="M648" s="68"/>
      <c r="N648" s="15"/>
      <c r="O648" s="72"/>
      <c r="P648" s="51"/>
    </row>
    <row r="649" spans="1:16" ht="11.25" customHeight="1" x14ac:dyDescent="0.2">
      <c r="B649" s="15"/>
      <c r="C649" s="68"/>
      <c r="D649" s="15"/>
      <c r="E649" s="68"/>
      <c r="F649" s="15"/>
      <c r="G649" s="68"/>
      <c r="H649" s="15"/>
      <c r="I649" s="68"/>
      <c r="J649" s="15"/>
      <c r="K649" s="68"/>
      <c r="L649" s="15"/>
      <c r="M649" s="68"/>
      <c r="N649" s="15"/>
      <c r="O649" s="72"/>
      <c r="P649" s="51"/>
    </row>
    <row r="650" spans="1:16" ht="11.25" customHeight="1" x14ac:dyDescent="0.2">
      <c r="B650" s="16"/>
      <c r="C650" s="69"/>
      <c r="D650" s="16"/>
      <c r="E650" s="69"/>
      <c r="F650" s="16"/>
      <c r="G650" s="69"/>
      <c r="H650" s="16"/>
      <c r="I650" s="69"/>
      <c r="J650" s="16"/>
      <c r="K650" s="69"/>
      <c r="L650" s="16"/>
      <c r="M650" s="69"/>
      <c r="N650" s="16"/>
      <c r="O650" s="73"/>
      <c r="P650" s="51"/>
    </row>
    <row r="651" spans="1:16" ht="11.25" customHeight="1" x14ac:dyDescent="0.2">
      <c r="A651" s="43" t="s">
        <v>322</v>
      </c>
      <c r="B651" s="53" t="s">
        <v>346</v>
      </c>
      <c r="C651" s="70">
        <f>SUM(C646:C650)</f>
        <v>0</v>
      </c>
      <c r="D651" s="77"/>
      <c r="E651" s="70">
        <f>SUM(E646:E650)</f>
        <v>0</v>
      </c>
      <c r="F651" s="77"/>
      <c r="G651" s="70">
        <f>SUM(G646:G650)</f>
        <v>0</v>
      </c>
      <c r="H651" s="77"/>
      <c r="I651" s="70">
        <f>SUM(I646:I650)</f>
        <v>0</v>
      </c>
      <c r="J651" s="77"/>
      <c r="K651" s="70">
        <f>SUM(K646:K650)</f>
        <v>0</v>
      </c>
      <c r="L651" s="77"/>
      <c r="M651" s="70">
        <f>SUM(M646:M650)</f>
        <v>0</v>
      </c>
      <c r="N651" s="77"/>
      <c r="O651" s="74">
        <f>SUM(O646:O650)</f>
        <v>0</v>
      </c>
      <c r="P651" s="75">
        <f ca="1">SUMIF(B644:N644,"&lt;8",C651:O651)</f>
        <v>0</v>
      </c>
    </row>
    <row r="652" spans="1:16" s="45" customFormat="1" x14ac:dyDescent="0.2">
      <c r="A652" s="46"/>
      <c r="C652" s="6"/>
      <c r="D652" s="6"/>
      <c r="E652" s="6"/>
      <c r="F652" s="6"/>
      <c r="G652" s="6"/>
      <c r="H652" s="6"/>
      <c r="I652" s="6"/>
      <c r="J652" s="6"/>
      <c r="K652" s="6"/>
      <c r="L652" s="6"/>
      <c r="M652" s="6"/>
      <c r="N652" s="6"/>
      <c r="O652" s="6"/>
    </row>
    <row r="653" spans="1:16" ht="15" customHeight="1" x14ac:dyDescent="0.2">
      <c r="A653" s="43" t="s">
        <v>323</v>
      </c>
      <c r="B653" s="9">
        <f ca="1">N644+1</f>
        <v>8</v>
      </c>
      <c r="C653" s="10"/>
      <c r="D653" s="9">
        <f ca="1">B653+1</f>
        <v>9</v>
      </c>
      <c r="E653" s="10"/>
      <c r="F653" s="9">
        <f ca="1">D653+1</f>
        <v>10</v>
      </c>
      <c r="G653" s="10"/>
      <c r="H653" s="9">
        <f ca="1">F653+1</f>
        <v>11</v>
      </c>
      <c r="I653" s="10"/>
      <c r="J653" s="9">
        <f ca="1">H653+1</f>
        <v>12</v>
      </c>
      <c r="K653" s="10"/>
      <c r="L653" s="9">
        <f ca="1">J653+1</f>
        <v>13</v>
      </c>
      <c r="M653" s="10"/>
      <c r="N653" s="9">
        <f ca="1">L653+1</f>
        <v>14</v>
      </c>
      <c r="O653" s="10"/>
      <c r="P653" s="27"/>
    </row>
    <row r="654" spans="1:16" ht="11.25" customHeight="1" x14ac:dyDescent="0.2">
      <c r="A654" s="43" t="s">
        <v>324</v>
      </c>
      <c r="B654" s="35" t="s">
        <v>345</v>
      </c>
      <c r="C654" s="37" t="s">
        <v>359</v>
      </c>
      <c r="D654" s="35" t="s">
        <v>345</v>
      </c>
      <c r="E654" s="37" t="s">
        <v>359</v>
      </c>
      <c r="F654" s="35" t="s">
        <v>345</v>
      </c>
      <c r="G654" s="37" t="s">
        <v>359</v>
      </c>
      <c r="H654" s="35" t="s">
        <v>345</v>
      </c>
      <c r="I654" s="37" t="s">
        <v>359</v>
      </c>
      <c r="J654" s="35" t="s">
        <v>345</v>
      </c>
      <c r="K654" s="37" t="s">
        <v>359</v>
      </c>
      <c r="L654" s="35" t="s">
        <v>345</v>
      </c>
      <c r="M654" s="37" t="s">
        <v>359</v>
      </c>
      <c r="N654" s="35" t="s">
        <v>345</v>
      </c>
      <c r="O654" s="38" t="s">
        <v>359</v>
      </c>
      <c r="P654" s="51"/>
    </row>
    <row r="655" spans="1:16" ht="11.25" customHeight="1" x14ac:dyDescent="0.2">
      <c r="A655" s="43" t="s">
        <v>325</v>
      </c>
      <c r="B655" s="19"/>
      <c r="C655" s="67"/>
      <c r="D655" s="19"/>
      <c r="E655" s="67"/>
      <c r="F655" s="19"/>
      <c r="G655" s="67"/>
      <c r="H655" s="19"/>
      <c r="I655" s="67"/>
      <c r="J655" s="19"/>
      <c r="K655" s="67"/>
      <c r="L655" s="19"/>
      <c r="M655" s="67"/>
      <c r="N655" s="19"/>
      <c r="O655" s="71"/>
      <c r="P655" s="51"/>
    </row>
    <row r="656" spans="1:16" ht="11.25" customHeight="1" x14ac:dyDescent="0.2">
      <c r="B656" s="20"/>
      <c r="C656" s="68"/>
      <c r="D656" s="20"/>
      <c r="E656" s="68"/>
      <c r="F656" s="20"/>
      <c r="G656" s="68"/>
      <c r="H656" s="20"/>
      <c r="I656" s="68"/>
      <c r="J656" s="20"/>
      <c r="K656" s="68"/>
      <c r="L656" s="20"/>
      <c r="M656" s="68"/>
      <c r="N656" s="20"/>
      <c r="O656" s="72"/>
      <c r="P656" s="51"/>
    </row>
    <row r="657" spans="1:16" ht="11.25" customHeight="1" x14ac:dyDescent="0.2">
      <c r="B657" s="20"/>
      <c r="C657" s="68"/>
      <c r="D657" s="20"/>
      <c r="E657" s="68"/>
      <c r="F657" s="20"/>
      <c r="G657" s="68"/>
      <c r="H657" s="20"/>
      <c r="I657" s="68"/>
      <c r="J657" s="20"/>
      <c r="K657" s="68"/>
      <c r="L657" s="20"/>
      <c r="M657" s="68"/>
      <c r="N657" s="20"/>
      <c r="O657" s="72"/>
      <c r="P657" s="51"/>
    </row>
    <row r="658" spans="1:16" ht="11.25" customHeight="1" x14ac:dyDescent="0.2">
      <c r="B658" s="20"/>
      <c r="C658" s="68"/>
      <c r="D658" s="20"/>
      <c r="E658" s="68"/>
      <c r="F658" s="20"/>
      <c r="G658" s="68"/>
      <c r="H658" s="20"/>
      <c r="I658" s="68"/>
      <c r="J658" s="20"/>
      <c r="K658" s="68"/>
      <c r="L658" s="20"/>
      <c r="M658" s="68"/>
      <c r="N658" s="20"/>
      <c r="O658" s="72"/>
      <c r="P658" s="51"/>
    </row>
    <row r="659" spans="1:16" ht="11.25" customHeight="1" x14ac:dyDescent="0.2">
      <c r="B659" s="21"/>
      <c r="C659" s="69"/>
      <c r="D659" s="21"/>
      <c r="E659" s="69"/>
      <c r="F659" s="21"/>
      <c r="G659" s="69"/>
      <c r="H659" s="21"/>
      <c r="I659" s="69"/>
      <c r="J659" s="21"/>
      <c r="K659" s="69"/>
      <c r="L659" s="21"/>
      <c r="M659" s="69"/>
      <c r="N659" s="21"/>
      <c r="O659" s="73"/>
      <c r="P659" s="51"/>
    </row>
    <row r="660" spans="1:16" ht="11.25" customHeight="1" x14ac:dyDescent="0.2">
      <c r="A660" s="43" t="s">
        <v>326</v>
      </c>
      <c r="B660" s="53" t="s">
        <v>346</v>
      </c>
      <c r="C660" s="70">
        <f>SUM(C655:C659)</f>
        <v>0</v>
      </c>
      <c r="D660" s="77"/>
      <c r="E660" s="70">
        <f>SUM(E655:E659)</f>
        <v>0</v>
      </c>
      <c r="F660" s="77"/>
      <c r="G660" s="70">
        <f>SUM(G655:G659)</f>
        <v>0</v>
      </c>
      <c r="H660" s="77"/>
      <c r="I660" s="70">
        <f>SUM(I655:I659)</f>
        <v>0</v>
      </c>
      <c r="J660" s="77"/>
      <c r="K660" s="70">
        <f>SUM(K655:K659)</f>
        <v>0</v>
      </c>
      <c r="L660" s="77"/>
      <c r="M660" s="70">
        <f>SUM(M655:M659)</f>
        <v>0</v>
      </c>
      <c r="N660" s="77"/>
      <c r="O660" s="74">
        <f>SUM(O655:O659)</f>
        <v>0</v>
      </c>
      <c r="P660" s="75">
        <f>SUM(C660,E660,G660,I660,K660,M660,O660)</f>
        <v>0</v>
      </c>
    </row>
    <row r="661" spans="1:16" s="45" customFormat="1" x14ac:dyDescent="0.2">
      <c r="A661" s="46"/>
      <c r="C661" s="6"/>
      <c r="D661" s="6"/>
      <c r="E661" s="6"/>
      <c r="F661" s="6"/>
      <c r="G661" s="6"/>
      <c r="H661" s="6"/>
      <c r="I661" s="6"/>
      <c r="J661" s="6"/>
      <c r="K661" s="6"/>
      <c r="L661" s="6"/>
      <c r="M661" s="6"/>
      <c r="N661" s="6"/>
      <c r="O661" s="6"/>
    </row>
    <row r="662" spans="1:16" ht="15" customHeight="1" x14ac:dyDescent="0.2">
      <c r="A662" s="43" t="s">
        <v>327</v>
      </c>
      <c r="B662" s="9">
        <f ca="1">N653+1</f>
        <v>15</v>
      </c>
      <c r="C662" s="10"/>
      <c r="D662" s="9">
        <f ca="1">B662+1</f>
        <v>16</v>
      </c>
      <c r="E662" s="10"/>
      <c r="F662" s="9">
        <f ca="1">D662+1</f>
        <v>17</v>
      </c>
      <c r="G662" s="10"/>
      <c r="H662" s="9">
        <f ca="1">F662+1</f>
        <v>18</v>
      </c>
      <c r="I662" s="10"/>
      <c r="J662" s="9">
        <f ca="1">H662+1</f>
        <v>19</v>
      </c>
      <c r="K662" s="10"/>
      <c r="L662" s="9">
        <f ca="1">J662+1</f>
        <v>20</v>
      </c>
      <c r="M662" s="10"/>
      <c r="N662" s="9">
        <f ca="1">L662+1</f>
        <v>21</v>
      </c>
      <c r="O662" s="10"/>
      <c r="P662" s="27"/>
    </row>
    <row r="663" spans="1:16" ht="11.25" customHeight="1" x14ac:dyDescent="0.2">
      <c r="A663" s="43" t="s">
        <v>328</v>
      </c>
      <c r="B663" s="35" t="s">
        <v>345</v>
      </c>
      <c r="C663" s="37" t="s">
        <v>359</v>
      </c>
      <c r="D663" s="35" t="s">
        <v>345</v>
      </c>
      <c r="E663" s="37" t="s">
        <v>359</v>
      </c>
      <c r="F663" s="35" t="s">
        <v>345</v>
      </c>
      <c r="G663" s="37" t="s">
        <v>359</v>
      </c>
      <c r="H663" s="35" t="s">
        <v>345</v>
      </c>
      <c r="I663" s="37" t="s">
        <v>359</v>
      </c>
      <c r="J663" s="35" t="s">
        <v>345</v>
      </c>
      <c r="K663" s="37" t="s">
        <v>359</v>
      </c>
      <c r="L663" s="35" t="s">
        <v>345</v>
      </c>
      <c r="M663" s="37" t="s">
        <v>359</v>
      </c>
      <c r="N663" s="35" t="s">
        <v>345</v>
      </c>
      <c r="O663" s="38" t="s">
        <v>359</v>
      </c>
      <c r="P663" s="51"/>
    </row>
    <row r="664" spans="1:16" ht="11.25" customHeight="1" x14ac:dyDescent="0.2">
      <c r="A664" s="43" t="s">
        <v>329</v>
      </c>
      <c r="B664" s="19"/>
      <c r="C664" s="67"/>
      <c r="D664" s="19"/>
      <c r="E664" s="67"/>
      <c r="F664" s="19"/>
      <c r="G664" s="67"/>
      <c r="H664" s="19"/>
      <c r="I664" s="67"/>
      <c r="J664" s="19"/>
      <c r="K664" s="67"/>
      <c r="L664" s="19"/>
      <c r="M664" s="67"/>
      <c r="N664" s="19"/>
      <c r="O664" s="71"/>
      <c r="P664" s="51"/>
    </row>
    <row r="665" spans="1:16" ht="11.25" customHeight="1" x14ac:dyDescent="0.2">
      <c r="B665" s="20"/>
      <c r="C665" s="68"/>
      <c r="D665" s="20"/>
      <c r="E665" s="68"/>
      <c r="F665" s="20"/>
      <c r="G665" s="68"/>
      <c r="H665" s="20"/>
      <c r="I665" s="68"/>
      <c r="J665" s="20"/>
      <c r="K665" s="68"/>
      <c r="L665" s="20"/>
      <c r="M665" s="68"/>
      <c r="N665" s="20"/>
      <c r="O665" s="72"/>
      <c r="P665" s="51"/>
    </row>
    <row r="666" spans="1:16" ht="11.25" customHeight="1" x14ac:dyDescent="0.2">
      <c r="B666" s="20"/>
      <c r="C666" s="68"/>
      <c r="D666" s="20"/>
      <c r="E666" s="68"/>
      <c r="F666" s="20"/>
      <c r="G666" s="68"/>
      <c r="H666" s="20"/>
      <c r="I666" s="68"/>
      <c r="J666" s="20"/>
      <c r="K666" s="68"/>
      <c r="L666" s="20"/>
      <c r="M666" s="68"/>
      <c r="N666" s="20"/>
      <c r="O666" s="72"/>
      <c r="P666" s="51"/>
    </row>
    <row r="667" spans="1:16" ht="11.25" customHeight="1" x14ac:dyDescent="0.2">
      <c r="B667" s="20"/>
      <c r="C667" s="68"/>
      <c r="D667" s="20"/>
      <c r="E667" s="68"/>
      <c r="F667" s="20"/>
      <c r="G667" s="68"/>
      <c r="H667" s="20"/>
      <c r="I667" s="68"/>
      <c r="J667" s="20"/>
      <c r="K667" s="68"/>
      <c r="L667" s="20"/>
      <c r="M667" s="68"/>
      <c r="N667" s="20"/>
      <c r="O667" s="72"/>
      <c r="P667" s="51"/>
    </row>
    <row r="668" spans="1:16" ht="11.25" customHeight="1" x14ac:dyDescent="0.2">
      <c r="B668" s="21"/>
      <c r="C668" s="69"/>
      <c r="D668" s="21"/>
      <c r="E668" s="69"/>
      <c r="F668" s="21"/>
      <c r="G668" s="69"/>
      <c r="H668" s="21"/>
      <c r="I668" s="69"/>
      <c r="J668" s="21"/>
      <c r="K668" s="69"/>
      <c r="L668" s="21"/>
      <c r="M668" s="69"/>
      <c r="N668" s="21"/>
      <c r="O668" s="73"/>
      <c r="P668" s="51"/>
    </row>
    <row r="669" spans="1:16" ht="11.25" customHeight="1" x14ac:dyDescent="0.2">
      <c r="A669" s="43" t="s">
        <v>330</v>
      </c>
      <c r="B669" s="54" t="s">
        <v>346</v>
      </c>
      <c r="C669" s="70">
        <f>SUM(C664:C668)</f>
        <v>0</v>
      </c>
      <c r="D669" s="77"/>
      <c r="E669" s="70">
        <f>SUM(E664:E668)</f>
        <v>0</v>
      </c>
      <c r="F669" s="77"/>
      <c r="G669" s="70">
        <f>SUM(G664:G668)</f>
        <v>0</v>
      </c>
      <c r="H669" s="77"/>
      <c r="I669" s="70">
        <f>SUM(I664:I668)</f>
        <v>0</v>
      </c>
      <c r="J669" s="77"/>
      <c r="K669" s="70">
        <f>SUM(K664:K668)</f>
        <v>0</v>
      </c>
      <c r="L669" s="77"/>
      <c r="M669" s="70">
        <f>SUM(M664:M668)</f>
        <v>0</v>
      </c>
      <c r="N669" s="77"/>
      <c r="O669" s="74">
        <f>SUM(O664:O668)</f>
        <v>0</v>
      </c>
      <c r="P669" s="75">
        <f>SUM(C669,E669,G669,I669,K669,M669,O669)</f>
        <v>0</v>
      </c>
    </row>
    <row r="670" spans="1:16" s="45" customFormat="1" x14ac:dyDescent="0.2">
      <c r="A670" s="46"/>
      <c r="C670" s="6"/>
      <c r="D670" s="6"/>
      <c r="E670" s="6"/>
      <c r="F670" s="6"/>
      <c r="G670" s="6"/>
      <c r="H670" s="6"/>
      <c r="I670" s="6"/>
      <c r="J670" s="6"/>
      <c r="K670" s="6"/>
      <c r="L670" s="6"/>
      <c r="M670" s="6"/>
      <c r="N670" s="6"/>
      <c r="O670" s="6"/>
    </row>
    <row r="671" spans="1:16" ht="15" customHeight="1" x14ac:dyDescent="0.2">
      <c r="A671" s="43" t="s">
        <v>331</v>
      </c>
      <c r="B671" s="9">
        <f ca="1">N662+1</f>
        <v>22</v>
      </c>
      <c r="C671" s="10"/>
      <c r="D671" s="9">
        <f ca="1">B671+1</f>
        <v>23</v>
      </c>
      <c r="E671" s="10"/>
      <c r="F671" s="9">
        <f ca="1">D671+1</f>
        <v>24</v>
      </c>
      <c r="G671" s="10"/>
      <c r="H671" s="9">
        <f ca="1">F671+1</f>
        <v>25</v>
      </c>
      <c r="I671" s="10"/>
      <c r="J671" s="9">
        <f ca="1">H671+1</f>
        <v>26</v>
      </c>
      <c r="K671" s="10"/>
      <c r="L671" s="9">
        <f ca="1">J671+1</f>
        <v>27</v>
      </c>
      <c r="M671" s="10"/>
      <c r="N671" s="9">
        <f ca="1">L671+1</f>
        <v>28</v>
      </c>
      <c r="O671" s="10"/>
      <c r="P671" s="27"/>
    </row>
    <row r="672" spans="1:16" ht="11.25" customHeight="1" x14ac:dyDescent="0.2">
      <c r="A672" s="43" t="s">
        <v>332</v>
      </c>
      <c r="B672" s="35" t="s">
        <v>345</v>
      </c>
      <c r="C672" s="37" t="s">
        <v>359</v>
      </c>
      <c r="D672" s="35" t="s">
        <v>345</v>
      </c>
      <c r="E672" s="37" t="s">
        <v>359</v>
      </c>
      <c r="F672" s="35" t="s">
        <v>345</v>
      </c>
      <c r="G672" s="37" t="s">
        <v>359</v>
      </c>
      <c r="H672" s="35" t="s">
        <v>345</v>
      </c>
      <c r="I672" s="37" t="s">
        <v>359</v>
      </c>
      <c r="J672" s="35" t="s">
        <v>345</v>
      </c>
      <c r="K672" s="37" t="s">
        <v>359</v>
      </c>
      <c r="L672" s="35" t="s">
        <v>345</v>
      </c>
      <c r="M672" s="37" t="s">
        <v>359</v>
      </c>
      <c r="N672" s="35" t="s">
        <v>345</v>
      </c>
      <c r="O672" s="38" t="s">
        <v>359</v>
      </c>
      <c r="P672" s="51"/>
    </row>
    <row r="673" spans="1:16" ht="11.25" customHeight="1" x14ac:dyDescent="0.2">
      <c r="A673" s="43" t="s">
        <v>333</v>
      </c>
      <c r="B673" s="19"/>
      <c r="C673" s="67"/>
      <c r="D673" s="19"/>
      <c r="E673" s="67"/>
      <c r="F673" s="19"/>
      <c r="G673" s="67"/>
      <c r="H673" s="19"/>
      <c r="I673" s="67"/>
      <c r="J673" s="19"/>
      <c r="K673" s="67"/>
      <c r="L673" s="19"/>
      <c r="M673" s="67"/>
      <c r="N673" s="19"/>
      <c r="O673" s="71"/>
      <c r="P673" s="51"/>
    </row>
    <row r="674" spans="1:16" ht="11.25" customHeight="1" x14ac:dyDescent="0.2">
      <c r="B674" s="20"/>
      <c r="C674" s="68"/>
      <c r="D674" s="20"/>
      <c r="E674" s="68"/>
      <c r="F674" s="20"/>
      <c r="G674" s="68"/>
      <c r="H674" s="20"/>
      <c r="I674" s="68"/>
      <c r="J674" s="20"/>
      <c r="K674" s="68"/>
      <c r="L674" s="20"/>
      <c r="M674" s="68"/>
      <c r="N674" s="20"/>
      <c r="O674" s="72"/>
      <c r="P674" s="51"/>
    </row>
    <row r="675" spans="1:16" ht="11.25" customHeight="1" x14ac:dyDescent="0.2">
      <c r="B675" s="20"/>
      <c r="C675" s="68"/>
      <c r="D675" s="20"/>
      <c r="E675" s="68"/>
      <c r="F675" s="20"/>
      <c r="G675" s="68"/>
      <c r="H675" s="20"/>
      <c r="I675" s="68"/>
      <c r="J675" s="20"/>
      <c r="K675" s="68"/>
      <c r="L675" s="20"/>
      <c r="M675" s="68"/>
      <c r="N675" s="20"/>
      <c r="O675" s="72"/>
      <c r="P675" s="51"/>
    </row>
    <row r="676" spans="1:16" ht="11.25" customHeight="1" x14ac:dyDescent="0.2">
      <c r="B676" s="20"/>
      <c r="C676" s="68"/>
      <c r="D676" s="20"/>
      <c r="E676" s="68"/>
      <c r="F676" s="20"/>
      <c r="G676" s="68"/>
      <c r="H676" s="20"/>
      <c r="I676" s="68"/>
      <c r="J676" s="20"/>
      <c r="K676" s="68"/>
      <c r="L676" s="20"/>
      <c r="M676" s="68"/>
      <c r="N676" s="20"/>
      <c r="O676" s="72"/>
      <c r="P676" s="51"/>
    </row>
    <row r="677" spans="1:16" ht="11.25" customHeight="1" x14ac:dyDescent="0.2">
      <c r="B677" s="21"/>
      <c r="C677" s="69"/>
      <c r="D677" s="21"/>
      <c r="E677" s="69"/>
      <c r="F677" s="21"/>
      <c r="G677" s="69"/>
      <c r="H677" s="21"/>
      <c r="I677" s="69"/>
      <c r="J677" s="21"/>
      <c r="K677" s="69"/>
      <c r="L677" s="21"/>
      <c r="M677" s="69"/>
      <c r="N677" s="21"/>
      <c r="O677" s="73"/>
      <c r="P677" s="51"/>
    </row>
    <row r="678" spans="1:16" ht="11.25" customHeight="1" x14ac:dyDescent="0.2">
      <c r="A678" s="43" t="s">
        <v>334</v>
      </c>
      <c r="B678" s="53" t="s">
        <v>346</v>
      </c>
      <c r="C678" s="70">
        <f>SUM(C673:C677)</f>
        <v>0</v>
      </c>
      <c r="D678" s="77"/>
      <c r="E678" s="70">
        <f>SUM(E673:E677)</f>
        <v>0</v>
      </c>
      <c r="F678" s="77"/>
      <c r="G678" s="70">
        <f>SUM(G673:G677)</f>
        <v>0</v>
      </c>
      <c r="H678" s="77"/>
      <c r="I678" s="70">
        <f>SUM(I673:I677)</f>
        <v>0</v>
      </c>
      <c r="J678" s="77"/>
      <c r="K678" s="70">
        <f>SUM(K673:K677)</f>
        <v>0</v>
      </c>
      <c r="L678" s="77"/>
      <c r="M678" s="70">
        <f>SUM(M673:M677)</f>
        <v>0</v>
      </c>
      <c r="N678" s="77"/>
      <c r="O678" s="74">
        <f>SUM(O673:O677)</f>
        <v>0</v>
      </c>
      <c r="P678" s="75">
        <f>SUM(C678,E678,G678,I678,K678,M678,O678)</f>
        <v>0</v>
      </c>
    </row>
    <row r="679" spans="1:16" s="45" customFormat="1" x14ac:dyDescent="0.2">
      <c r="A679" s="46"/>
      <c r="C679" s="6"/>
      <c r="D679" s="6"/>
      <c r="E679" s="6"/>
      <c r="F679" s="6"/>
      <c r="G679" s="6"/>
      <c r="H679" s="6"/>
      <c r="I679" s="6"/>
      <c r="J679" s="6"/>
      <c r="K679" s="6"/>
      <c r="L679" s="6"/>
      <c r="M679" s="6"/>
      <c r="N679" s="6"/>
      <c r="O679" s="6"/>
    </row>
    <row r="680" spans="1:16" ht="15" customHeight="1" x14ac:dyDescent="0.2">
      <c r="A680" s="43" t="s">
        <v>335</v>
      </c>
      <c r="B680" s="9">
        <f ca="1">DAY(IF(DAY(DecSun1)=1,DecSun1+22,DecSun1+29))</f>
        <v>29</v>
      </c>
      <c r="C680" s="10"/>
      <c r="D680" s="9">
        <f ca="1">DAY(IF(DAY(DecSun1)=1,DecSun1+23,DecSun1+30))</f>
        <v>30</v>
      </c>
      <c r="E680" s="10"/>
      <c r="F680" s="9">
        <f ca="1">DAY(IF(DAY(DecSun1)=1,DecSun1+24,DecSun1+31))</f>
        <v>31</v>
      </c>
      <c r="G680" s="10"/>
      <c r="H680" s="9">
        <f ca="1">DAY(IF(DAY(DecSun1)=1,DecSun1+25,DecSun1+32))</f>
        <v>1</v>
      </c>
      <c r="I680" s="10"/>
      <c r="J680" s="9">
        <f ca="1">DAY(IF(DAY(DecSun1)=1,DecSun1+26,DecSun1+33))</f>
        <v>2</v>
      </c>
      <c r="K680" s="10"/>
      <c r="L680" s="9">
        <f ca="1">DAY(IF(DAY(DecSun1)=1,DecSun1+27,DecSun1+34))</f>
        <v>3</v>
      </c>
      <c r="M680" s="10"/>
      <c r="N680" s="9">
        <f ca="1">DAY(IF(DAY(DecSun1)=1,DecSun1+28,DecSun1+35))</f>
        <v>4</v>
      </c>
      <c r="O680" s="10"/>
      <c r="P680" s="27"/>
    </row>
    <row r="681" spans="1:16" ht="11.25" customHeight="1" x14ac:dyDescent="0.2">
      <c r="A681" s="43" t="s">
        <v>336</v>
      </c>
      <c r="B681" s="35" t="s">
        <v>345</v>
      </c>
      <c r="C681" s="37" t="s">
        <v>359</v>
      </c>
      <c r="D681" s="35" t="s">
        <v>345</v>
      </c>
      <c r="E681" s="37" t="s">
        <v>359</v>
      </c>
      <c r="F681" s="35" t="s">
        <v>345</v>
      </c>
      <c r="G681" s="37" t="s">
        <v>359</v>
      </c>
      <c r="H681" s="35" t="s">
        <v>345</v>
      </c>
      <c r="I681" s="37" t="s">
        <v>359</v>
      </c>
      <c r="J681" s="35" t="s">
        <v>345</v>
      </c>
      <c r="K681" s="37" t="s">
        <v>359</v>
      </c>
      <c r="L681" s="35" t="s">
        <v>345</v>
      </c>
      <c r="M681" s="37" t="s">
        <v>359</v>
      </c>
      <c r="N681" s="35" t="s">
        <v>345</v>
      </c>
      <c r="O681" s="38" t="s">
        <v>359</v>
      </c>
      <c r="P681" s="51"/>
    </row>
    <row r="682" spans="1:16" ht="11.25" customHeight="1" x14ac:dyDescent="0.2">
      <c r="A682" s="43" t="s">
        <v>337</v>
      </c>
      <c r="B682" s="14"/>
      <c r="C682" s="67"/>
      <c r="D682" s="17"/>
      <c r="E682" s="67"/>
      <c r="F682" s="14"/>
      <c r="G682" s="67"/>
      <c r="H682" s="14"/>
      <c r="I682" s="67"/>
      <c r="J682" s="14"/>
      <c r="K682" s="67"/>
      <c r="L682" s="14"/>
      <c r="M682" s="67"/>
      <c r="N682" s="23"/>
      <c r="O682" s="78"/>
      <c r="P682" s="51"/>
    </row>
    <row r="683" spans="1:16" ht="11.25" customHeight="1" x14ac:dyDescent="0.2">
      <c r="B683" s="15"/>
      <c r="C683" s="68"/>
      <c r="D683" s="15"/>
      <c r="E683" s="68"/>
      <c r="F683" s="15"/>
      <c r="G683" s="68"/>
      <c r="H683" s="15"/>
      <c r="I683" s="68"/>
      <c r="J683" s="15"/>
      <c r="K683" s="68"/>
      <c r="L683" s="15"/>
      <c r="M683" s="68"/>
      <c r="N683" s="24"/>
      <c r="O683" s="79"/>
      <c r="P683" s="51"/>
    </row>
    <row r="684" spans="1:16" ht="11.25" customHeight="1" x14ac:dyDescent="0.2">
      <c r="B684" s="15"/>
      <c r="C684" s="68"/>
      <c r="D684" s="15"/>
      <c r="E684" s="68"/>
      <c r="F684" s="15"/>
      <c r="G684" s="68"/>
      <c r="H684" s="15"/>
      <c r="I684" s="68"/>
      <c r="J684" s="15"/>
      <c r="K684" s="68"/>
      <c r="L684" s="15"/>
      <c r="M684" s="68"/>
      <c r="N684" s="24"/>
      <c r="O684" s="79"/>
      <c r="P684" s="51"/>
    </row>
    <row r="685" spans="1:16" ht="11.25" customHeight="1" x14ac:dyDescent="0.2">
      <c r="B685" s="15"/>
      <c r="C685" s="68"/>
      <c r="D685" s="15"/>
      <c r="E685" s="68"/>
      <c r="F685" s="15"/>
      <c r="G685" s="68"/>
      <c r="H685" s="15"/>
      <c r="I685" s="68"/>
      <c r="J685" s="15"/>
      <c r="K685" s="68"/>
      <c r="L685" s="15"/>
      <c r="M685" s="68"/>
      <c r="N685" s="24"/>
      <c r="O685" s="79"/>
      <c r="P685" s="51"/>
    </row>
    <row r="686" spans="1:16" ht="11.25" customHeight="1" x14ac:dyDescent="0.2">
      <c r="B686" s="16"/>
      <c r="C686" s="69"/>
      <c r="D686" s="16"/>
      <c r="E686" s="69"/>
      <c r="F686" s="16"/>
      <c r="G686" s="69"/>
      <c r="H686" s="16"/>
      <c r="I686" s="69"/>
      <c r="J686" s="16"/>
      <c r="K686" s="69"/>
      <c r="L686" s="16"/>
      <c r="M686" s="69"/>
      <c r="N686" s="25"/>
      <c r="O686" s="80"/>
      <c r="P686" s="51"/>
    </row>
    <row r="687" spans="1:16" ht="11.25" customHeight="1" x14ac:dyDescent="0.2">
      <c r="A687" s="43" t="s">
        <v>338</v>
      </c>
      <c r="B687" s="53" t="s">
        <v>346</v>
      </c>
      <c r="C687" s="70">
        <f>SUM(C682:C686)</f>
        <v>0</v>
      </c>
      <c r="D687" s="77"/>
      <c r="E687" s="70">
        <f>SUM(E682:E686)</f>
        <v>0</v>
      </c>
      <c r="F687" s="77"/>
      <c r="G687" s="70">
        <f>SUM(G682:G686)</f>
        <v>0</v>
      </c>
      <c r="H687" s="77"/>
      <c r="I687" s="70">
        <f>SUM(I682:I686)</f>
        <v>0</v>
      </c>
      <c r="J687" s="77"/>
      <c r="K687" s="70">
        <f>SUM(K682:K686)</f>
        <v>0</v>
      </c>
      <c r="L687" s="77"/>
      <c r="M687" s="70">
        <f>SUM(M682:M686)</f>
        <v>0</v>
      </c>
      <c r="N687" s="77"/>
      <c r="O687" s="74">
        <f>SUM(O682:O686)</f>
        <v>0</v>
      </c>
      <c r="P687" s="75">
        <f ca="1">SUMIF(B680:N680,"&gt;="&amp;15,C687:O687)</f>
        <v>0</v>
      </c>
    </row>
    <row r="688" spans="1:16" s="45" customFormat="1" x14ac:dyDescent="0.2">
      <c r="A688" s="46"/>
      <c r="C688" s="6"/>
      <c r="D688" s="6"/>
      <c r="E688" s="6"/>
      <c r="F688" s="6"/>
      <c r="G688" s="6"/>
      <c r="H688" s="6"/>
      <c r="I688" s="6"/>
      <c r="J688" s="6"/>
      <c r="K688" s="6"/>
      <c r="L688" s="6"/>
      <c r="M688" s="6"/>
      <c r="N688" s="6"/>
      <c r="O688" s="6"/>
    </row>
    <row r="689" spans="1:16" ht="15" customHeight="1" x14ac:dyDescent="0.2">
      <c r="A689" s="43" t="s">
        <v>339</v>
      </c>
      <c r="B689" s="9">
        <f ca="1">DAY(IF(DAY(DecSun1)=1,DecSun1+29,DecSun1+36))</f>
        <v>5</v>
      </c>
      <c r="C689" s="8"/>
      <c r="D689" s="9">
        <f ca="1">DAY(IF(DAY(DecSun1)=1,DecSun1+30,DecSun1+37))</f>
        <v>6</v>
      </c>
      <c r="E689" s="10"/>
      <c r="F689" s="7">
        <f ca="1">DAY(IF(DAY(DecSun1)=1,DecSun1+31,DecSun1+38))</f>
        <v>7</v>
      </c>
      <c r="G689" s="10"/>
      <c r="H689" s="9">
        <f ca="1">DAY(IF(DAY(DecSun1)=1,DecSun1+32,DecSun1+39))</f>
        <v>8</v>
      </c>
      <c r="I689" s="10"/>
      <c r="J689" s="9">
        <f ca="1">DAY(IF(DAY(DecSun1)=1,DecSun1+33,DecSun1+40))</f>
        <v>9</v>
      </c>
      <c r="K689" s="10"/>
      <c r="L689" s="9">
        <f ca="1">DAY(IF(DAY(DecSun1)=1,DecSun1+34,DecSun1+41))</f>
        <v>10</v>
      </c>
      <c r="M689" s="10"/>
      <c r="N689" s="9">
        <f ca="1">DAY(IF(DAY(DecSun1)=1,DecSun1+35,DecSun1+42))</f>
        <v>11</v>
      </c>
      <c r="O689" s="10"/>
      <c r="P689" s="27"/>
    </row>
    <row r="690" spans="1:16" ht="11.25" customHeight="1" x14ac:dyDescent="0.2">
      <c r="A690" s="43" t="s">
        <v>340</v>
      </c>
      <c r="B690" s="35" t="s">
        <v>345</v>
      </c>
      <c r="C690" s="37" t="s">
        <v>359</v>
      </c>
      <c r="D690" s="35" t="s">
        <v>345</v>
      </c>
      <c r="E690" s="37" t="s">
        <v>359</v>
      </c>
      <c r="F690" s="35" t="s">
        <v>345</v>
      </c>
      <c r="G690" s="37" t="s">
        <v>359</v>
      </c>
      <c r="H690" s="35" t="s">
        <v>345</v>
      </c>
      <c r="I690" s="37" t="s">
        <v>359</v>
      </c>
      <c r="J690" s="35" t="s">
        <v>345</v>
      </c>
      <c r="K690" s="37" t="s">
        <v>359</v>
      </c>
      <c r="L690" s="35" t="s">
        <v>345</v>
      </c>
      <c r="M690" s="37" t="s">
        <v>359</v>
      </c>
      <c r="N690" s="35" t="s">
        <v>345</v>
      </c>
      <c r="O690" s="38" t="s">
        <v>359</v>
      </c>
      <c r="P690" s="51"/>
    </row>
    <row r="691" spans="1:16" ht="11.25" customHeight="1" x14ac:dyDescent="0.2">
      <c r="A691" s="43" t="s">
        <v>341</v>
      </c>
      <c r="B691" s="14"/>
      <c r="C691" s="67"/>
      <c r="D691" s="17"/>
      <c r="E691" s="67"/>
      <c r="F691" s="14"/>
      <c r="G691" s="67"/>
      <c r="H691" s="14"/>
      <c r="I691" s="67"/>
      <c r="J691" s="14"/>
      <c r="K691" s="67"/>
      <c r="L691" s="14"/>
      <c r="M691" s="67"/>
      <c r="N691" s="14"/>
      <c r="O691" s="71"/>
      <c r="P691" s="51"/>
    </row>
    <row r="692" spans="1:16" ht="11.25" customHeight="1" x14ac:dyDescent="0.2">
      <c r="B692" s="15"/>
      <c r="C692" s="68"/>
      <c r="D692" s="15"/>
      <c r="E692" s="68"/>
      <c r="F692" s="15"/>
      <c r="G692" s="68"/>
      <c r="H692" s="15"/>
      <c r="I692" s="68"/>
      <c r="J692" s="15"/>
      <c r="K692" s="68"/>
      <c r="L692" s="15"/>
      <c r="M692" s="68"/>
      <c r="N692" s="15"/>
      <c r="O692" s="72"/>
      <c r="P692" s="51"/>
    </row>
    <row r="693" spans="1:16" ht="11.25" customHeight="1" x14ac:dyDescent="0.2">
      <c r="B693" s="15"/>
      <c r="C693" s="68"/>
      <c r="D693" s="15"/>
      <c r="E693" s="68"/>
      <c r="F693" s="15"/>
      <c r="G693" s="68"/>
      <c r="H693" s="15"/>
      <c r="I693" s="68"/>
      <c r="J693" s="15"/>
      <c r="K693" s="68"/>
      <c r="L693" s="15"/>
      <c r="M693" s="68"/>
      <c r="N693" s="15"/>
      <c r="O693" s="72"/>
      <c r="P693" s="51"/>
    </row>
    <row r="694" spans="1:16" ht="11.25" customHeight="1" x14ac:dyDescent="0.2">
      <c r="B694" s="15"/>
      <c r="C694" s="68"/>
      <c r="D694" s="15"/>
      <c r="E694" s="68"/>
      <c r="F694" s="15"/>
      <c r="G694" s="68"/>
      <c r="H694" s="15"/>
      <c r="I694" s="68"/>
      <c r="J694" s="15"/>
      <c r="K694" s="68"/>
      <c r="L694" s="15"/>
      <c r="M694" s="68"/>
      <c r="N694" s="15"/>
      <c r="O694" s="72"/>
      <c r="P694" s="51"/>
    </row>
    <row r="695" spans="1:16" ht="11.25" customHeight="1" x14ac:dyDescent="0.2">
      <c r="B695" s="16"/>
      <c r="C695" s="69"/>
      <c r="D695" s="16"/>
      <c r="E695" s="69"/>
      <c r="F695" s="16"/>
      <c r="G695" s="69"/>
      <c r="H695" s="16"/>
      <c r="I695" s="69"/>
      <c r="J695" s="16"/>
      <c r="K695" s="69"/>
      <c r="L695" s="16"/>
      <c r="M695" s="69"/>
      <c r="N695" s="16"/>
      <c r="O695" s="73"/>
      <c r="P695" s="51"/>
    </row>
    <row r="696" spans="1:16" ht="11.25" customHeight="1" x14ac:dyDescent="0.2">
      <c r="A696" s="43" t="s">
        <v>342</v>
      </c>
      <c r="B696" s="53" t="s">
        <v>346</v>
      </c>
      <c r="C696" s="70">
        <f>SUM(C691:C695)</f>
        <v>0</v>
      </c>
      <c r="D696" s="77"/>
      <c r="E696" s="70">
        <f>SUM(E691:E695)</f>
        <v>0</v>
      </c>
      <c r="F696" s="77"/>
      <c r="G696" s="70">
        <f>SUM(G691:G695)</f>
        <v>0</v>
      </c>
      <c r="H696" s="77"/>
      <c r="I696" s="70">
        <f>SUM(I691:I695)</f>
        <v>0</v>
      </c>
      <c r="J696" s="77"/>
      <c r="K696" s="70">
        <f>SUM(K691:K695)</f>
        <v>0</v>
      </c>
      <c r="L696" s="77"/>
      <c r="M696" s="70">
        <f>SUM(M691:M695)</f>
        <v>0</v>
      </c>
      <c r="N696" s="77"/>
      <c r="O696" s="74">
        <f>SUM(O691:O695)</f>
        <v>0</v>
      </c>
      <c r="P696" s="75">
        <f ca="1">SUMIF(B689:N689,"&gt;="&amp;15,C696:O696)</f>
        <v>0</v>
      </c>
    </row>
    <row r="697" spans="1:16" s="45" customFormat="1" x14ac:dyDescent="0.2">
      <c r="A697" s="46"/>
      <c r="B697" s="49"/>
      <c r="C697" s="50"/>
      <c r="D697" s="49"/>
      <c r="E697" s="50"/>
      <c r="F697" s="49"/>
      <c r="G697" s="50"/>
      <c r="H697" s="49"/>
      <c r="I697" s="50"/>
      <c r="J697" s="49"/>
      <c r="K697" s="50"/>
      <c r="L697" s="49"/>
      <c r="M697" s="50"/>
      <c r="N697" s="49"/>
      <c r="O697" s="50"/>
      <c r="P697" s="49"/>
    </row>
  </sheetData>
  <mergeCells count="229">
    <mergeCell ref="G2:H3"/>
    <mergeCell ref="L642:M642"/>
    <mergeCell ref="N642:O642"/>
    <mergeCell ref="B643:C643"/>
    <mergeCell ref="D643:E643"/>
    <mergeCell ref="F643:G643"/>
    <mergeCell ref="H643:I643"/>
    <mergeCell ref="J643:K643"/>
    <mergeCell ref="L643:M643"/>
    <mergeCell ref="N643:O643"/>
    <mergeCell ref="B642:C642"/>
    <mergeCell ref="D642:E642"/>
    <mergeCell ref="F642:G642"/>
    <mergeCell ref="H642:I642"/>
    <mergeCell ref="J642:K642"/>
    <mergeCell ref="B640:E641"/>
    <mergeCell ref="L640:M640"/>
    <mergeCell ref="N640:O640"/>
    <mergeCell ref="L641:M641"/>
    <mergeCell ref="N641:O641"/>
    <mergeCell ref="L584:M584"/>
    <mergeCell ref="N584:O584"/>
    <mergeCell ref="B585:C585"/>
    <mergeCell ref="D585:E585"/>
    <mergeCell ref="F585:G585"/>
    <mergeCell ref="H585:I585"/>
    <mergeCell ref="J585:K585"/>
    <mergeCell ref="L585:M585"/>
    <mergeCell ref="N585:O585"/>
    <mergeCell ref="B584:C584"/>
    <mergeCell ref="D584:E584"/>
    <mergeCell ref="F584:G584"/>
    <mergeCell ref="H584:I584"/>
    <mergeCell ref="J584:K584"/>
    <mergeCell ref="B582:E583"/>
    <mergeCell ref="L582:M582"/>
    <mergeCell ref="N582:O582"/>
    <mergeCell ref="L583:M583"/>
    <mergeCell ref="N583:O583"/>
    <mergeCell ref="L526:M526"/>
    <mergeCell ref="N526:O526"/>
    <mergeCell ref="B527:C527"/>
    <mergeCell ref="D527:E527"/>
    <mergeCell ref="F527:G527"/>
    <mergeCell ref="H527:I527"/>
    <mergeCell ref="J527:K527"/>
    <mergeCell ref="L527:M527"/>
    <mergeCell ref="N527:O527"/>
    <mergeCell ref="B526:C526"/>
    <mergeCell ref="D526:E526"/>
    <mergeCell ref="F526:G526"/>
    <mergeCell ref="H526:I526"/>
    <mergeCell ref="J526:K526"/>
    <mergeCell ref="B524:E525"/>
    <mergeCell ref="L524:M524"/>
    <mergeCell ref="N524:O524"/>
    <mergeCell ref="L525:M525"/>
    <mergeCell ref="N525:O525"/>
    <mergeCell ref="L468:M468"/>
    <mergeCell ref="N468:O468"/>
    <mergeCell ref="B469:C469"/>
    <mergeCell ref="D469:E469"/>
    <mergeCell ref="F469:G469"/>
    <mergeCell ref="H469:I469"/>
    <mergeCell ref="J469:K469"/>
    <mergeCell ref="L469:M469"/>
    <mergeCell ref="N469:O469"/>
    <mergeCell ref="B468:C468"/>
    <mergeCell ref="D468:E468"/>
    <mergeCell ref="F468:G468"/>
    <mergeCell ref="H468:I468"/>
    <mergeCell ref="J468:K468"/>
    <mergeCell ref="B466:E467"/>
    <mergeCell ref="L466:M466"/>
    <mergeCell ref="N466:O466"/>
    <mergeCell ref="L467:M467"/>
    <mergeCell ref="N467:O467"/>
    <mergeCell ref="L410:M410"/>
    <mergeCell ref="N410:O410"/>
    <mergeCell ref="B411:C411"/>
    <mergeCell ref="D411:E411"/>
    <mergeCell ref="F411:G411"/>
    <mergeCell ref="H411:I411"/>
    <mergeCell ref="J411:K411"/>
    <mergeCell ref="L411:M411"/>
    <mergeCell ref="N411:O411"/>
    <mergeCell ref="B410:C410"/>
    <mergeCell ref="D410:E410"/>
    <mergeCell ref="F410:G410"/>
    <mergeCell ref="H410:I410"/>
    <mergeCell ref="J410:K410"/>
    <mergeCell ref="B408:E409"/>
    <mergeCell ref="L408:M408"/>
    <mergeCell ref="N408:O408"/>
    <mergeCell ref="L409:M409"/>
    <mergeCell ref="N409:O409"/>
    <mergeCell ref="L352:M352"/>
    <mergeCell ref="N352:O352"/>
    <mergeCell ref="B353:C353"/>
    <mergeCell ref="D353:E353"/>
    <mergeCell ref="F353:G353"/>
    <mergeCell ref="H353:I353"/>
    <mergeCell ref="J353:K353"/>
    <mergeCell ref="L353:M353"/>
    <mergeCell ref="N353:O353"/>
    <mergeCell ref="B352:C352"/>
    <mergeCell ref="D352:E352"/>
    <mergeCell ref="F352:G352"/>
    <mergeCell ref="H352:I352"/>
    <mergeCell ref="J352:K352"/>
    <mergeCell ref="B350:E351"/>
    <mergeCell ref="L350:M350"/>
    <mergeCell ref="N350:O350"/>
    <mergeCell ref="L351:M351"/>
    <mergeCell ref="N351:O351"/>
    <mergeCell ref="L294:M294"/>
    <mergeCell ref="N294:O294"/>
    <mergeCell ref="B295:C295"/>
    <mergeCell ref="D295:E295"/>
    <mergeCell ref="F295:G295"/>
    <mergeCell ref="H295:I295"/>
    <mergeCell ref="J295:K295"/>
    <mergeCell ref="L295:M295"/>
    <mergeCell ref="N295:O295"/>
    <mergeCell ref="B294:C294"/>
    <mergeCell ref="D294:E294"/>
    <mergeCell ref="F294:G294"/>
    <mergeCell ref="H294:I294"/>
    <mergeCell ref="J294:K294"/>
    <mergeCell ref="B292:E293"/>
    <mergeCell ref="L292:M292"/>
    <mergeCell ref="N292:O292"/>
    <mergeCell ref="L293:M293"/>
    <mergeCell ref="N293:O293"/>
    <mergeCell ref="L236:M236"/>
    <mergeCell ref="N236:O236"/>
    <mergeCell ref="B237:C237"/>
    <mergeCell ref="D237:E237"/>
    <mergeCell ref="F237:G237"/>
    <mergeCell ref="H237:I237"/>
    <mergeCell ref="J237:K237"/>
    <mergeCell ref="L237:M237"/>
    <mergeCell ref="N237:O237"/>
    <mergeCell ref="B236:C236"/>
    <mergeCell ref="D236:E236"/>
    <mergeCell ref="F236:G236"/>
    <mergeCell ref="H236:I236"/>
    <mergeCell ref="J236:K236"/>
    <mergeCell ref="B234:E235"/>
    <mergeCell ref="L234:M234"/>
    <mergeCell ref="N234:O234"/>
    <mergeCell ref="L235:M235"/>
    <mergeCell ref="N235:O235"/>
    <mergeCell ref="L178:M178"/>
    <mergeCell ref="N178:O178"/>
    <mergeCell ref="B179:C179"/>
    <mergeCell ref="D179:E179"/>
    <mergeCell ref="F179:G179"/>
    <mergeCell ref="H179:I179"/>
    <mergeCell ref="J179:K179"/>
    <mergeCell ref="L179:M179"/>
    <mergeCell ref="N179:O179"/>
    <mergeCell ref="B178:C178"/>
    <mergeCell ref="D178:E178"/>
    <mergeCell ref="F178:G178"/>
    <mergeCell ref="H178:I178"/>
    <mergeCell ref="J178:K178"/>
    <mergeCell ref="B176:E177"/>
    <mergeCell ref="L176:M176"/>
    <mergeCell ref="N176:O176"/>
    <mergeCell ref="L177:M177"/>
    <mergeCell ref="N177:O177"/>
    <mergeCell ref="L120:M120"/>
    <mergeCell ref="N120:O120"/>
    <mergeCell ref="B121:C121"/>
    <mergeCell ref="D121:E121"/>
    <mergeCell ref="F121:G121"/>
    <mergeCell ref="H121:I121"/>
    <mergeCell ref="J121:K121"/>
    <mergeCell ref="L121:M121"/>
    <mergeCell ref="N121:O121"/>
    <mergeCell ref="B120:C120"/>
    <mergeCell ref="D120:E120"/>
    <mergeCell ref="F120:G120"/>
    <mergeCell ref="H120:I120"/>
    <mergeCell ref="J120:K120"/>
    <mergeCell ref="B118:E119"/>
    <mergeCell ref="L118:M118"/>
    <mergeCell ref="N118:O118"/>
    <mergeCell ref="L119:M119"/>
    <mergeCell ref="N119:O119"/>
    <mergeCell ref="L62:M62"/>
    <mergeCell ref="N62:O62"/>
    <mergeCell ref="B63:C63"/>
    <mergeCell ref="D63:E63"/>
    <mergeCell ref="F63:G63"/>
    <mergeCell ref="H63:I63"/>
    <mergeCell ref="J63:K63"/>
    <mergeCell ref="L63:M63"/>
    <mergeCell ref="N63:O63"/>
    <mergeCell ref="B62:C62"/>
    <mergeCell ref="D62:E62"/>
    <mergeCell ref="F62:G62"/>
    <mergeCell ref="H62:I62"/>
    <mergeCell ref="J62:K62"/>
    <mergeCell ref="L2:M2"/>
    <mergeCell ref="N2:O2"/>
    <mergeCell ref="L3:M3"/>
    <mergeCell ref="N3:O3"/>
    <mergeCell ref="B2:E3"/>
    <mergeCell ref="B60:E61"/>
    <mergeCell ref="L60:M60"/>
    <mergeCell ref="N60:O60"/>
    <mergeCell ref="L61:M61"/>
    <mergeCell ref="N61:O61"/>
    <mergeCell ref="L4:M4"/>
    <mergeCell ref="N4:O4"/>
    <mergeCell ref="B5:C5"/>
    <mergeCell ref="D5:E5"/>
    <mergeCell ref="F5:G5"/>
    <mergeCell ref="H5:I5"/>
    <mergeCell ref="J5:K5"/>
    <mergeCell ref="L5:M5"/>
    <mergeCell ref="N5:O5"/>
    <mergeCell ref="B4:C4"/>
    <mergeCell ref="D4:E4"/>
    <mergeCell ref="F4:G4"/>
    <mergeCell ref="H4:I4"/>
    <mergeCell ref="J4:K4"/>
  </mergeCells>
  <phoneticPr fontId="34" type="noConversion"/>
  <conditionalFormatting sqref="B13 D13 F13 H13 J13 L13 N13">
    <cfRule type="expression" dxfId="582" priority="3384">
      <formula>B6&gt;15</formula>
    </cfRule>
  </conditionalFormatting>
  <conditionalFormatting sqref="B8 D8 F8 L8 N8">
    <cfRule type="expression" dxfId="581" priority="571">
      <formula>B6&gt;15</formula>
    </cfRule>
  </conditionalFormatting>
  <conditionalFormatting sqref="B6:O6">
    <cfRule type="expression" dxfId="580" priority="568">
      <formula>B6&gt;15</formula>
    </cfRule>
  </conditionalFormatting>
  <conditionalFormatting sqref="C8 E8 G8 M8 O8">
    <cfRule type="expression" dxfId="579" priority="572">
      <formula>B6&gt;15</formula>
    </cfRule>
  </conditionalFormatting>
  <conditionalFormatting sqref="C13 E13 G13 I13 K13 M13 O13">
    <cfRule type="expression" dxfId="578" priority="3385">
      <formula>B6&gt;15</formula>
    </cfRule>
  </conditionalFormatting>
  <conditionalFormatting sqref="P13">
    <cfRule type="expression" dxfId="577" priority="3387">
      <formula>N6&gt;15</formula>
    </cfRule>
  </conditionalFormatting>
  <conditionalFormatting sqref="B9 D9 F9 H9 L9 N9">
    <cfRule type="expression" dxfId="576" priority="574">
      <formula>B6&gt;15</formula>
    </cfRule>
  </conditionalFormatting>
  <conditionalFormatting sqref="C9 E9 G9 I9 M9 O9">
    <cfRule type="expression" dxfId="575" priority="575">
      <formula>B6&gt;15</formula>
    </cfRule>
  </conditionalFormatting>
  <conditionalFormatting sqref="B10 D10 F10 H10 J10 L10 N10">
    <cfRule type="expression" dxfId="574" priority="576">
      <formula>B6&gt;15</formula>
    </cfRule>
  </conditionalFormatting>
  <conditionalFormatting sqref="C10 E10 G10 I10 K10 M10 O10">
    <cfRule type="expression" dxfId="573" priority="577">
      <formula>B6&gt;15</formula>
    </cfRule>
  </conditionalFormatting>
  <conditionalFormatting sqref="B11 D11 F11 H11 J11 L11 N11">
    <cfRule type="expression" dxfId="572" priority="578">
      <formula>B6&gt;15</formula>
    </cfRule>
  </conditionalFormatting>
  <conditionalFormatting sqref="C11 E11 G11 I11 K11 M11 O11">
    <cfRule type="expression" dxfId="571" priority="579">
      <formula>B6&gt;15</formula>
    </cfRule>
  </conditionalFormatting>
  <conditionalFormatting sqref="B12 D12 F12 H12 J12 L12 N12">
    <cfRule type="expression" dxfId="570" priority="591">
      <formula>B6&gt;15</formula>
    </cfRule>
  </conditionalFormatting>
  <conditionalFormatting sqref="C12 E12 G12 I12 K12 M12 O12">
    <cfRule type="expression" dxfId="569" priority="592">
      <formula>B11&gt;15</formula>
    </cfRule>
  </conditionalFormatting>
  <conditionalFormatting sqref="B7 D7 F7 H7 J7 L7 N7">
    <cfRule type="expression" dxfId="568" priority="569">
      <formula>B6&gt;15</formula>
    </cfRule>
  </conditionalFormatting>
  <conditionalFormatting sqref="C7 E7 G7 I7 K7 M7 O7">
    <cfRule type="expression" dxfId="567" priority="570">
      <formula>B6&gt;15</formula>
    </cfRule>
  </conditionalFormatting>
  <conditionalFormatting sqref="B49 D49 F49 H49 J49 L49 N49">
    <cfRule type="expression" dxfId="566" priority="565">
      <formula>B42&lt;15</formula>
    </cfRule>
  </conditionalFormatting>
  <conditionalFormatting sqref="B44 D44 F44 H44 J44 L44 N44">
    <cfRule type="expression" dxfId="565" priority="555">
      <formula>B42&lt;15</formula>
    </cfRule>
  </conditionalFormatting>
  <conditionalFormatting sqref="B42:O42">
    <cfRule type="expression" dxfId="564" priority="552">
      <formula>B42&lt;15</formula>
    </cfRule>
  </conditionalFormatting>
  <conditionalFormatting sqref="C44 E44 G44 I44 K44 M44 O44">
    <cfRule type="expression" dxfId="563" priority="556">
      <formula>B42&lt;15</formula>
    </cfRule>
  </conditionalFormatting>
  <conditionalFormatting sqref="C49 E49 G49 I49 K49 M49 O49">
    <cfRule type="expression" dxfId="562" priority="566">
      <formula>B42&lt;15</formula>
    </cfRule>
  </conditionalFormatting>
  <conditionalFormatting sqref="P49">
    <cfRule type="expression" dxfId="561" priority="567">
      <formula>N42&lt;15</formula>
    </cfRule>
  </conditionalFormatting>
  <conditionalFormatting sqref="B45 D45 F45 H45 J45 L45 N45">
    <cfRule type="expression" dxfId="560" priority="557">
      <formula>B42&lt;15</formula>
    </cfRule>
  </conditionalFormatting>
  <conditionalFormatting sqref="C45 E45 G45 I45 K45 M45 O45">
    <cfRule type="expression" dxfId="559" priority="558">
      <formula>B42&lt;15</formula>
    </cfRule>
  </conditionalFormatting>
  <conditionalFormatting sqref="B46 D46 F46 H46 J46 L46 N46">
    <cfRule type="expression" dxfId="558" priority="559">
      <formula>B42&lt;15</formula>
    </cfRule>
  </conditionalFormatting>
  <conditionalFormatting sqref="C46 E46 G46 I46 K46 M46 O46">
    <cfRule type="expression" dxfId="557" priority="560">
      <formula>B42&lt;15</formula>
    </cfRule>
  </conditionalFormatting>
  <conditionalFormatting sqref="B47 D47 F47 H47 J47 L47 N47">
    <cfRule type="expression" dxfId="556" priority="561">
      <formula>B42&lt;15</formula>
    </cfRule>
  </conditionalFormatting>
  <conditionalFormatting sqref="C47 E47 G47 I47 K47 M47 O47">
    <cfRule type="expression" dxfId="555" priority="562">
      <formula>B42&lt;15</formula>
    </cfRule>
  </conditionalFormatting>
  <conditionalFormatting sqref="B48 D48 F48 H48 J48 L48 N48">
    <cfRule type="expression" dxfId="554" priority="563">
      <formula>B42&lt;15</formula>
    </cfRule>
  </conditionalFormatting>
  <conditionalFormatting sqref="C48 E48 G48 I48 K48 M48 O48">
    <cfRule type="expression" dxfId="553" priority="564">
      <formula>B47&lt;15</formula>
    </cfRule>
  </conditionalFormatting>
  <conditionalFormatting sqref="B43 D43 F43 H43 J43 L43 N43">
    <cfRule type="expression" dxfId="552" priority="553">
      <formula>B42&lt;15</formula>
    </cfRule>
  </conditionalFormatting>
  <conditionalFormatting sqref="C43 E43 G43 I43 K43 M43 O43">
    <cfRule type="expression" dxfId="551" priority="554">
      <formula>B42&lt;15</formula>
    </cfRule>
  </conditionalFormatting>
  <conditionalFormatting sqref="B58 D58 F58 H58 J58 L58 N58">
    <cfRule type="expression" dxfId="550" priority="549">
      <formula>B51&lt;15</formula>
    </cfRule>
  </conditionalFormatting>
  <conditionalFormatting sqref="B53 D53 F53 H53 J53 L53 N53">
    <cfRule type="expression" dxfId="549" priority="539">
      <formula>B51&lt;15</formula>
    </cfRule>
  </conditionalFormatting>
  <conditionalFormatting sqref="B51:O51">
    <cfRule type="expression" dxfId="548" priority="536">
      <formula>B51&lt;15</formula>
    </cfRule>
  </conditionalFormatting>
  <conditionalFormatting sqref="C53 E53 G53 I53 K53 M53 O53">
    <cfRule type="expression" dxfId="547" priority="540">
      <formula>B51&lt;15</formula>
    </cfRule>
  </conditionalFormatting>
  <conditionalFormatting sqref="C58 E58 G58 I58 K58 M58 O58">
    <cfRule type="expression" dxfId="546" priority="550">
      <formula>B51&lt;15</formula>
    </cfRule>
  </conditionalFormatting>
  <conditionalFormatting sqref="P58">
    <cfRule type="expression" dxfId="545" priority="551">
      <formula>N51&lt;15</formula>
    </cfRule>
  </conditionalFormatting>
  <conditionalFormatting sqref="B54 D54 F54 H54 J54 L54 N54">
    <cfRule type="expression" dxfId="544" priority="541">
      <formula>B51&lt;15</formula>
    </cfRule>
  </conditionalFormatting>
  <conditionalFormatting sqref="C54 E54 G54 I54 K54 M54 O54">
    <cfRule type="expression" dxfId="543" priority="542">
      <formula>B51&lt;15</formula>
    </cfRule>
  </conditionalFormatting>
  <conditionalFormatting sqref="B55 D55 F55 H55 J55 L55 N55">
    <cfRule type="expression" dxfId="542" priority="543">
      <formula>B51&lt;15</formula>
    </cfRule>
  </conditionalFormatting>
  <conditionalFormatting sqref="C55 E55 G55 I55 K55 M55 O55">
    <cfRule type="expression" dxfId="541" priority="544">
      <formula>B51&lt;15</formula>
    </cfRule>
  </conditionalFormatting>
  <conditionalFormatting sqref="B56 D56 F56 H56 J56 L56 N56">
    <cfRule type="expression" dxfId="540" priority="545">
      <formula>B51&lt;15</formula>
    </cfRule>
  </conditionalFormatting>
  <conditionalFormatting sqref="C56 E56 G56 I56 K56 M56 O56">
    <cfRule type="expression" dxfId="539" priority="546">
      <formula>B51&lt;15</formula>
    </cfRule>
  </conditionalFormatting>
  <conditionalFormatting sqref="B57 D57 F57 H57 J57 L57 N57">
    <cfRule type="expression" dxfId="538" priority="547">
      <formula>B51&lt;15</formula>
    </cfRule>
  </conditionalFormatting>
  <conditionalFormatting sqref="C57 E57 G57 I57 K57 M57 O57">
    <cfRule type="expression" dxfId="537" priority="548">
      <formula>B56&lt;15</formula>
    </cfRule>
  </conditionalFormatting>
  <conditionalFormatting sqref="B52 D52 F52 H52 J52 L52 N52">
    <cfRule type="expression" dxfId="536" priority="537">
      <formula>B51&lt;15</formula>
    </cfRule>
  </conditionalFormatting>
  <conditionalFormatting sqref="C52 E52 G52 I52 K52 M52 O52">
    <cfRule type="expression" dxfId="535" priority="538">
      <formula>B51&lt;15</formula>
    </cfRule>
  </conditionalFormatting>
  <conditionalFormatting sqref="B71 D71 F71 H71 J71 L71 N71">
    <cfRule type="expression" dxfId="534" priority="533">
      <formula>B64&gt;15</formula>
    </cfRule>
  </conditionalFormatting>
  <conditionalFormatting sqref="B66 D66 F66 H66 J66 L66 N66">
    <cfRule type="expression" dxfId="533" priority="523">
      <formula>B64&gt;15</formula>
    </cfRule>
  </conditionalFormatting>
  <conditionalFormatting sqref="B64:O64">
    <cfRule type="expression" dxfId="532" priority="520">
      <formula>B64&gt;15</formula>
    </cfRule>
  </conditionalFormatting>
  <conditionalFormatting sqref="C66 E66 G66 I66 K66 M66 O66">
    <cfRule type="expression" dxfId="531" priority="524">
      <formula>B64&gt;15</formula>
    </cfRule>
  </conditionalFormatting>
  <conditionalFormatting sqref="C71 E71 G71 I71 K71 M71 O71">
    <cfRule type="expression" dxfId="530" priority="534">
      <formula>B64&gt;15</formula>
    </cfRule>
  </conditionalFormatting>
  <conditionalFormatting sqref="P71">
    <cfRule type="expression" dxfId="529" priority="535">
      <formula>N64&gt;15</formula>
    </cfRule>
  </conditionalFormatting>
  <conditionalFormatting sqref="B67 D67 F67 H67 J67 L67 N67">
    <cfRule type="expression" dxfId="528" priority="525">
      <formula>B64&gt;15</formula>
    </cfRule>
  </conditionalFormatting>
  <conditionalFormatting sqref="C67 E67 G67 I67 K67 M67 O67">
    <cfRule type="expression" dxfId="527" priority="526">
      <formula>B64&gt;15</formula>
    </cfRule>
  </conditionalFormatting>
  <conditionalFormatting sqref="B68 D68 F68 H68 J68 L68 N68">
    <cfRule type="expression" dxfId="526" priority="527">
      <formula>B64&gt;15</formula>
    </cfRule>
  </conditionalFormatting>
  <conditionalFormatting sqref="C68 E68 G68 I68 K68 M68 O68">
    <cfRule type="expression" dxfId="525" priority="528">
      <formula>B64&gt;15</formula>
    </cfRule>
  </conditionalFormatting>
  <conditionalFormatting sqref="B69 D69 F69 H69 J69 L69 N69">
    <cfRule type="expression" dxfId="524" priority="529">
      <formula>B64&gt;15</formula>
    </cfRule>
  </conditionalFormatting>
  <conditionalFormatting sqref="C69 E69 G69 I69 K69 M69 O69">
    <cfRule type="expression" dxfId="523" priority="530">
      <formula>B64&gt;15</formula>
    </cfRule>
  </conditionalFormatting>
  <conditionalFormatting sqref="B70 D70 F70 H70 J70 L70 N70">
    <cfRule type="expression" dxfId="522" priority="531">
      <formula>B64&gt;15</formula>
    </cfRule>
  </conditionalFormatting>
  <conditionalFormatting sqref="C70 E70 G70 I70 K70 M70 O70">
    <cfRule type="expression" dxfId="521" priority="532">
      <formula>B69&gt;15</formula>
    </cfRule>
  </conditionalFormatting>
  <conditionalFormatting sqref="B65 D65 F65 H65 J65 L65 N65">
    <cfRule type="expression" dxfId="520" priority="521">
      <formula>B64&gt;15</formula>
    </cfRule>
  </conditionalFormatting>
  <conditionalFormatting sqref="C65 E65 G65 I65 K65 M65 O65">
    <cfRule type="expression" dxfId="519" priority="522">
      <formula>B64&gt;15</formula>
    </cfRule>
  </conditionalFormatting>
  <conditionalFormatting sqref="B107 D107 F107 H107 J107 L107 N107">
    <cfRule type="expression" dxfId="518" priority="517">
      <formula>B100&lt;15</formula>
    </cfRule>
  </conditionalFormatting>
  <conditionalFormatting sqref="B102 D102 F102 H102 J102 L102 N102">
    <cfRule type="expression" dxfId="517" priority="507">
      <formula>B100&lt;15</formula>
    </cfRule>
  </conditionalFormatting>
  <conditionalFormatting sqref="B100:O100">
    <cfRule type="expression" dxfId="516" priority="504">
      <formula>B100&lt;15</formula>
    </cfRule>
  </conditionalFormatting>
  <conditionalFormatting sqref="C102 E102 G102 I102 K102 M102 O102">
    <cfRule type="expression" dxfId="515" priority="508">
      <formula>B100&lt;15</formula>
    </cfRule>
  </conditionalFormatting>
  <conditionalFormatting sqref="C107 E107 G107 I107 K107 M107 O107">
    <cfRule type="expression" dxfId="514" priority="518">
      <formula>B100&lt;15</formula>
    </cfRule>
  </conditionalFormatting>
  <conditionalFormatting sqref="P107">
    <cfRule type="expression" dxfId="513" priority="519">
      <formula>N100&lt;15</formula>
    </cfRule>
  </conditionalFormatting>
  <conditionalFormatting sqref="B103 D103 F103 H103 J103 L103 N103">
    <cfRule type="expression" dxfId="512" priority="509">
      <formula>B100&lt;15</formula>
    </cfRule>
  </conditionalFormatting>
  <conditionalFormatting sqref="C103 E103 G103 I103 K103 M103 O103">
    <cfRule type="expression" dxfId="511" priority="510">
      <formula>B100&lt;15</formula>
    </cfRule>
  </conditionalFormatting>
  <conditionalFormatting sqref="B104 D104 F104 H104 J104 L104 N104">
    <cfRule type="expression" dxfId="510" priority="511">
      <formula>B100&lt;15</formula>
    </cfRule>
  </conditionalFormatting>
  <conditionalFormatting sqref="C104 E104 G104 I104 K104 M104 O104">
    <cfRule type="expression" dxfId="509" priority="512">
      <formula>B100&lt;15</formula>
    </cfRule>
  </conditionalFormatting>
  <conditionalFormatting sqref="B105 D105 F105 H105 J105 L105 N105">
    <cfRule type="expression" dxfId="508" priority="513">
      <formula>B100&lt;15</formula>
    </cfRule>
  </conditionalFormatting>
  <conditionalFormatting sqref="C105 E105 G105 I105 K105 M105 O105">
    <cfRule type="expression" dxfId="507" priority="514">
      <formula>B100&lt;15</formula>
    </cfRule>
  </conditionalFormatting>
  <conditionalFormatting sqref="B106 D106 F106 H106 J106 L106 N106">
    <cfRule type="expression" dxfId="506" priority="515">
      <formula>B100&lt;15</formula>
    </cfRule>
  </conditionalFormatting>
  <conditionalFormatting sqref="C106 E106 G106 I106 K106 M106 O106">
    <cfRule type="expression" dxfId="505" priority="516">
      <formula>B105&lt;15</formula>
    </cfRule>
  </conditionalFormatting>
  <conditionalFormatting sqref="B101 D101 F101 H101 J101 L101 N101">
    <cfRule type="expression" dxfId="504" priority="505">
      <formula>B100&lt;15</formula>
    </cfRule>
  </conditionalFormatting>
  <conditionalFormatting sqref="C101 E101 G101 I101 K101 M101 O101">
    <cfRule type="expression" dxfId="503" priority="506">
      <formula>B100&lt;15</formula>
    </cfRule>
  </conditionalFormatting>
  <conditionalFormatting sqref="B116 D116 F116 H116 J116 L116 N116">
    <cfRule type="expression" dxfId="502" priority="501">
      <formula>B109&lt;15</formula>
    </cfRule>
  </conditionalFormatting>
  <conditionalFormatting sqref="B111 D111 F111 H111 J111 L111 N111">
    <cfRule type="expression" dxfId="501" priority="491">
      <formula>B109&lt;15</formula>
    </cfRule>
  </conditionalFormatting>
  <conditionalFormatting sqref="B109:O109">
    <cfRule type="expression" dxfId="500" priority="488">
      <formula>B109&lt;15</formula>
    </cfRule>
  </conditionalFormatting>
  <conditionalFormatting sqref="C111 E111 G111 I111 K111 M111 O111">
    <cfRule type="expression" dxfId="499" priority="492">
      <formula>B109&lt;15</formula>
    </cfRule>
  </conditionalFormatting>
  <conditionalFormatting sqref="C116 E116 G116 I116 K116 M116 O116">
    <cfRule type="expression" dxfId="498" priority="502">
      <formula>B109&lt;15</formula>
    </cfRule>
  </conditionalFormatting>
  <conditionalFormatting sqref="P116">
    <cfRule type="expression" dxfId="497" priority="503">
      <formula>N109&lt;15</formula>
    </cfRule>
  </conditionalFormatting>
  <conditionalFormatting sqref="B112 D112 F112 H112 J112 L112 N112">
    <cfRule type="expression" dxfId="496" priority="493">
      <formula>B109&lt;15</formula>
    </cfRule>
  </conditionalFormatting>
  <conditionalFormatting sqref="C112 E112 G112 I112 K112 M112 O112">
    <cfRule type="expression" dxfId="495" priority="494">
      <formula>B109&lt;15</formula>
    </cfRule>
  </conditionalFormatting>
  <conditionalFormatting sqref="B113 D113 F113 H113 J113 L113 N113">
    <cfRule type="expression" dxfId="494" priority="495">
      <formula>B109&lt;15</formula>
    </cfRule>
  </conditionalFormatting>
  <conditionalFormatting sqref="C113 E113 G113 I113 K113 M113 O113">
    <cfRule type="expression" dxfId="493" priority="496">
      <formula>B109&lt;15</formula>
    </cfRule>
  </conditionalFormatting>
  <conditionalFormatting sqref="B114 D114 F114 H114 J114 L114 N114">
    <cfRule type="expression" dxfId="492" priority="497">
      <formula>B109&lt;15</formula>
    </cfRule>
  </conditionalFormatting>
  <conditionalFormatting sqref="C114 E114 G114 I114 K114 M114 O114">
    <cfRule type="expression" dxfId="491" priority="498">
      <formula>B109&lt;15</formula>
    </cfRule>
  </conditionalFormatting>
  <conditionalFormatting sqref="B115 D115 F115 H115 J115 L115 N115">
    <cfRule type="expression" dxfId="490" priority="499">
      <formula>B109&lt;15</formula>
    </cfRule>
  </conditionalFormatting>
  <conditionalFormatting sqref="C115 E115 G115 I115 K115 M115 O115">
    <cfRule type="expression" dxfId="489" priority="500">
      <formula>B114&lt;15</formula>
    </cfRule>
  </conditionalFormatting>
  <conditionalFormatting sqref="B110 D110 F110 H110 J110 L110 N110">
    <cfRule type="expression" dxfId="488" priority="489">
      <formula>B109&lt;15</formula>
    </cfRule>
  </conditionalFormatting>
  <conditionalFormatting sqref="C110 E110 G110 I110 K110 M110 O110">
    <cfRule type="expression" dxfId="487" priority="490">
      <formula>B109&lt;15</formula>
    </cfRule>
  </conditionalFormatting>
  <conditionalFormatting sqref="B129 D129 F129 H129 J129 L129 N129">
    <cfRule type="expression" dxfId="486" priority="485">
      <formula>B122&gt;15</formula>
    </cfRule>
  </conditionalFormatting>
  <conditionalFormatting sqref="B124 D124 F124 H124 J124 L124 N124">
    <cfRule type="expression" dxfId="485" priority="475">
      <formula>B122&gt;15</formula>
    </cfRule>
  </conditionalFormatting>
  <conditionalFormatting sqref="B122:O122">
    <cfRule type="expression" dxfId="484" priority="472">
      <formula>B122&gt;15</formula>
    </cfRule>
  </conditionalFormatting>
  <conditionalFormatting sqref="C124 E124 G124 I124 K124 M124 O124">
    <cfRule type="expression" dxfId="483" priority="476">
      <formula>B122&gt;15</formula>
    </cfRule>
  </conditionalFormatting>
  <conditionalFormatting sqref="C129 E129 G129 I129 K129 M129 O129">
    <cfRule type="expression" dxfId="482" priority="486">
      <formula>B122&gt;15</formula>
    </cfRule>
  </conditionalFormatting>
  <conditionalFormatting sqref="P129">
    <cfRule type="expression" dxfId="481" priority="487">
      <formula>N122&gt;15</formula>
    </cfRule>
  </conditionalFormatting>
  <conditionalFormatting sqref="B125 D125 F125 H125 J125 L125 N125">
    <cfRule type="expression" dxfId="480" priority="477">
      <formula>B122&gt;15</formula>
    </cfRule>
  </conditionalFormatting>
  <conditionalFormatting sqref="C125 E125 G125 I125 K125 M125 O125">
    <cfRule type="expression" dxfId="479" priority="478">
      <formula>B122&gt;15</formula>
    </cfRule>
  </conditionalFormatting>
  <conditionalFormatting sqref="B126 D126 F126 H126 J126 L126 N126">
    <cfRule type="expression" dxfId="478" priority="479">
      <formula>B122&gt;15</formula>
    </cfRule>
  </conditionalFormatting>
  <conditionalFormatting sqref="C126 E126 G126 I126 K126 M126 O126">
    <cfRule type="expression" dxfId="477" priority="480">
      <formula>B122&gt;15</formula>
    </cfRule>
  </conditionalFormatting>
  <conditionalFormatting sqref="B127 D127 F127 H127 J127 L127 N127">
    <cfRule type="expression" dxfId="476" priority="481">
      <formula>B122&gt;15</formula>
    </cfRule>
  </conditionalFormatting>
  <conditionalFormatting sqref="C127 E127 G127 I127 K127 M127 O127">
    <cfRule type="expression" dxfId="475" priority="482">
      <formula>B122&gt;15</formula>
    </cfRule>
  </conditionalFormatting>
  <conditionalFormatting sqref="B128 D128 F128 H128 J128 L128 N128">
    <cfRule type="expression" dxfId="474" priority="483">
      <formula>B122&gt;15</formula>
    </cfRule>
  </conditionalFormatting>
  <conditionalFormatting sqref="C128 E128 G128 I128 K128 M128 O128">
    <cfRule type="expression" dxfId="473" priority="484">
      <formula>B127&gt;15</formula>
    </cfRule>
  </conditionalFormatting>
  <conditionalFormatting sqref="B123 D123 F123 H123 J123 L123 N123">
    <cfRule type="expression" dxfId="472" priority="473">
      <formula>B122&gt;15</formula>
    </cfRule>
  </conditionalFormatting>
  <conditionalFormatting sqref="C123 E123 G123 I123 K123 M123 O123">
    <cfRule type="expression" dxfId="471" priority="474">
      <formula>B122&gt;15</formula>
    </cfRule>
  </conditionalFormatting>
  <conditionalFormatting sqref="B165 D165 F165 H165 J165 L165 N165">
    <cfRule type="expression" dxfId="470" priority="469">
      <formula>B158&lt;15</formula>
    </cfRule>
  </conditionalFormatting>
  <conditionalFormatting sqref="B160 D160 F160 H160 J160 L160 N160">
    <cfRule type="expression" dxfId="469" priority="459">
      <formula>B158&lt;15</formula>
    </cfRule>
  </conditionalFormatting>
  <conditionalFormatting sqref="B158:O158">
    <cfRule type="expression" dxfId="468" priority="456">
      <formula>B158&lt;15</formula>
    </cfRule>
  </conditionalFormatting>
  <conditionalFormatting sqref="C160 E160 G160 I160 K160 M160 O160">
    <cfRule type="expression" dxfId="467" priority="460">
      <formula>B158&lt;15</formula>
    </cfRule>
  </conditionalFormatting>
  <conditionalFormatting sqref="C165 E165 G165 I165 K165 M165 O165">
    <cfRule type="expression" dxfId="466" priority="470">
      <formula>B158&lt;15</formula>
    </cfRule>
  </conditionalFormatting>
  <conditionalFormatting sqref="P165">
    <cfRule type="expression" dxfId="465" priority="471">
      <formula>N158&lt;15</formula>
    </cfRule>
  </conditionalFormatting>
  <conditionalFormatting sqref="B161 D161 F161 H161 J161 L161 N161">
    <cfRule type="expression" dxfId="464" priority="461">
      <formula>B158&lt;15</formula>
    </cfRule>
  </conditionalFormatting>
  <conditionalFormatting sqref="C161 E161 G161 I161 K161 M161 O161">
    <cfRule type="expression" dxfId="463" priority="462">
      <formula>B158&lt;15</formula>
    </cfRule>
  </conditionalFormatting>
  <conditionalFormatting sqref="B162 D162 F162 H162 J162 L162 N162">
    <cfRule type="expression" dxfId="462" priority="463">
      <formula>B158&lt;15</formula>
    </cfRule>
  </conditionalFormatting>
  <conditionalFormatting sqref="C162 E162 G162 I162 K162 M162 O162">
    <cfRule type="expression" dxfId="461" priority="464">
      <formula>B158&lt;15</formula>
    </cfRule>
  </conditionalFormatting>
  <conditionalFormatting sqref="B163 D163 F163 H163 J163 L163 N163">
    <cfRule type="expression" dxfId="460" priority="465">
      <formula>B158&lt;15</formula>
    </cfRule>
  </conditionalFormatting>
  <conditionalFormatting sqref="C163 E163 G163 I163 K163 M163 O163">
    <cfRule type="expression" dxfId="459" priority="466">
      <formula>B158&lt;15</formula>
    </cfRule>
  </conditionalFormatting>
  <conditionalFormatting sqref="B164 D164 F164 H164 J164 L164 N164">
    <cfRule type="expression" dxfId="458" priority="467">
      <formula>B158&lt;15</formula>
    </cfRule>
  </conditionalFormatting>
  <conditionalFormatting sqref="C164 E164 G164 I164 K164 M164 O164">
    <cfRule type="expression" dxfId="457" priority="468">
      <formula>B163&lt;15</formula>
    </cfRule>
  </conditionalFormatting>
  <conditionalFormatting sqref="B159 D159 F159 H159 J159 L159 N159">
    <cfRule type="expression" dxfId="456" priority="457">
      <formula>B158&lt;15</formula>
    </cfRule>
  </conditionalFormatting>
  <conditionalFormatting sqref="C159 E159 G159 I159 K159 M159 O159">
    <cfRule type="expression" dxfId="455" priority="458">
      <formula>B158&lt;15</formula>
    </cfRule>
  </conditionalFormatting>
  <conditionalFormatting sqref="B174 D174 F174 H174 J174 L174 N174">
    <cfRule type="expression" dxfId="454" priority="453">
      <formula>B167&lt;15</formula>
    </cfRule>
  </conditionalFormatting>
  <conditionalFormatting sqref="B169 D169 F169 H169 J169 L169 N169">
    <cfRule type="expression" dxfId="453" priority="443">
      <formula>B167&lt;15</formula>
    </cfRule>
  </conditionalFormatting>
  <conditionalFormatting sqref="B167:O167">
    <cfRule type="expression" dxfId="452" priority="440">
      <formula>B167&lt;15</formula>
    </cfRule>
  </conditionalFormatting>
  <conditionalFormatting sqref="C169 E169 G169 I169 K169 M169 O169">
    <cfRule type="expression" dxfId="451" priority="444">
      <formula>B167&lt;15</formula>
    </cfRule>
  </conditionalFormatting>
  <conditionalFormatting sqref="C174 E174 G174 I174 K174 M174 O174">
    <cfRule type="expression" dxfId="450" priority="454">
      <formula>B167&lt;15</formula>
    </cfRule>
  </conditionalFormatting>
  <conditionalFormatting sqref="P174">
    <cfRule type="expression" dxfId="449" priority="455">
      <formula>N167&lt;15</formula>
    </cfRule>
  </conditionalFormatting>
  <conditionalFormatting sqref="B170 D170 F170 H170 J170 L170 N170">
    <cfRule type="expression" dxfId="448" priority="445">
      <formula>B167&lt;15</formula>
    </cfRule>
  </conditionalFormatting>
  <conditionalFormatting sqref="C170 E170 G170 I170 K170 M170 O170">
    <cfRule type="expression" dxfId="447" priority="446">
      <formula>B167&lt;15</formula>
    </cfRule>
  </conditionalFormatting>
  <conditionalFormatting sqref="B171 D171 F171 H171 J171 L171 N171">
    <cfRule type="expression" dxfId="446" priority="447">
      <formula>B167&lt;15</formula>
    </cfRule>
  </conditionalFormatting>
  <conditionalFormatting sqref="C171 E171 G171 I171 K171 M171 O171">
    <cfRule type="expression" dxfId="445" priority="448">
      <formula>B167&lt;15</formula>
    </cfRule>
  </conditionalFormatting>
  <conditionalFormatting sqref="B172 D172 F172 H172 J172 L172 N172">
    <cfRule type="expression" dxfId="444" priority="449">
      <formula>B167&lt;15</formula>
    </cfRule>
  </conditionalFormatting>
  <conditionalFormatting sqref="C172 E172 G172 I172 K172 M172 O172">
    <cfRule type="expression" dxfId="443" priority="450">
      <formula>B167&lt;15</formula>
    </cfRule>
  </conditionalFormatting>
  <conditionalFormatting sqref="B173 D173 F173 H173 J173 L173 N173">
    <cfRule type="expression" dxfId="442" priority="451">
      <formula>B167&lt;15</formula>
    </cfRule>
  </conditionalFormatting>
  <conditionalFormatting sqref="C173 E173 G173 I173 K173 M173 O173">
    <cfRule type="expression" dxfId="441" priority="452">
      <formula>B172&lt;15</formula>
    </cfRule>
  </conditionalFormatting>
  <conditionalFormatting sqref="B168 D168 F168 H168 J168 L168 N168">
    <cfRule type="expression" dxfId="440" priority="441">
      <formula>B167&lt;15</formula>
    </cfRule>
  </conditionalFormatting>
  <conditionalFormatting sqref="C168 E168 G168 I168 K168 M168 O168">
    <cfRule type="expression" dxfId="439" priority="442">
      <formula>B167&lt;15</formula>
    </cfRule>
  </conditionalFormatting>
  <conditionalFormatting sqref="B187 D187 F187 H187 J187 L187 N187">
    <cfRule type="expression" dxfId="438" priority="437">
      <formula>B180&gt;15</formula>
    </cfRule>
  </conditionalFormatting>
  <conditionalFormatting sqref="B182 D182 F182 H182 J182 L182 N182">
    <cfRule type="expression" dxfId="437" priority="427">
      <formula>B180&gt;15</formula>
    </cfRule>
  </conditionalFormatting>
  <conditionalFormatting sqref="B180:O180">
    <cfRule type="expression" dxfId="436" priority="424">
      <formula>B180&gt;15</formula>
    </cfRule>
  </conditionalFormatting>
  <conditionalFormatting sqref="C182 E182 G182 I182 K182 M182 O182">
    <cfRule type="expression" dxfId="435" priority="428">
      <formula>B180&gt;15</formula>
    </cfRule>
  </conditionalFormatting>
  <conditionalFormatting sqref="C187 E187 G187 I187 K187 M187 O187">
    <cfRule type="expression" dxfId="434" priority="438">
      <formula>B180&gt;15</formula>
    </cfRule>
  </conditionalFormatting>
  <conditionalFormatting sqref="P187">
    <cfRule type="expression" dxfId="433" priority="439">
      <formula>N180&gt;15</formula>
    </cfRule>
  </conditionalFormatting>
  <conditionalFormatting sqref="B183 D183 F183 H183 J183 L183 N183">
    <cfRule type="expression" dxfId="432" priority="429">
      <formula>B180&gt;15</formula>
    </cfRule>
  </conditionalFormatting>
  <conditionalFormatting sqref="C183 E183 G183 I183 K183 M183 O183">
    <cfRule type="expression" dxfId="431" priority="430">
      <formula>B180&gt;15</formula>
    </cfRule>
  </conditionalFormatting>
  <conditionalFormatting sqref="B184 D184 F184 H184 J184 L184 N184">
    <cfRule type="expression" dxfId="430" priority="431">
      <formula>B180&gt;15</formula>
    </cfRule>
  </conditionalFormatting>
  <conditionalFormatting sqref="C184 E184 G184 I184 K184 M184 O184">
    <cfRule type="expression" dxfId="429" priority="432">
      <formula>B180&gt;15</formula>
    </cfRule>
  </conditionalFormatting>
  <conditionalFormatting sqref="B185 D185 F185 H185 J185 L185 N185">
    <cfRule type="expression" dxfId="428" priority="433">
      <formula>B180&gt;15</formula>
    </cfRule>
  </conditionalFormatting>
  <conditionalFormatting sqref="C185 E185 G185 I185 K185 M185 O185">
    <cfRule type="expression" dxfId="427" priority="434">
      <formula>B180&gt;15</formula>
    </cfRule>
  </conditionalFormatting>
  <conditionalFormatting sqref="B186 D186 F186 H186 J186 L186 N186">
    <cfRule type="expression" dxfId="426" priority="435">
      <formula>B180&gt;15</formula>
    </cfRule>
  </conditionalFormatting>
  <conditionalFormatting sqref="C186 E186 G186 I186 K186 M186 O186">
    <cfRule type="expression" dxfId="425" priority="436">
      <formula>B185&gt;15</formula>
    </cfRule>
  </conditionalFormatting>
  <conditionalFormatting sqref="B181 D181 F181 H181 J181 L181 N181">
    <cfRule type="expression" dxfId="424" priority="425">
      <formula>B180&gt;15</formula>
    </cfRule>
  </conditionalFormatting>
  <conditionalFormatting sqref="C181 E181 G181 I181 K181 M181 O181">
    <cfRule type="expression" dxfId="423" priority="426">
      <formula>B180&gt;15</formula>
    </cfRule>
  </conditionalFormatting>
  <conditionalFormatting sqref="B223 D223 F223 H223 J223 L223 N223">
    <cfRule type="expression" dxfId="422" priority="421">
      <formula>B216&lt;15</formula>
    </cfRule>
  </conditionalFormatting>
  <conditionalFormatting sqref="B218 D218 F218 H218 J218 L218 N218">
    <cfRule type="expression" dxfId="421" priority="411">
      <formula>B216&lt;15</formula>
    </cfRule>
  </conditionalFormatting>
  <conditionalFormatting sqref="B216:O216">
    <cfRule type="expression" dxfId="420" priority="408">
      <formula>B216&lt;15</formula>
    </cfRule>
  </conditionalFormatting>
  <conditionalFormatting sqref="C218 E218 G218 I218 K218 M218 O218">
    <cfRule type="expression" dxfId="419" priority="412">
      <formula>B216&lt;15</formula>
    </cfRule>
  </conditionalFormatting>
  <conditionalFormatting sqref="C223 E223 G223 I223 K223 M223 O223">
    <cfRule type="expression" dxfId="418" priority="422">
      <formula>B216&lt;15</formula>
    </cfRule>
  </conditionalFormatting>
  <conditionalFormatting sqref="P223">
    <cfRule type="expression" dxfId="417" priority="423">
      <formula>N216&lt;15</formula>
    </cfRule>
  </conditionalFormatting>
  <conditionalFormatting sqref="B219 D219 F219 H219 J219 L219 N219">
    <cfRule type="expression" dxfId="416" priority="413">
      <formula>B216&lt;15</formula>
    </cfRule>
  </conditionalFormatting>
  <conditionalFormatting sqref="C219 E219 G219 I219 K219 M219 O219">
    <cfRule type="expression" dxfId="415" priority="414">
      <formula>B216&lt;15</formula>
    </cfRule>
  </conditionalFormatting>
  <conditionalFormatting sqref="B220 D220 F220 H220 J220 L220 N220">
    <cfRule type="expression" dxfId="414" priority="415">
      <formula>B216&lt;15</formula>
    </cfRule>
  </conditionalFormatting>
  <conditionalFormatting sqref="C220 E220 G220 I220 K220 M220 O220">
    <cfRule type="expression" dxfId="413" priority="416">
      <formula>B216&lt;15</formula>
    </cfRule>
  </conditionalFormatting>
  <conditionalFormatting sqref="B221 D221 F221 H221 J221 L221 N221">
    <cfRule type="expression" dxfId="412" priority="417">
      <formula>B216&lt;15</formula>
    </cfRule>
  </conditionalFormatting>
  <conditionalFormatting sqref="C221 E221 G221 I221 K221 M221 O221">
    <cfRule type="expression" dxfId="411" priority="418">
      <formula>B216&lt;15</formula>
    </cfRule>
  </conditionalFormatting>
  <conditionalFormatting sqref="B222 D222 F222 H222 J222 L222 N222">
    <cfRule type="expression" dxfId="410" priority="419">
      <formula>B216&lt;15</formula>
    </cfRule>
  </conditionalFormatting>
  <conditionalFormatting sqref="C222 E222 G222 I222 K222 M222 O222">
    <cfRule type="expression" dxfId="409" priority="420">
      <formula>B221&lt;15</formula>
    </cfRule>
  </conditionalFormatting>
  <conditionalFormatting sqref="B217 D217 F217 H217 J217 L217 N217">
    <cfRule type="expression" dxfId="408" priority="409">
      <formula>B216&lt;15</formula>
    </cfRule>
  </conditionalFormatting>
  <conditionalFormatting sqref="C217 E217 G217 I217 K217 M217 O217">
    <cfRule type="expression" dxfId="407" priority="410">
      <formula>B216&lt;15</formula>
    </cfRule>
  </conditionalFormatting>
  <conditionalFormatting sqref="B232 D232 F232 H232 J232 L232 N232">
    <cfRule type="expression" dxfId="406" priority="405">
      <formula>B225&lt;15</formula>
    </cfRule>
  </conditionalFormatting>
  <conditionalFormatting sqref="B227 D227 F227 H227 J227 L227 N227">
    <cfRule type="expression" dxfId="405" priority="395">
      <formula>B225&lt;15</formula>
    </cfRule>
  </conditionalFormatting>
  <conditionalFormatting sqref="B225:O225">
    <cfRule type="expression" dxfId="404" priority="392">
      <formula>B225&lt;15</formula>
    </cfRule>
  </conditionalFormatting>
  <conditionalFormatting sqref="C227 E227 G227 I227 K227 M227 O227">
    <cfRule type="expression" dxfId="403" priority="396">
      <formula>B225&lt;15</formula>
    </cfRule>
  </conditionalFormatting>
  <conditionalFormatting sqref="C232 E232 G232 I232 K232 M232 O232">
    <cfRule type="expression" dxfId="402" priority="406">
      <formula>B225&lt;15</formula>
    </cfRule>
  </conditionalFormatting>
  <conditionalFormatting sqref="P232">
    <cfRule type="expression" dxfId="401" priority="407">
      <formula>N225&lt;15</formula>
    </cfRule>
  </conditionalFormatting>
  <conditionalFormatting sqref="B228 D228 F228 H228 J228 L228 N228">
    <cfRule type="expression" dxfId="400" priority="397">
      <formula>B225&lt;15</formula>
    </cfRule>
  </conditionalFormatting>
  <conditionalFormatting sqref="C228 E228 G228 I228 K228 M228 O228">
    <cfRule type="expression" dxfId="399" priority="398">
      <formula>B225&lt;15</formula>
    </cfRule>
  </conditionalFormatting>
  <conditionalFormatting sqref="B229 D229 F229 H229 J229 L229 N229">
    <cfRule type="expression" dxfId="398" priority="399">
      <formula>B225&lt;15</formula>
    </cfRule>
  </conditionalFormatting>
  <conditionalFormatting sqref="C229 E229 G229 I229 K229 M229 O229">
    <cfRule type="expression" dxfId="397" priority="400">
      <formula>B225&lt;15</formula>
    </cfRule>
  </conditionalFormatting>
  <conditionalFormatting sqref="B230 D230 F230 H230 J230 L230 N230">
    <cfRule type="expression" dxfId="396" priority="401">
      <formula>B225&lt;15</formula>
    </cfRule>
  </conditionalFormatting>
  <conditionalFormatting sqref="C230 E230 G230 I230 K230 M230 O230">
    <cfRule type="expression" dxfId="395" priority="402">
      <formula>B225&lt;15</formula>
    </cfRule>
  </conditionalFormatting>
  <conditionalFormatting sqref="B231 D231 F231 H231 J231 L231 N231">
    <cfRule type="expression" dxfId="394" priority="403">
      <formula>B225&lt;15</formula>
    </cfRule>
  </conditionalFormatting>
  <conditionalFormatting sqref="C231 E231 G231 I231 K231 M231 O231">
    <cfRule type="expression" dxfId="393" priority="404">
      <formula>B230&lt;15</formula>
    </cfRule>
  </conditionalFormatting>
  <conditionalFormatting sqref="B226 D226 F226 H226 J226 L226 N226">
    <cfRule type="expression" dxfId="392" priority="393">
      <formula>B225&lt;15</formula>
    </cfRule>
  </conditionalFormatting>
  <conditionalFormatting sqref="C226 E226 G226 I226 K226 M226 O226">
    <cfRule type="expression" dxfId="391" priority="394">
      <formula>B225&lt;15</formula>
    </cfRule>
  </conditionalFormatting>
  <conditionalFormatting sqref="B245 D245 F245 H245 J245 L245 N245">
    <cfRule type="expression" dxfId="390" priority="389">
      <formula>B238&gt;15</formula>
    </cfRule>
  </conditionalFormatting>
  <conditionalFormatting sqref="B240 D240 F240 H240 J240 L240 N240">
    <cfRule type="expression" dxfId="389" priority="379">
      <formula>B238&gt;15</formula>
    </cfRule>
  </conditionalFormatting>
  <conditionalFormatting sqref="B238:O238">
    <cfRule type="expression" dxfId="388" priority="376">
      <formula>B238&gt;15</formula>
    </cfRule>
  </conditionalFormatting>
  <conditionalFormatting sqref="C240 E240 G240 I240 K240 M240 O240">
    <cfRule type="expression" dxfId="387" priority="380">
      <formula>B238&gt;15</formula>
    </cfRule>
  </conditionalFormatting>
  <conditionalFormatting sqref="C245 E245 G245 I245 K245 M245 O245">
    <cfRule type="expression" dxfId="386" priority="390">
      <formula>B238&gt;15</formula>
    </cfRule>
  </conditionalFormatting>
  <conditionalFormatting sqref="P245">
    <cfRule type="expression" dxfId="385" priority="391">
      <formula>N238&gt;15</formula>
    </cfRule>
  </conditionalFormatting>
  <conditionalFormatting sqref="B241 D241 F241 H241 J241 L241 N241">
    <cfRule type="expression" dxfId="384" priority="381">
      <formula>B238&gt;15</formula>
    </cfRule>
  </conditionalFormatting>
  <conditionalFormatting sqref="C241 E241 G241 I241 K241 M241 O241">
    <cfRule type="expression" dxfId="383" priority="382">
      <formula>B238&gt;15</formula>
    </cfRule>
  </conditionalFormatting>
  <conditionalFormatting sqref="B242 D242 F242 H242 J242 L242 N242">
    <cfRule type="expression" dxfId="382" priority="383">
      <formula>B238&gt;15</formula>
    </cfRule>
  </conditionalFormatting>
  <conditionalFormatting sqref="C242 E242 G242 I242 K242 M242 O242">
    <cfRule type="expression" dxfId="381" priority="384">
      <formula>B238&gt;15</formula>
    </cfRule>
  </conditionalFormatting>
  <conditionalFormatting sqref="B243 D243 F243 H243 J243 L243 N243">
    <cfRule type="expression" dxfId="380" priority="385">
      <formula>B238&gt;15</formula>
    </cfRule>
  </conditionalFormatting>
  <conditionalFormatting sqref="C243 E243 G243 I243 K243 M243 O243">
    <cfRule type="expression" dxfId="379" priority="386">
      <formula>B238&gt;15</formula>
    </cfRule>
  </conditionalFormatting>
  <conditionalFormatting sqref="B244 D244 F244 H244 J244 L244 N244">
    <cfRule type="expression" dxfId="378" priority="387">
      <formula>B238&gt;15</formula>
    </cfRule>
  </conditionalFormatting>
  <conditionalFormatting sqref="C244 E244 G244 I244 K244 M244 O244">
    <cfRule type="expression" dxfId="377" priority="388">
      <formula>B243&gt;15</formula>
    </cfRule>
  </conditionalFormatting>
  <conditionalFormatting sqref="B239 D239 F239 H239 J239 L239 N239">
    <cfRule type="expression" dxfId="376" priority="377">
      <formula>B238&gt;15</formula>
    </cfRule>
  </conditionalFormatting>
  <conditionalFormatting sqref="C239 E239 G239 I239 K239 M239 O239">
    <cfRule type="expression" dxfId="375" priority="378">
      <formula>B238&gt;15</formula>
    </cfRule>
  </conditionalFormatting>
  <conditionalFormatting sqref="B281 D281 F281 H281 J281 L281 N281">
    <cfRule type="expression" dxfId="374" priority="373">
      <formula>B274&lt;15</formula>
    </cfRule>
  </conditionalFormatting>
  <conditionalFormatting sqref="B276 D276 F276 H276 J276 L276 N276">
    <cfRule type="expression" dxfId="373" priority="363">
      <formula>B274&lt;15</formula>
    </cfRule>
  </conditionalFormatting>
  <conditionalFormatting sqref="B274:O274">
    <cfRule type="expression" dxfId="372" priority="360">
      <formula>B274&lt;15</formula>
    </cfRule>
  </conditionalFormatting>
  <conditionalFormatting sqref="C276 E276 G276 I276 K276 M276 O276">
    <cfRule type="expression" dxfId="371" priority="364">
      <formula>B274&lt;15</formula>
    </cfRule>
  </conditionalFormatting>
  <conditionalFormatting sqref="C281 E281 G281 I281 K281 M281 O281">
    <cfRule type="expression" dxfId="370" priority="374">
      <formula>B274&lt;15</formula>
    </cfRule>
  </conditionalFormatting>
  <conditionalFormatting sqref="P281">
    <cfRule type="expression" dxfId="369" priority="375">
      <formula>N274&lt;15</formula>
    </cfRule>
  </conditionalFormatting>
  <conditionalFormatting sqref="B277 D277 F277 H277 J277 L277 N277">
    <cfRule type="expression" dxfId="368" priority="365">
      <formula>B274&lt;15</formula>
    </cfRule>
  </conditionalFormatting>
  <conditionalFormatting sqref="C277 E277 G277 I277 K277 M277 O277">
    <cfRule type="expression" dxfId="367" priority="366">
      <formula>B274&lt;15</formula>
    </cfRule>
  </conditionalFormatting>
  <conditionalFormatting sqref="B278 D278 F278 H278 J278 L278 N278">
    <cfRule type="expression" dxfId="366" priority="367">
      <formula>B274&lt;15</formula>
    </cfRule>
  </conditionalFormatting>
  <conditionalFormatting sqref="C278 E278 G278 I278 K278 M278 O278">
    <cfRule type="expression" dxfId="365" priority="368">
      <formula>B274&lt;15</formula>
    </cfRule>
  </conditionalFormatting>
  <conditionalFormatting sqref="B279 D279 F279 H279 J279 L279 N279">
    <cfRule type="expression" dxfId="364" priority="369">
      <formula>B274&lt;15</formula>
    </cfRule>
  </conditionalFormatting>
  <conditionalFormatting sqref="C279 E279 G279 I279 K279 M279 O279">
    <cfRule type="expression" dxfId="363" priority="370">
      <formula>B274&lt;15</formula>
    </cfRule>
  </conditionalFormatting>
  <conditionalFormatting sqref="B280 D280 F280 H280 J280 L280 N280">
    <cfRule type="expression" dxfId="362" priority="371">
      <formula>B274&lt;15</formula>
    </cfRule>
  </conditionalFormatting>
  <conditionalFormatting sqref="C280 E280 G280 I280 K280 M280 O280">
    <cfRule type="expression" dxfId="361" priority="372">
      <formula>B279&lt;15</formula>
    </cfRule>
  </conditionalFormatting>
  <conditionalFormatting sqref="B275 D275 F275 H275 J275 L275 N275">
    <cfRule type="expression" dxfId="360" priority="361">
      <formula>B274&lt;15</formula>
    </cfRule>
  </conditionalFormatting>
  <conditionalFormatting sqref="C275 E275 G275 I275 K275 M275 O275">
    <cfRule type="expression" dxfId="359" priority="362">
      <formula>B274&lt;15</formula>
    </cfRule>
  </conditionalFormatting>
  <conditionalFormatting sqref="B290 D290 F290 H290 J290 L290 N290">
    <cfRule type="expression" dxfId="358" priority="357">
      <formula>B283&lt;15</formula>
    </cfRule>
  </conditionalFormatting>
  <conditionalFormatting sqref="B285 D285 F285 H285 J285 L285 N285">
    <cfRule type="expression" dxfId="357" priority="347">
      <formula>B283&lt;15</formula>
    </cfRule>
  </conditionalFormatting>
  <conditionalFormatting sqref="B283:O283">
    <cfRule type="expression" dxfId="356" priority="344">
      <formula>B283&lt;15</formula>
    </cfRule>
  </conditionalFormatting>
  <conditionalFormatting sqref="C285 E285 G285 I285 K285 M285 O285">
    <cfRule type="expression" dxfId="355" priority="348">
      <formula>B283&lt;15</formula>
    </cfRule>
  </conditionalFormatting>
  <conditionalFormatting sqref="C290 E290 G290 I290 K290 M290 O290">
    <cfRule type="expression" dxfId="354" priority="358">
      <formula>B283&lt;15</formula>
    </cfRule>
  </conditionalFormatting>
  <conditionalFormatting sqref="P290">
    <cfRule type="expression" dxfId="353" priority="359">
      <formula>N283&lt;15</formula>
    </cfRule>
  </conditionalFormatting>
  <conditionalFormatting sqref="B286 D286 F286 H286 J286 L286 N286">
    <cfRule type="expression" dxfId="352" priority="349">
      <formula>B283&lt;15</formula>
    </cfRule>
  </conditionalFormatting>
  <conditionalFormatting sqref="C286 E286 G286 I286 K286 M286 O286">
    <cfRule type="expression" dxfId="351" priority="350">
      <formula>B283&lt;15</formula>
    </cfRule>
  </conditionalFormatting>
  <conditionalFormatting sqref="B287 D287 F287 H287 J287 L287 N287">
    <cfRule type="expression" dxfId="350" priority="351">
      <formula>B283&lt;15</formula>
    </cfRule>
  </conditionalFormatting>
  <conditionalFormatting sqref="C287 E287 G287 I287 K287 M287 O287">
    <cfRule type="expression" dxfId="349" priority="352">
      <formula>B283&lt;15</formula>
    </cfRule>
  </conditionalFormatting>
  <conditionalFormatting sqref="B288 D288 F288 H288 J288 L288 N288">
    <cfRule type="expression" dxfId="348" priority="353">
      <formula>B283&lt;15</formula>
    </cfRule>
  </conditionalFormatting>
  <conditionalFormatting sqref="C288 E288 G288 I288 K288 M288 O288">
    <cfRule type="expression" dxfId="347" priority="354">
      <formula>B283&lt;15</formula>
    </cfRule>
  </conditionalFormatting>
  <conditionalFormatting sqref="B289 D289 F289 H289 J289 L289 N289">
    <cfRule type="expression" dxfId="346" priority="355">
      <formula>B283&lt;15</formula>
    </cfRule>
  </conditionalFormatting>
  <conditionalFormatting sqref="C289 E289 G289 I289 K289 M289 O289">
    <cfRule type="expression" dxfId="345" priority="356">
      <formula>B288&lt;15</formula>
    </cfRule>
  </conditionalFormatting>
  <conditionalFormatting sqref="B284 D284 F284 H284 J284 L284 N284">
    <cfRule type="expression" dxfId="344" priority="345">
      <formula>B283&lt;15</formula>
    </cfRule>
  </conditionalFormatting>
  <conditionalFormatting sqref="C284 E284 G284 I284 K284 M284 O284">
    <cfRule type="expression" dxfId="343" priority="346">
      <formula>B283&lt;15</formula>
    </cfRule>
  </conditionalFormatting>
  <conditionalFormatting sqref="B303 D303 F303 H303 J303 L303 N303">
    <cfRule type="expression" dxfId="342" priority="341">
      <formula>B296&gt;15</formula>
    </cfRule>
  </conditionalFormatting>
  <conditionalFormatting sqref="B298 D298 F298 H298 J298 L298 N298">
    <cfRule type="expression" dxfId="341" priority="331">
      <formula>B296&gt;15</formula>
    </cfRule>
  </conditionalFormatting>
  <conditionalFormatting sqref="B296:O296">
    <cfRule type="expression" dxfId="340" priority="328">
      <formula>B296&gt;15</formula>
    </cfRule>
  </conditionalFormatting>
  <conditionalFormatting sqref="C298 E298 G298 I298 K298 M298 O298">
    <cfRule type="expression" dxfId="339" priority="332">
      <formula>B296&gt;15</formula>
    </cfRule>
  </conditionalFormatting>
  <conditionalFormatting sqref="C303 E303 G303 I303 K303 M303 O303">
    <cfRule type="expression" dxfId="338" priority="342">
      <formula>B296&gt;15</formula>
    </cfRule>
  </conditionalFormatting>
  <conditionalFormatting sqref="P303">
    <cfRule type="expression" dxfId="337" priority="343">
      <formula>N296&gt;15</formula>
    </cfRule>
  </conditionalFormatting>
  <conditionalFormatting sqref="B299 D299 F299 H299 J299 L299 N299">
    <cfRule type="expression" dxfId="336" priority="333">
      <formula>B296&gt;15</formula>
    </cfRule>
  </conditionalFormatting>
  <conditionalFormatting sqref="C299 E299 G299 I299 K299 M299 O299">
    <cfRule type="expression" dxfId="335" priority="334">
      <formula>B296&gt;15</formula>
    </cfRule>
  </conditionalFormatting>
  <conditionalFormatting sqref="B300 D300 F300 H300 J300 L300 N300">
    <cfRule type="expression" dxfId="334" priority="335">
      <formula>B296&gt;15</formula>
    </cfRule>
  </conditionalFormatting>
  <conditionalFormatting sqref="C300 E300 G300 I300 K300 M300 O300">
    <cfRule type="expression" dxfId="333" priority="336">
      <formula>B296&gt;15</formula>
    </cfRule>
  </conditionalFormatting>
  <conditionalFormatting sqref="B301 D301 F301 H301 J301 L301 N301">
    <cfRule type="expression" dxfId="332" priority="337">
      <formula>B296&gt;15</formula>
    </cfRule>
  </conditionalFormatting>
  <conditionalFormatting sqref="C301 E301 G301 I301 K301 M301 O301">
    <cfRule type="expression" dxfId="331" priority="338">
      <formula>B296&gt;15</formula>
    </cfRule>
  </conditionalFormatting>
  <conditionalFormatting sqref="B302 D302 F302 H302 J302 L302 N302">
    <cfRule type="expression" dxfId="330" priority="339">
      <formula>B296&gt;15</formula>
    </cfRule>
  </conditionalFormatting>
  <conditionalFormatting sqref="C302 E302 G302 I302 K302 M302 O302">
    <cfRule type="expression" dxfId="329" priority="340">
      <formula>B301&gt;15</formula>
    </cfRule>
  </conditionalFormatting>
  <conditionalFormatting sqref="B297 D297 F297 H297 J297 L297 N297">
    <cfRule type="expression" dxfId="328" priority="329">
      <formula>B296&gt;15</formula>
    </cfRule>
  </conditionalFormatting>
  <conditionalFormatting sqref="C297 E297 G297 I297 K297 M297 O297">
    <cfRule type="expression" dxfId="327" priority="330">
      <formula>B296&gt;15</formula>
    </cfRule>
  </conditionalFormatting>
  <conditionalFormatting sqref="B339 D339 F339 H339 J339 L339 N339">
    <cfRule type="expression" dxfId="326" priority="325">
      <formula>B332&lt;15</formula>
    </cfRule>
  </conditionalFormatting>
  <conditionalFormatting sqref="B334 D334 F334 H334 J334 L334 N334">
    <cfRule type="expression" dxfId="325" priority="315">
      <formula>B332&lt;15</formula>
    </cfRule>
  </conditionalFormatting>
  <conditionalFormatting sqref="B332:O332">
    <cfRule type="expression" dxfId="324" priority="312">
      <formula>B332&lt;15</formula>
    </cfRule>
  </conditionalFormatting>
  <conditionalFormatting sqref="C334 E334 G334 I334 K334 M334 O334">
    <cfRule type="expression" dxfId="323" priority="316">
      <formula>B332&lt;15</formula>
    </cfRule>
  </conditionalFormatting>
  <conditionalFormatting sqref="C339 E339 G339 I339 K339 M339 O339">
    <cfRule type="expression" dxfId="322" priority="326">
      <formula>B332&lt;15</formula>
    </cfRule>
  </conditionalFormatting>
  <conditionalFormatting sqref="P339">
    <cfRule type="expression" dxfId="321" priority="327">
      <formula>N332&lt;15</formula>
    </cfRule>
  </conditionalFormatting>
  <conditionalFormatting sqref="B335 D335 F335 H335 J335 L335 N335">
    <cfRule type="expression" dxfId="320" priority="317">
      <formula>B332&lt;15</formula>
    </cfRule>
  </conditionalFormatting>
  <conditionalFormatting sqref="C335 E335 G335 I335 K335 M335 O335">
    <cfRule type="expression" dxfId="319" priority="318">
      <formula>B332&lt;15</formula>
    </cfRule>
  </conditionalFormatting>
  <conditionalFormatting sqref="B336 D336 F336 H336 J336 L336 N336">
    <cfRule type="expression" dxfId="318" priority="319">
      <formula>B332&lt;15</formula>
    </cfRule>
  </conditionalFormatting>
  <conditionalFormatting sqref="C336 E336 G336 I336 K336 M336 O336">
    <cfRule type="expression" dxfId="317" priority="320">
      <formula>B332&lt;15</formula>
    </cfRule>
  </conditionalFormatting>
  <conditionalFormatting sqref="B337 D337 F337 H337 J337 L337 N337">
    <cfRule type="expression" dxfId="316" priority="321">
      <formula>B332&lt;15</formula>
    </cfRule>
  </conditionalFormatting>
  <conditionalFormatting sqref="C337 E337 G337 I337 K337 M337 O337">
    <cfRule type="expression" dxfId="315" priority="322">
      <formula>B332&lt;15</formula>
    </cfRule>
  </conditionalFormatting>
  <conditionalFormatting sqref="B338 D338 F338 H338 J338 L338 N338">
    <cfRule type="expression" dxfId="314" priority="323">
      <formula>B332&lt;15</formula>
    </cfRule>
  </conditionalFormatting>
  <conditionalFormatting sqref="C338 E338 G338 I338 K338 M338 O338">
    <cfRule type="expression" dxfId="313" priority="324">
      <formula>B337&lt;15</formula>
    </cfRule>
  </conditionalFormatting>
  <conditionalFormatting sqref="B333 D333 F333 H333 J333 L333 N333">
    <cfRule type="expression" dxfId="312" priority="313">
      <formula>B332&lt;15</formula>
    </cfRule>
  </conditionalFormatting>
  <conditionalFormatting sqref="C333 E333 G333 I333 K333 M333 O333">
    <cfRule type="expression" dxfId="311" priority="314">
      <formula>B332&lt;15</formula>
    </cfRule>
  </conditionalFormatting>
  <conditionalFormatting sqref="B348 D348 F348 H348 J348 L348 N348">
    <cfRule type="expression" dxfId="310" priority="309">
      <formula>B341&lt;15</formula>
    </cfRule>
  </conditionalFormatting>
  <conditionalFormatting sqref="B343 D343 F343 H343 J343 L343 N343">
    <cfRule type="expression" dxfId="309" priority="299">
      <formula>B341&lt;15</formula>
    </cfRule>
  </conditionalFormatting>
  <conditionalFormatting sqref="B341:O341">
    <cfRule type="expression" dxfId="308" priority="296">
      <formula>B341&lt;15</formula>
    </cfRule>
  </conditionalFormatting>
  <conditionalFormatting sqref="C343 E343 G343 I343 K343 M343 O343">
    <cfRule type="expression" dxfId="307" priority="300">
      <formula>B341&lt;15</formula>
    </cfRule>
  </conditionalFormatting>
  <conditionalFormatting sqref="C348 E348 G348 I348 K348 M348 O348">
    <cfRule type="expression" dxfId="306" priority="310">
      <formula>B341&lt;15</formula>
    </cfRule>
  </conditionalFormatting>
  <conditionalFormatting sqref="P348">
    <cfRule type="expression" dxfId="305" priority="311">
      <formula>N341&lt;15</formula>
    </cfRule>
  </conditionalFormatting>
  <conditionalFormatting sqref="B344 D344 F344 H344 J344 L344 N344">
    <cfRule type="expression" dxfId="304" priority="301">
      <formula>B341&lt;15</formula>
    </cfRule>
  </conditionalFormatting>
  <conditionalFormatting sqref="C344 E344 G344 I344 K344 M344 O344">
    <cfRule type="expression" dxfId="303" priority="302">
      <formula>B341&lt;15</formula>
    </cfRule>
  </conditionalFormatting>
  <conditionalFormatting sqref="B345 D345 F345 H345 J345 L345 N345">
    <cfRule type="expression" dxfId="302" priority="303">
      <formula>B341&lt;15</formula>
    </cfRule>
  </conditionalFormatting>
  <conditionalFormatting sqref="C345 E345 G345 I345 K345 M345 O345">
    <cfRule type="expression" dxfId="301" priority="304">
      <formula>B341&lt;15</formula>
    </cfRule>
  </conditionalFormatting>
  <conditionalFormatting sqref="B346 D346 F346 H346 J346 L346 N346">
    <cfRule type="expression" dxfId="300" priority="305">
      <formula>B341&lt;15</formula>
    </cfRule>
  </conditionalFormatting>
  <conditionalFormatting sqref="C346 E346 G346 I346 K346 M346 O346">
    <cfRule type="expression" dxfId="299" priority="306">
      <formula>B341&lt;15</formula>
    </cfRule>
  </conditionalFormatting>
  <conditionalFormatting sqref="B347 D347 F347 H347 J347 L347 N347">
    <cfRule type="expression" dxfId="298" priority="307">
      <formula>B341&lt;15</formula>
    </cfRule>
  </conditionalFormatting>
  <conditionalFormatting sqref="C347 E347 G347 I347 K347 M347 O347">
    <cfRule type="expression" dxfId="297" priority="308">
      <formula>B346&lt;15</formula>
    </cfRule>
  </conditionalFormatting>
  <conditionalFormatting sqref="B342 D342 F342 H342 J342 L342 N342">
    <cfRule type="expression" dxfId="296" priority="297">
      <formula>B341&lt;15</formula>
    </cfRule>
  </conditionalFormatting>
  <conditionalFormatting sqref="C342 E342 G342 I342 K342 M342 O342">
    <cfRule type="expression" dxfId="295" priority="298">
      <formula>B341&lt;15</formula>
    </cfRule>
  </conditionalFormatting>
  <conditionalFormatting sqref="B361 D361 F361 H361 J361 L361 N361">
    <cfRule type="expression" dxfId="294" priority="293">
      <formula>B354&gt;15</formula>
    </cfRule>
  </conditionalFormatting>
  <conditionalFormatting sqref="B356 D356 F356 H356 J356 L356 N356">
    <cfRule type="expression" dxfId="293" priority="283">
      <formula>B354&gt;15</formula>
    </cfRule>
  </conditionalFormatting>
  <conditionalFormatting sqref="B354:O354">
    <cfRule type="expression" dxfId="292" priority="280">
      <formula>B354&gt;15</formula>
    </cfRule>
  </conditionalFormatting>
  <conditionalFormatting sqref="C356 E356 G356 I356 K356 M356 O356">
    <cfRule type="expression" dxfId="291" priority="284">
      <formula>B354&gt;15</formula>
    </cfRule>
  </conditionalFormatting>
  <conditionalFormatting sqref="C361 E361 G361 I361 K361 M361 O361">
    <cfRule type="expression" dxfId="290" priority="294">
      <formula>B354&gt;15</formula>
    </cfRule>
  </conditionalFormatting>
  <conditionalFormatting sqref="P361">
    <cfRule type="expression" dxfId="289" priority="295">
      <formula>N354&gt;15</formula>
    </cfRule>
  </conditionalFormatting>
  <conditionalFormatting sqref="B357 D357 F357 H357 J357 L357 N357">
    <cfRule type="expression" dxfId="288" priority="285">
      <formula>B354&gt;15</formula>
    </cfRule>
  </conditionalFormatting>
  <conditionalFormatting sqref="C357 E357 G357 I357 K357 M357 O357">
    <cfRule type="expression" dxfId="287" priority="286">
      <formula>B354&gt;15</formula>
    </cfRule>
  </conditionalFormatting>
  <conditionalFormatting sqref="B358 D358 F358 H358 J358 L358 N358">
    <cfRule type="expression" dxfId="286" priority="287">
      <formula>B354&gt;15</formula>
    </cfRule>
  </conditionalFormatting>
  <conditionalFormatting sqref="C358 E358 G358 I358 K358 M358 O358">
    <cfRule type="expression" dxfId="285" priority="288">
      <formula>B354&gt;15</formula>
    </cfRule>
  </conditionalFormatting>
  <conditionalFormatting sqref="B359 D359 F359 H359 J359 L359 N359">
    <cfRule type="expression" dxfId="284" priority="289">
      <formula>B354&gt;15</formula>
    </cfRule>
  </conditionalFormatting>
  <conditionalFormatting sqref="C359 E359 G359 I359 K359 M359 O359">
    <cfRule type="expression" dxfId="283" priority="290">
      <formula>B354&gt;15</formula>
    </cfRule>
  </conditionalFormatting>
  <conditionalFormatting sqref="B360 D360 F360 H360 J360 L360 N360">
    <cfRule type="expression" dxfId="282" priority="291">
      <formula>B354&gt;15</formula>
    </cfRule>
  </conditionalFormatting>
  <conditionalFormatting sqref="C360 E360 G360 I360 K360 M360 O360">
    <cfRule type="expression" dxfId="281" priority="292">
      <formula>B359&gt;15</formula>
    </cfRule>
  </conditionalFormatting>
  <conditionalFormatting sqref="B355 D355 F355 H355 J355 L355 N355">
    <cfRule type="expression" dxfId="280" priority="281">
      <formula>B354&gt;15</formula>
    </cfRule>
  </conditionalFormatting>
  <conditionalFormatting sqref="C355 E355 G355 I355 K355 M355 O355">
    <cfRule type="expression" dxfId="279" priority="282">
      <formula>B354&gt;15</formula>
    </cfRule>
  </conditionalFormatting>
  <conditionalFormatting sqref="B397 D397 F397 H397 J397 L397 N397">
    <cfRule type="expression" dxfId="278" priority="277">
      <formula>B390&lt;15</formula>
    </cfRule>
  </conditionalFormatting>
  <conditionalFormatting sqref="B392 D392 F392 H392 J392 L392 N392">
    <cfRule type="expression" dxfId="277" priority="267">
      <formula>B390&lt;15</formula>
    </cfRule>
  </conditionalFormatting>
  <conditionalFormatting sqref="B390:O390">
    <cfRule type="expression" dxfId="276" priority="264">
      <formula>B390&lt;15</formula>
    </cfRule>
  </conditionalFormatting>
  <conditionalFormatting sqref="C392 E392 G392 I392 K392 M392 O392">
    <cfRule type="expression" dxfId="275" priority="268">
      <formula>B390&lt;15</formula>
    </cfRule>
  </conditionalFormatting>
  <conditionalFormatting sqref="C397 E397 G397 I397 K397 M397 O397">
    <cfRule type="expression" dxfId="274" priority="278">
      <formula>B390&lt;15</formula>
    </cfRule>
  </conditionalFormatting>
  <conditionalFormatting sqref="P397">
    <cfRule type="expression" dxfId="273" priority="279">
      <formula>N390&lt;15</formula>
    </cfRule>
  </conditionalFormatting>
  <conditionalFormatting sqref="B393 D393 F393 H393 J393 L393 N393">
    <cfRule type="expression" dxfId="272" priority="269">
      <formula>B390&lt;15</formula>
    </cfRule>
  </conditionalFormatting>
  <conditionalFormatting sqref="C393 E393 G393 I393 K393 M393 O393">
    <cfRule type="expression" dxfId="271" priority="270">
      <formula>B390&lt;15</formula>
    </cfRule>
  </conditionalFormatting>
  <conditionalFormatting sqref="B394 D394 F394 H394 J394 L394 N394">
    <cfRule type="expression" dxfId="270" priority="271">
      <formula>B390&lt;15</formula>
    </cfRule>
  </conditionalFormatting>
  <conditionalFormatting sqref="C394 E394 G394 I394 K394 M394 O394">
    <cfRule type="expression" dxfId="269" priority="272">
      <formula>B390&lt;15</formula>
    </cfRule>
  </conditionalFormatting>
  <conditionalFormatting sqref="B395 D395 F395 H395 J395 L395 N395">
    <cfRule type="expression" dxfId="268" priority="273">
      <formula>B390&lt;15</formula>
    </cfRule>
  </conditionalFormatting>
  <conditionalFormatting sqref="C395 E395 G395 I395 K395 M395 O395">
    <cfRule type="expression" dxfId="267" priority="274">
      <formula>B390&lt;15</formula>
    </cfRule>
  </conditionalFormatting>
  <conditionalFormatting sqref="B396 D396 F396 H396 J396 L396 N396">
    <cfRule type="expression" dxfId="266" priority="275">
      <formula>B390&lt;15</formula>
    </cfRule>
  </conditionalFormatting>
  <conditionalFormatting sqref="C396 E396 G396 I396 K396 M396 O396">
    <cfRule type="expression" dxfId="265" priority="276">
      <formula>B395&lt;15</formula>
    </cfRule>
  </conditionalFormatting>
  <conditionalFormatting sqref="B391 D391 F391 H391 J391 L391 N391">
    <cfRule type="expression" dxfId="264" priority="265">
      <formula>B390&lt;15</formula>
    </cfRule>
  </conditionalFormatting>
  <conditionalFormatting sqref="C391 E391 G391 I391 K391 M391 O391">
    <cfRule type="expression" dxfId="263" priority="266">
      <formula>B390&lt;15</formula>
    </cfRule>
  </conditionalFormatting>
  <conditionalFormatting sqref="B406 D406 F406 H406 J406 L406 N406">
    <cfRule type="expression" dxfId="262" priority="261">
      <formula>B399&lt;15</formula>
    </cfRule>
  </conditionalFormatting>
  <conditionalFormatting sqref="B401 D401 F401 H401 J401 L401 N401">
    <cfRule type="expression" dxfId="261" priority="251">
      <formula>B399&lt;15</formula>
    </cfRule>
  </conditionalFormatting>
  <conditionalFormatting sqref="B399:O399">
    <cfRule type="expression" dxfId="260" priority="248">
      <formula>B399&lt;15</formula>
    </cfRule>
  </conditionalFormatting>
  <conditionalFormatting sqref="C401 E401 G401 I401 K401 M401 O401">
    <cfRule type="expression" dxfId="259" priority="252">
      <formula>B399&lt;15</formula>
    </cfRule>
  </conditionalFormatting>
  <conditionalFormatting sqref="C406 E406 G406 I406 K406 M406 O406">
    <cfRule type="expression" dxfId="258" priority="262">
      <formula>B399&lt;15</formula>
    </cfRule>
  </conditionalFormatting>
  <conditionalFormatting sqref="P406">
    <cfRule type="expression" dxfId="257" priority="263">
      <formula>N399&lt;15</formula>
    </cfRule>
  </conditionalFormatting>
  <conditionalFormatting sqref="B402 D402 F402 H402 J402 L402 N402">
    <cfRule type="expression" dxfId="256" priority="253">
      <formula>B399&lt;15</formula>
    </cfRule>
  </conditionalFormatting>
  <conditionalFormatting sqref="C402 E402 G402 I402 K402 M402 O402">
    <cfRule type="expression" dxfId="255" priority="254">
      <formula>B399&lt;15</formula>
    </cfRule>
  </conditionalFormatting>
  <conditionalFormatting sqref="B403 D403 F403 H403 J403 L403 N403">
    <cfRule type="expression" dxfId="254" priority="255">
      <formula>B399&lt;15</formula>
    </cfRule>
  </conditionalFormatting>
  <conditionalFormatting sqref="C403 E403 G403 I403 K403 M403 O403">
    <cfRule type="expression" dxfId="253" priority="256">
      <formula>B399&lt;15</formula>
    </cfRule>
  </conditionalFormatting>
  <conditionalFormatting sqref="B404 D404 F404 H404 J404 L404 N404">
    <cfRule type="expression" dxfId="252" priority="257">
      <formula>B399&lt;15</formula>
    </cfRule>
  </conditionalFormatting>
  <conditionalFormatting sqref="C404 E404 G404 I404 K404 M404 O404">
    <cfRule type="expression" dxfId="251" priority="258">
      <formula>B399&lt;15</formula>
    </cfRule>
  </conditionalFormatting>
  <conditionalFormatting sqref="B405 D405 F405 H405 J405 L405 N405">
    <cfRule type="expression" dxfId="250" priority="259">
      <formula>B399&lt;15</formula>
    </cfRule>
  </conditionalFormatting>
  <conditionalFormatting sqref="C405 E405 G405 I405 K405 M405 O405">
    <cfRule type="expression" dxfId="249" priority="260">
      <formula>B404&lt;15</formula>
    </cfRule>
  </conditionalFormatting>
  <conditionalFormatting sqref="B400 D400 F400 H400 J400 L400 N400">
    <cfRule type="expression" dxfId="248" priority="249">
      <formula>B399&lt;15</formula>
    </cfRule>
  </conditionalFormatting>
  <conditionalFormatting sqref="C400 E400 G400 I400 K400 M400 O400">
    <cfRule type="expression" dxfId="247" priority="250">
      <formula>B399&lt;15</formula>
    </cfRule>
  </conditionalFormatting>
  <conditionalFormatting sqref="B419 D419 F419 H419 J419 L419 N419">
    <cfRule type="expression" dxfId="246" priority="245">
      <formula>B412&gt;15</formula>
    </cfRule>
  </conditionalFormatting>
  <conditionalFormatting sqref="B414 D414 F414 H414 J414 L414 N414">
    <cfRule type="expression" dxfId="245" priority="235">
      <formula>B412&gt;15</formula>
    </cfRule>
  </conditionalFormatting>
  <conditionalFormatting sqref="B412:O412">
    <cfRule type="expression" dxfId="244" priority="232">
      <formula>B412&gt;15</formula>
    </cfRule>
  </conditionalFormatting>
  <conditionalFormatting sqref="C414 E414 G414 I414 K414 M414 O414">
    <cfRule type="expression" dxfId="243" priority="236">
      <formula>B412&gt;15</formula>
    </cfRule>
  </conditionalFormatting>
  <conditionalFormatting sqref="C419 E419 G419 I419 K419 M419 O419">
    <cfRule type="expression" dxfId="242" priority="246">
      <formula>B412&gt;15</formula>
    </cfRule>
  </conditionalFormatting>
  <conditionalFormatting sqref="P419">
    <cfRule type="expression" dxfId="241" priority="247">
      <formula>N412&gt;15</formula>
    </cfRule>
  </conditionalFormatting>
  <conditionalFormatting sqref="B415 D415 F415 H415 J415 L415 N415">
    <cfRule type="expression" dxfId="240" priority="237">
      <formula>B412&gt;15</formula>
    </cfRule>
  </conditionalFormatting>
  <conditionalFormatting sqref="C415 E415 G415 I415 K415 M415 O415">
    <cfRule type="expression" dxfId="239" priority="238">
      <formula>B412&gt;15</formula>
    </cfRule>
  </conditionalFormatting>
  <conditionalFormatting sqref="B416 D416 F416 H416 J416 L416 N416">
    <cfRule type="expression" dxfId="238" priority="239">
      <formula>B412&gt;15</formula>
    </cfRule>
  </conditionalFormatting>
  <conditionalFormatting sqref="C416 E416 G416 I416 K416 M416 O416">
    <cfRule type="expression" dxfId="237" priority="240">
      <formula>B412&gt;15</formula>
    </cfRule>
  </conditionalFormatting>
  <conditionalFormatting sqref="B417 D417 F417 H417 J417 L417 N417">
    <cfRule type="expression" dxfId="236" priority="241">
      <formula>B412&gt;15</formula>
    </cfRule>
  </conditionalFormatting>
  <conditionalFormatting sqref="C417 E417 G417 I417 K417 M417 O417">
    <cfRule type="expression" dxfId="235" priority="242">
      <formula>B412&gt;15</formula>
    </cfRule>
  </conditionalFormatting>
  <conditionalFormatting sqref="B418 D418 F418 H418 J418 L418 N418">
    <cfRule type="expression" dxfId="234" priority="243">
      <formula>B412&gt;15</formula>
    </cfRule>
  </conditionalFormatting>
  <conditionalFormatting sqref="C418 E418 G418 I418 K418 M418 O418">
    <cfRule type="expression" dxfId="233" priority="244">
      <formula>B417&gt;15</formula>
    </cfRule>
  </conditionalFormatting>
  <conditionalFormatting sqref="B413 D413 F413 H413 J413 L413 N413">
    <cfRule type="expression" dxfId="232" priority="233">
      <formula>B412&gt;15</formula>
    </cfRule>
  </conditionalFormatting>
  <conditionalFormatting sqref="C413 E413 G413 I413 K413 M413 O413">
    <cfRule type="expression" dxfId="231" priority="234">
      <formula>B412&gt;15</formula>
    </cfRule>
  </conditionalFormatting>
  <conditionalFormatting sqref="B455 D455 F455 H455 J455 L455 N455">
    <cfRule type="expression" dxfId="230" priority="229">
      <formula>B448&lt;15</formula>
    </cfRule>
  </conditionalFormatting>
  <conditionalFormatting sqref="B450 D450 F450 H450 J450 L450 N450">
    <cfRule type="expression" dxfId="229" priority="219">
      <formula>B448&lt;15</formula>
    </cfRule>
  </conditionalFormatting>
  <conditionalFormatting sqref="B448:O448">
    <cfRule type="expression" dxfId="228" priority="216">
      <formula>B448&lt;15</formula>
    </cfRule>
  </conditionalFormatting>
  <conditionalFormatting sqref="C450 E450 G450 I450 K450 M450 O450">
    <cfRule type="expression" dxfId="227" priority="220">
      <formula>B448&lt;15</formula>
    </cfRule>
  </conditionalFormatting>
  <conditionalFormatting sqref="C455 E455 G455 I455 K455 M455 O455">
    <cfRule type="expression" dxfId="226" priority="230">
      <formula>B448&lt;15</formula>
    </cfRule>
  </conditionalFormatting>
  <conditionalFormatting sqref="P455">
    <cfRule type="expression" dxfId="225" priority="231">
      <formula>N448&lt;15</formula>
    </cfRule>
  </conditionalFormatting>
  <conditionalFormatting sqref="B451 D451 F451 H451 J451 L451 N451">
    <cfRule type="expression" dxfId="224" priority="221">
      <formula>B448&lt;15</formula>
    </cfRule>
  </conditionalFormatting>
  <conditionalFormatting sqref="C451 E451 G451 I451 K451 M451 O451">
    <cfRule type="expression" dxfId="223" priority="222">
      <formula>B448&lt;15</formula>
    </cfRule>
  </conditionalFormatting>
  <conditionalFormatting sqref="B452 D452 F452 H452 J452 L452 N452">
    <cfRule type="expression" dxfId="222" priority="223">
      <formula>B448&lt;15</formula>
    </cfRule>
  </conditionalFormatting>
  <conditionalFormatting sqref="C452 E452 G452 I452 K452 M452 O452">
    <cfRule type="expression" dxfId="221" priority="224">
      <formula>B448&lt;15</formula>
    </cfRule>
  </conditionalFormatting>
  <conditionalFormatting sqref="B453 D453 F453 H453 J453 L453 N453">
    <cfRule type="expression" dxfId="220" priority="225">
      <formula>B448&lt;15</formula>
    </cfRule>
  </conditionalFormatting>
  <conditionalFormatting sqref="C453 E453 G453 I453 K453 M453 O453">
    <cfRule type="expression" dxfId="219" priority="226">
      <formula>B448&lt;15</formula>
    </cfRule>
  </conditionalFormatting>
  <conditionalFormatting sqref="B454 D454 F454 H454 J454 L454 N454">
    <cfRule type="expression" dxfId="218" priority="227">
      <formula>B448&lt;15</formula>
    </cfRule>
  </conditionalFormatting>
  <conditionalFormatting sqref="C454 E454 G454 I454 K454 M454 O454">
    <cfRule type="expression" dxfId="217" priority="228">
      <formula>B453&lt;15</formula>
    </cfRule>
  </conditionalFormatting>
  <conditionalFormatting sqref="B449 D449 F449 H449 J449 L449 N449">
    <cfRule type="expression" dxfId="216" priority="217">
      <formula>B448&lt;15</formula>
    </cfRule>
  </conditionalFormatting>
  <conditionalFormatting sqref="C449 E449 G449 I449 K449 M449 O449">
    <cfRule type="expression" dxfId="215" priority="218">
      <formula>B448&lt;15</formula>
    </cfRule>
  </conditionalFormatting>
  <conditionalFormatting sqref="B464 D464 F464 H464 J464 L464 N464">
    <cfRule type="expression" dxfId="214" priority="213">
      <formula>B457&lt;15</formula>
    </cfRule>
  </conditionalFormatting>
  <conditionalFormatting sqref="B459 D459 F459 H459 J459 L459 N459">
    <cfRule type="expression" dxfId="213" priority="203">
      <formula>B457&lt;15</formula>
    </cfRule>
  </conditionalFormatting>
  <conditionalFormatting sqref="B457:O457">
    <cfRule type="expression" dxfId="212" priority="200">
      <formula>B457&lt;15</formula>
    </cfRule>
  </conditionalFormatting>
  <conditionalFormatting sqref="C459 E459 G459 I459 K459 M459 O459">
    <cfRule type="expression" dxfId="211" priority="204">
      <formula>B457&lt;15</formula>
    </cfRule>
  </conditionalFormatting>
  <conditionalFormatting sqref="C464 E464 G464 I464 K464 M464 O464">
    <cfRule type="expression" dxfId="210" priority="214">
      <formula>B457&lt;15</formula>
    </cfRule>
  </conditionalFormatting>
  <conditionalFormatting sqref="P464">
    <cfRule type="expression" dxfId="209" priority="215">
      <formula>N457&lt;15</formula>
    </cfRule>
  </conditionalFormatting>
  <conditionalFormatting sqref="B460 D460 F460 H460 J460 L460 N460">
    <cfRule type="expression" dxfId="208" priority="205">
      <formula>B457&lt;15</formula>
    </cfRule>
  </conditionalFormatting>
  <conditionalFormatting sqref="C460 E460 G460 I460 K460 M460 O460">
    <cfRule type="expression" dxfId="207" priority="206">
      <formula>B457&lt;15</formula>
    </cfRule>
  </conditionalFormatting>
  <conditionalFormatting sqref="B461 D461 F461 H461 J461 L461 N461">
    <cfRule type="expression" dxfId="206" priority="207">
      <formula>B457&lt;15</formula>
    </cfRule>
  </conditionalFormatting>
  <conditionalFormatting sqref="C461 E461 G461 I461 K461 M461 O461">
    <cfRule type="expression" dxfId="205" priority="208">
      <formula>B457&lt;15</formula>
    </cfRule>
  </conditionalFormatting>
  <conditionalFormatting sqref="B462 D462 F462 H462 J462 L462 N462">
    <cfRule type="expression" dxfId="204" priority="209">
      <formula>B457&lt;15</formula>
    </cfRule>
  </conditionalFormatting>
  <conditionalFormatting sqref="C462 E462 G462 I462 K462 M462 O462">
    <cfRule type="expression" dxfId="203" priority="210">
      <formula>B457&lt;15</formula>
    </cfRule>
  </conditionalFormatting>
  <conditionalFormatting sqref="B463 D463 F463 H463 J463 L463 N463">
    <cfRule type="expression" dxfId="202" priority="211">
      <formula>B457&lt;15</formula>
    </cfRule>
  </conditionalFormatting>
  <conditionalFormatting sqref="C463 E463 G463 I463 K463 M463 O463">
    <cfRule type="expression" dxfId="201" priority="212">
      <formula>B462&lt;15</formula>
    </cfRule>
  </conditionalFormatting>
  <conditionalFormatting sqref="B458 D458 F458 H458 J458 L458 N458">
    <cfRule type="expression" dxfId="200" priority="201">
      <formula>B457&lt;15</formula>
    </cfRule>
  </conditionalFormatting>
  <conditionalFormatting sqref="C458 E458 G458 I458 K458 M458 O458">
    <cfRule type="expression" dxfId="199" priority="202">
      <formula>B457&lt;15</formula>
    </cfRule>
  </conditionalFormatting>
  <conditionalFormatting sqref="B477 D477 F477 H477 J477 L477 N477">
    <cfRule type="expression" dxfId="198" priority="197">
      <formula>B470&gt;15</formula>
    </cfRule>
  </conditionalFormatting>
  <conditionalFormatting sqref="B472 D472 F472 H472 J472 L472 N472">
    <cfRule type="expression" dxfId="197" priority="187">
      <formula>B470&gt;15</formula>
    </cfRule>
  </conditionalFormatting>
  <conditionalFormatting sqref="B470:O470">
    <cfRule type="expression" dxfId="196" priority="184">
      <formula>B470&gt;15</formula>
    </cfRule>
  </conditionalFormatting>
  <conditionalFormatting sqref="C472 E472 G472 I472 K472 M472 O472">
    <cfRule type="expression" dxfId="195" priority="188">
      <formula>B470&gt;15</formula>
    </cfRule>
  </conditionalFormatting>
  <conditionalFormatting sqref="C477 E477 G477 I477 K477 M477 O477">
    <cfRule type="expression" dxfId="194" priority="198">
      <formula>B470&gt;15</formula>
    </cfRule>
  </conditionalFormatting>
  <conditionalFormatting sqref="P477">
    <cfRule type="expression" dxfId="193" priority="199">
      <formula>N470&gt;15</formula>
    </cfRule>
  </conditionalFormatting>
  <conditionalFormatting sqref="B473 D473 F473 H473 J473 L473 N473">
    <cfRule type="expression" dxfId="192" priority="189">
      <formula>B470&gt;15</formula>
    </cfRule>
  </conditionalFormatting>
  <conditionalFormatting sqref="C473 E473 G473 I473 K473 M473 O473">
    <cfRule type="expression" dxfId="191" priority="190">
      <formula>B470&gt;15</formula>
    </cfRule>
  </conditionalFormatting>
  <conditionalFormatting sqref="B474 D474 F474 H474 J474 L474 N474">
    <cfRule type="expression" dxfId="190" priority="191">
      <formula>B470&gt;15</formula>
    </cfRule>
  </conditionalFormatting>
  <conditionalFormatting sqref="C474 E474 G474 I474 K474 M474 O474">
    <cfRule type="expression" dxfId="189" priority="192">
      <formula>B470&gt;15</formula>
    </cfRule>
  </conditionalFormatting>
  <conditionalFormatting sqref="B475 D475 F475 H475 J475 L475 N475">
    <cfRule type="expression" dxfId="188" priority="193">
      <formula>B470&gt;15</formula>
    </cfRule>
  </conditionalFormatting>
  <conditionalFormatting sqref="C475 E475 G475 I475 K475 M475 O475">
    <cfRule type="expression" dxfId="187" priority="194">
      <formula>B470&gt;15</formula>
    </cfRule>
  </conditionalFormatting>
  <conditionalFormatting sqref="B476 D476 F476 H476 J476 L476 N476">
    <cfRule type="expression" dxfId="186" priority="195">
      <formula>B470&gt;15</formula>
    </cfRule>
  </conditionalFormatting>
  <conditionalFormatting sqref="C476 E476 G476 I476 K476 M476 O476">
    <cfRule type="expression" dxfId="185" priority="196">
      <formula>B475&gt;15</formula>
    </cfRule>
  </conditionalFormatting>
  <conditionalFormatting sqref="B471 D471 F471 H471 J471 L471 N471">
    <cfRule type="expression" dxfId="184" priority="185">
      <formula>B470&gt;15</formula>
    </cfRule>
  </conditionalFormatting>
  <conditionalFormatting sqref="C471 E471 G471 I471 K471 M471 O471">
    <cfRule type="expression" dxfId="183" priority="186">
      <formula>B470&gt;15</formula>
    </cfRule>
  </conditionalFormatting>
  <conditionalFormatting sqref="B513 D513 F513 H513 J513 L513 N513">
    <cfRule type="expression" dxfId="182" priority="181">
      <formula>B506&lt;15</formula>
    </cfRule>
  </conditionalFormatting>
  <conditionalFormatting sqref="B508 D508 F508 H508 J508 L508 N508">
    <cfRule type="expression" dxfId="181" priority="171">
      <formula>B506&lt;15</formula>
    </cfRule>
  </conditionalFormatting>
  <conditionalFormatting sqref="B506:O506">
    <cfRule type="expression" dxfId="180" priority="168">
      <formula>B506&lt;15</formula>
    </cfRule>
  </conditionalFormatting>
  <conditionalFormatting sqref="C508 E508 G508 I508 K508 M508 O508">
    <cfRule type="expression" dxfId="179" priority="172">
      <formula>B506&lt;15</formula>
    </cfRule>
  </conditionalFormatting>
  <conditionalFormatting sqref="C513 E513 G513 I513 K513 M513 O513">
    <cfRule type="expression" dxfId="178" priority="182">
      <formula>B506&lt;15</formula>
    </cfRule>
  </conditionalFormatting>
  <conditionalFormatting sqref="P513">
    <cfRule type="expression" dxfId="177" priority="183">
      <formula>N506&lt;15</formula>
    </cfRule>
  </conditionalFormatting>
  <conditionalFormatting sqref="B509 D509 F509 H509 J509 L509 N509">
    <cfRule type="expression" dxfId="176" priority="173">
      <formula>B506&lt;15</formula>
    </cfRule>
  </conditionalFormatting>
  <conditionalFormatting sqref="C509 E509 G509 I509 K509 M509 O509">
    <cfRule type="expression" dxfId="175" priority="174">
      <formula>B506&lt;15</formula>
    </cfRule>
  </conditionalFormatting>
  <conditionalFormatting sqref="B510 D510 F510 H510 J510 L510 N510">
    <cfRule type="expression" dxfId="174" priority="175">
      <formula>B506&lt;15</formula>
    </cfRule>
  </conditionalFormatting>
  <conditionalFormatting sqref="C510 E510 G510 I510 K510 M510 O510">
    <cfRule type="expression" dxfId="173" priority="176">
      <formula>B506&lt;15</formula>
    </cfRule>
  </conditionalFormatting>
  <conditionalFormatting sqref="B511 D511 F511 H511 J511 L511 N511">
    <cfRule type="expression" dxfId="172" priority="177">
      <formula>B506&lt;15</formula>
    </cfRule>
  </conditionalFormatting>
  <conditionalFormatting sqref="C511 E511 G511 I511 K511 M511 O511">
    <cfRule type="expression" dxfId="171" priority="178">
      <formula>B506&lt;15</formula>
    </cfRule>
  </conditionalFormatting>
  <conditionalFormatting sqref="B512 D512 F512 H512 J512 L512 N512">
    <cfRule type="expression" dxfId="170" priority="179">
      <formula>B506&lt;15</formula>
    </cfRule>
  </conditionalFormatting>
  <conditionalFormatting sqref="C512 E512 G512 I512 K512 M512 O512">
    <cfRule type="expression" dxfId="169" priority="180">
      <formula>B511&lt;15</formula>
    </cfRule>
  </conditionalFormatting>
  <conditionalFormatting sqref="B507 D507 F507 H507 J507 L507 N507">
    <cfRule type="expression" dxfId="168" priority="169">
      <formula>B506&lt;15</formula>
    </cfRule>
  </conditionalFormatting>
  <conditionalFormatting sqref="C507 E507 G507 I507 K507 M507 O507">
    <cfRule type="expression" dxfId="167" priority="170">
      <formula>B506&lt;15</formula>
    </cfRule>
  </conditionalFormatting>
  <conditionalFormatting sqref="B522 D522 F522 H522 J522 L522 N522">
    <cfRule type="expression" dxfId="166" priority="165">
      <formula>B515&lt;15</formula>
    </cfRule>
  </conditionalFormatting>
  <conditionalFormatting sqref="B517 D517 F517 H517 J517 L517 N517">
    <cfRule type="expression" dxfId="165" priority="155">
      <formula>B515&lt;15</formula>
    </cfRule>
  </conditionalFormatting>
  <conditionalFormatting sqref="B515:O515">
    <cfRule type="expression" dxfId="164" priority="152">
      <formula>B515&lt;15</formula>
    </cfRule>
  </conditionalFormatting>
  <conditionalFormatting sqref="C517 E517 G517 I517 K517 M517 O517">
    <cfRule type="expression" dxfId="163" priority="156">
      <formula>B515&lt;15</formula>
    </cfRule>
  </conditionalFormatting>
  <conditionalFormatting sqref="C522 E522 G522 I522 K522 M522 O522">
    <cfRule type="expression" dxfId="162" priority="166">
      <formula>B515&lt;15</formula>
    </cfRule>
  </conditionalFormatting>
  <conditionalFormatting sqref="P522">
    <cfRule type="expression" dxfId="161" priority="167">
      <formula>N515&lt;15</formula>
    </cfRule>
  </conditionalFormatting>
  <conditionalFormatting sqref="B518 D518 F518 H518 J518 L518 N518">
    <cfRule type="expression" dxfId="160" priority="157">
      <formula>B515&lt;15</formula>
    </cfRule>
  </conditionalFormatting>
  <conditionalFormatting sqref="C518 E518 G518 I518 K518 M518 O518">
    <cfRule type="expression" dxfId="159" priority="158">
      <formula>B515&lt;15</formula>
    </cfRule>
  </conditionalFormatting>
  <conditionalFormatting sqref="B519 D519 F519 H519 J519 L519 N519">
    <cfRule type="expression" dxfId="158" priority="159">
      <formula>B515&lt;15</formula>
    </cfRule>
  </conditionalFormatting>
  <conditionalFormatting sqref="C519 E519 G519 I519 K519 M519 O519">
    <cfRule type="expression" dxfId="157" priority="160">
      <formula>B515&lt;15</formula>
    </cfRule>
  </conditionalFormatting>
  <conditionalFormatting sqref="B520 D520 F520 H520 J520 L520 N520">
    <cfRule type="expression" dxfId="156" priority="161">
      <formula>B515&lt;15</formula>
    </cfRule>
  </conditionalFormatting>
  <conditionalFormatting sqref="C520 E520 G520 I520 K520 M520 O520">
    <cfRule type="expression" dxfId="155" priority="162">
      <formula>B515&lt;15</formula>
    </cfRule>
  </conditionalFormatting>
  <conditionalFormatting sqref="B521 D521 F521 H521 J521 L521 N521">
    <cfRule type="expression" dxfId="154" priority="163">
      <formula>B515&lt;15</formula>
    </cfRule>
  </conditionalFormatting>
  <conditionalFormatting sqref="C521 E521 G521 I521 K521 M521 O521">
    <cfRule type="expression" dxfId="153" priority="164">
      <formula>B520&lt;15</formula>
    </cfRule>
  </conditionalFormatting>
  <conditionalFormatting sqref="B516 D516 F516 H516 J516 L516 N516">
    <cfRule type="expression" dxfId="152" priority="153">
      <formula>B515&lt;15</formula>
    </cfRule>
  </conditionalFormatting>
  <conditionalFormatting sqref="C516 E516 G516 I516 K516 M516 O516">
    <cfRule type="expression" dxfId="151" priority="154">
      <formula>B515&lt;15</formula>
    </cfRule>
  </conditionalFormatting>
  <conditionalFormatting sqref="B535 D535 F535 H535 J535 L535 N535">
    <cfRule type="expression" dxfId="150" priority="149">
      <formula>B528&gt;15</formula>
    </cfRule>
  </conditionalFormatting>
  <conditionalFormatting sqref="B530 D530 F530 H530 J530 L530 N530">
    <cfRule type="expression" dxfId="149" priority="139">
      <formula>B528&gt;15</formula>
    </cfRule>
  </conditionalFormatting>
  <conditionalFormatting sqref="B528:O528">
    <cfRule type="expression" dxfId="148" priority="136">
      <formula>B528&gt;15</formula>
    </cfRule>
  </conditionalFormatting>
  <conditionalFormatting sqref="C530 E530 G530 I530 K530 M530 O530">
    <cfRule type="expression" dxfId="147" priority="140">
      <formula>B528&gt;15</formula>
    </cfRule>
  </conditionalFormatting>
  <conditionalFormatting sqref="C535 E535 G535 I535 K535 M535 O535">
    <cfRule type="expression" dxfId="146" priority="150">
      <formula>B528&gt;15</formula>
    </cfRule>
  </conditionalFormatting>
  <conditionalFormatting sqref="P535">
    <cfRule type="expression" dxfId="145" priority="151">
      <formula>N528&gt;15</formula>
    </cfRule>
  </conditionalFormatting>
  <conditionalFormatting sqref="B531 D531 F531 H531 J531 L531 N531">
    <cfRule type="expression" dxfId="144" priority="141">
      <formula>B528&gt;15</formula>
    </cfRule>
  </conditionalFormatting>
  <conditionalFormatting sqref="C531 E531 G531 I531 K531 M531 O531">
    <cfRule type="expression" dxfId="143" priority="142">
      <formula>B528&gt;15</formula>
    </cfRule>
  </conditionalFormatting>
  <conditionalFormatting sqref="B532 D532 F532 H532 J532 L532 N532">
    <cfRule type="expression" dxfId="142" priority="143">
      <formula>B528&gt;15</formula>
    </cfRule>
  </conditionalFormatting>
  <conditionalFormatting sqref="C532 E532 G532 I532 K532 M532 O532">
    <cfRule type="expression" dxfId="141" priority="144">
      <formula>B528&gt;15</formula>
    </cfRule>
  </conditionalFormatting>
  <conditionalFormatting sqref="B533 D533 F533 H533 J533 L533 N533">
    <cfRule type="expression" dxfId="140" priority="145">
      <formula>B528&gt;15</formula>
    </cfRule>
  </conditionalFormatting>
  <conditionalFormatting sqref="C533 E533 G533 I533 K533 M533 O533">
    <cfRule type="expression" dxfId="139" priority="146">
      <formula>B528&gt;15</formula>
    </cfRule>
  </conditionalFormatting>
  <conditionalFormatting sqref="B534 D534 F534 H534 J534 L534 N534">
    <cfRule type="expression" dxfId="138" priority="147">
      <formula>B528&gt;15</formula>
    </cfRule>
  </conditionalFormatting>
  <conditionalFormatting sqref="C534 E534 G534 I534 K534 M534 O534">
    <cfRule type="expression" dxfId="137" priority="148">
      <formula>B533&gt;15</formula>
    </cfRule>
  </conditionalFormatting>
  <conditionalFormatting sqref="B529 D529 F529 H529 J529 L529 N529">
    <cfRule type="expression" dxfId="136" priority="137">
      <formula>B528&gt;15</formula>
    </cfRule>
  </conditionalFormatting>
  <conditionalFormatting sqref="C529 E529 G529 I529 K529 M529 O529">
    <cfRule type="expression" dxfId="135" priority="138">
      <formula>B528&gt;15</formula>
    </cfRule>
  </conditionalFormatting>
  <conditionalFormatting sqref="B571 D571 F571 H571 J571 L571 N571">
    <cfRule type="expression" dxfId="134" priority="133">
      <formula>B564&lt;15</formula>
    </cfRule>
  </conditionalFormatting>
  <conditionalFormatting sqref="B566 D566 F566 H566 J566 L566 N566">
    <cfRule type="expression" dxfId="133" priority="123">
      <formula>B564&lt;15</formula>
    </cfRule>
  </conditionalFormatting>
  <conditionalFormatting sqref="B564:O564">
    <cfRule type="expression" dxfId="132" priority="120">
      <formula>B564&lt;15</formula>
    </cfRule>
  </conditionalFormatting>
  <conditionalFormatting sqref="C566 E566 G566 I566 K566 M566 O566">
    <cfRule type="expression" dxfId="131" priority="124">
      <formula>B564&lt;15</formula>
    </cfRule>
  </conditionalFormatting>
  <conditionalFormatting sqref="C571 E571 G571 I571 K571 M571 O571">
    <cfRule type="expression" dxfId="130" priority="134">
      <formula>B564&lt;15</formula>
    </cfRule>
  </conditionalFormatting>
  <conditionalFormatting sqref="P571">
    <cfRule type="expression" dxfId="129" priority="135">
      <formula>N564&lt;15</formula>
    </cfRule>
  </conditionalFormatting>
  <conditionalFormatting sqref="B567 D567 F567 H567 J567 L567 N567">
    <cfRule type="expression" dxfId="128" priority="125">
      <formula>B564&lt;15</formula>
    </cfRule>
  </conditionalFormatting>
  <conditionalFormatting sqref="C567 E567 G567 I567 K567 M567 O567">
    <cfRule type="expression" dxfId="127" priority="126">
      <formula>B564&lt;15</formula>
    </cfRule>
  </conditionalFormatting>
  <conditionalFormatting sqref="B568 D568 F568 H568 J568 L568 N568">
    <cfRule type="expression" dxfId="126" priority="127">
      <formula>B564&lt;15</formula>
    </cfRule>
  </conditionalFormatting>
  <conditionalFormatting sqref="C568 E568 G568 I568 K568 M568 O568">
    <cfRule type="expression" dxfId="125" priority="128">
      <formula>B564&lt;15</formula>
    </cfRule>
  </conditionalFormatting>
  <conditionalFormatting sqref="B569 D569 F569 H569 J569 L569 N569">
    <cfRule type="expression" dxfId="124" priority="129">
      <formula>B564&lt;15</formula>
    </cfRule>
  </conditionalFormatting>
  <conditionalFormatting sqref="C569 E569 G569 I569 K569 M569 O569">
    <cfRule type="expression" dxfId="123" priority="130">
      <formula>B564&lt;15</formula>
    </cfRule>
  </conditionalFormatting>
  <conditionalFormatting sqref="B570 D570 F570 H570 J570 L570 N570">
    <cfRule type="expression" dxfId="122" priority="131">
      <formula>B564&lt;15</formula>
    </cfRule>
  </conditionalFormatting>
  <conditionalFormatting sqref="C570 E570 G570 I570 K570 M570 O570">
    <cfRule type="expression" dxfId="121" priority="132">
      <formula>B569&lt;15</formula>
    </cfRule>
  </conditionalFormatting>
  <conditionalFormatting sqref="B565 D565 F565 H565 J565 L565 N565">
    <cfRule type="expression" dxfId="120" priority="121">
      <formula>B564&lt;15</formula>
    </cfRule>
  </conditionalFormatting>
  <conditionalFormatting sqref="C565 E565 G565 I565 K565 M565 O565">
    <cfRule type="expression" dxfId="119" priority="122">
      <formula>B564&lt;15</formula>
    </cfRule>
  </conditionalFormatting>
  <conditionalFormatting sqref="B580 D580 F580 H580 J580 L580 N580">
    <cfRule type="expression" dxfId="118" priority="117">
      <formula>B573&lt;15</formula>
    </cfRule>
  </conditionalFormatting>
  <conditionalFormatting sqref="B575 D575 F575 H575 J575 L575 N575">
    <cfRule type="expression" dxfId="117" priority="107">
      <formula>B573&lt;15</formula>
    </cfRule>
  </conditionalFormatting>
  <conditionalFormatting sqref="B573:O573">
    <cfRule type="expression" dxfId="116" priority="104">
      <formula>B573&lt;15</formula>
    </cfRule>
  </conditionalFormatting>
  <conditionalFormatting sqref="C575 E575 G575 I575 K575 M575 O575">
    <cfRule type="expression" dxfId="115" priority="108">
      <formula>B573&lt;15</formula>
    </cfRule>
  </conditionalFormatting>
  <conditionalFormatting sqref="C580 E580 G580 I580 K580 M580 O580">
    <cfRule type="expression" dxfId="114" priority="118">
      <formula>B573&lt;15</formula>
    </cfRule>
  </conditionalFormatting>
  <conditionalFormatting sqref="P580">
    <cfRule type="expression" dxfId="113" priority="119">
      <formula>N573&lt;15</formula>
    </cfRule>
  </conditionalFormatting>
  <conditionalFormatting sqref="B576 D576 F576 H576 J576 L576 N576">
    <cfRule type="expression" dxfId="112" priority="109">
      <formula>B573&lt;15</formula>
    </cfRule>
  </conditionalFormatting>
  <conditionalFormatting sqref="C576 E576 G576 I576 K576 M576 O576">
    <cfRule type="expression" dxfId="111" priority="110">
      <formula>B573&lt;15</formula>
    </cfRule>
  </conditionalFormatting>
  <conditionalFormatting sqref="B577 D577 F577 H577 J577 L577 N577">
    <cfRule type="expression" dxfId="110" priority="111">
      <formula>B573&lt;15</formula>
    </cfRule>
  </conditionalFormatting>
  <conditionalFormatting sqref="C577 E577 G577 I577 K577 M577 O577">
    <cfRule type="expression" dxfId="109" priority="112">
      <formula>B573&lt;15</formula>
    </cfRule>
  </conditionalFormatting>
  <conditionalFormatting sqref="B578 D578 F578 H578 J578 L578 N578">
    <cfRule type="expression" dxfId="108" priority="113">
      <formula>B573&lt;15</formula>
    </cfRule>
  </conditionalFormatting>
  <conditionalFormatting sqref="C578 E578 G578 I578 K578 M578 O578">
    <cfRule type="expression" dxfId="107" priority="114">
      <formula>B573&lt;15</formula>
    </cfRule>
  </conditionalFormatting>
  <conditionalFormatting sqref="B579 D579 F579 H579 J579 N579">
    <cfRule type="expression" dxfId="106" priority="115">
      <formula>B573&lt;15</formula>
    </cfRule>
  </conditionalFormatting>
  <conditionalFormatting sqref="C579 E579 G579 I579 K579 M579 O579">
    <cfRule type="expression" dxfId="105" priority="116">
      <formula>B578&lt;15</formula>
    </cfRule>
  </conditionalFormatting>
  <conditionalFormatting sqref="B574 D574 F574 H574 J574 L574 N574">
    <cfRule type="expression" dxfId="104" priority="105">
      <formula>B573&lt;15</formula>
    </cfRule>
  </conditionalFormatting>
  <conditionalFormatting sqref="C574 E574 G574 I574 K574 M574 O574">
    <cfRule type="expression" dxfId="103" priority="106">
      <formula>B573&lt;15</formula>
    </cfRule>
  </conditionalFormatting>
  <conditionalFormatting sqref="B593 D593 F593 H593 J593 L593 N593">
    <cfRule type="expression" dxfId="102" priority="101">
      <formula>B586&gt;15</formula>
    </cfRule>
  </conditionalFormatting>
  <conditionalFormatting sqref="B588 D588 F588 H588 J588 L588 N588">
    <cfRule type="expression" dxfId="101" priority="91">
      <formula>B586&gt;15</formula>
    </cfRule>
  </conditionalFormatting>
  <conditionalFormatting sqref="B586:O586">
    <cfRule type="expression" dxfId="100" priority="88">
      <formula>B586&gt;15</formula>
    </cfRule>
  </conditionalFormatting>
  <conditionalFormatting sqref="C588 E588 G588 I588 K588 M588 O588">
    <cfRule type="expression" dxfId="99" priority="92">
      <formula>B586&gt;15</formula>
    </cfRule>
  </conditionalFormatting>
  <conditionalFormatting sqref="C593 E593 G593 I593 K593 M593 O593">
    <cfRule type="expression" dxfId="98" priority="102">
      <formula>B586&gt;15</formula>
    </cfRule>
  </conditionalFormatting>
  <conditionalFormatting sqref="P593">
    <cfRule type="expression" dxfId="97" priority="103">
      <formula>N586&gt;15</formula>
    </cfRule>
  </conditionalFormatting>
  <conditionalFormatting sqref="B589 D589 F589 H589 J589 L589 N589">
    <cfRule type="expression" dxfId="96" priority="93">
      <formula>B586&gt;15</formula>
    </cfRule>
  </conditionalFormatting>
  <conditionalFormatting sqref="C589 E589 G589 I589 K589 M589 O589">
    <cfRule type="expression" dxfId="95" priority="94">
      <formula>B586&gt;15</formula>
    </cfRule>
  </conditionalFormatting>
  <conditionalFormatting sqref="B590 D590 F590 H590 J590 L590 N590">
    <cfRule type="expression" dxfId="94" priority="95">
      <formula>B586&gt;15</formula>
    </cfRule>
  </conditionalFormatting>
  <conditionalFormatting sqref="C590 E590 G590 I590 K590 M590 O590">
    <cfRule type="expression" dxfId="93" priority="96">
      <formula>B586&gt;15</formula>
    </cfRule>
  </conditionalFormatting>
  <conditionalFormatting sqref="B591 D591 F591 H591 J591 L591 N591">
    <cfRule type="expression" dxfId="92" priority="97">
      <formula>B586&gt;15</formula>
    </cfRule>
  </conditionalFormatting>
  <conditionalFormatting sqref="C591 E591 G591 I591 K591 M591 O591">
    <cfRule type="expression" dxfId="91" priority="98">
      <formula>B586&gt;15</formula>
    </cfRule>
  </conditionalFormatting>
  <conditionalFormatting sqref="B592 D592 F592 H592 J592 L592 N592">
    <cfRule type="expression" dxfId="90" priority="99">
      <formula>B586&gt;15</formula>
    </cfRule>
  </conditionalFormatting>
  <conditionalFormatting sqref="C592 E592 G592 I592 K592 M592 O592">
    <cfRule type="expression" dxfId="89" priority="100">
      <formula>B591&gt;15</formula>
    </cfRule>
  </conditionalFormatting>
  <conditionalFormatting sqref="B587 D587 F587 H587 J587 L587 N587">
    <cfRule type="expression" dxfId="88" priority="89">
      <formula>B586&gt;15</formula>
    </cfRule>
  </conditionalFormatting>
  <conditionalFormatting sqref="C587 E587 G587 I587 K587 M587 O587">
    <cfRule type="expression" dxfId="87" priority="90">
      <formula>B586&gt;15</formula>
    </cfRule>
  </conditionalFormatting>
  <conditionalFormatting sqref="B629 D629 F629 H629 J629 L629 N629">
    <cfRule type="expression" dxfId="86" priority="85">
      <formula>B622&lt;15</formula>
    </cfRule>
  </conditionalFormatting>
  <conditionalFormatting sqref="B624 D624 F624 H624 J624 L624 N624">
    <cfRule type="expression" dxfId="85" priority="75">
      <formula>B622&lt;15</formula>
    </cfRule>
  </conditionalFormatting>
  <conditionalFormatting sqref="B622:O622">
    <cfRule type="expression" dxfId="84" priority="72">
      <formula>B622&lt;15</formula>
    </cfRule>
  </conditionalFormatting>
  <conditionalFormatting sqref="C624 E624 G624 I624 K624 M624 O624">
    <cfRule type="expression" dxfId="83" priority="76">
      <formula>B622&lt;15</formula>
    </cfRule>
  </conditionalFormatting>
  <conditionalFormatting sqref="C629 E629 G629 I629 K629 M629 O629">
    <cfRule type="expression" dxfId="82" priority="86">
      <formula>B622&lt;15</formula>
    </cfRule>
  </conditionalFormatting>
  <conditionalFormatting sqref="P629">
    <cfRule type="expression" dxfId="81" priority="87">
      <formula>N622&lt;15</formula>
    </cfRule>
  </conditionalFormatting>
  <conditionalFormatting sqref="B625 D625 F625 H625 J625 L625 N625">
    <cfRule type="expression" dxfId="80" priority="77">
      <formula>B622&lt;15</formula>
    </cfRule>
  </conditionalFormatting>
  <conditionalFormatting sqref="C625 E625 G625 I625 K625 M625 O625">
    <cfRule type="expression" dxfId="79" priority="78">
      <formula>B622&lt;15</formula>
    </cfRule>
  </conditionalFormatting>
  <conditionalFormatting sqref="B626 D626 F626 H626 J626 L626 N626">
    <cfRule type="expression" dxfId="78" priority="79">
      <formula>B622&lt;15</formula>
    </cfRule>
  </conditionalFormatting>
  <conditionalFormatting sqref="C626 E626 G626 I626 K626 M626 O626">
    <cfRule type="expression" dxfId="77" priority="80">
      <formula>B622&lt;15</formula>
    </cfRule>
  </conditionalFormatting>
  <conditionalFormatting sqref="B627 D627 F627 H627 J627 L627 N627">
    <cfRule type="expression" dxfId="76" priority="81">
      <formula>B622&lt;15</formula>
    </cfRule>
  </conditionalFormatting>
  <conditionalFormatting sqref="C627 E627 G627 I627 K627 M627 O627">
    <cfRule type="expression" dxfId="75" priority="82">
      <formula>B622&lt;15</formula>
    </cfRule>
  </conditionalFormatting>
  <conditionalFormatting sqref="B628 D628 F628 H628 J628 L628 N628">
    <cfRule type="expression" dxfId="74" priority="83">
      <formula>B622&lt;15</formula>
    </cfRule>
  </conditionalFormatting>
  <conditionalFormatting sqref="C628 E628 G628 I628 K628 M628 O628">
    <cfRule type="expression" dxfId="73" priority="84">
      <formula>B627&lt;15</formula>
    </cfRule>
  </conditionalFormatting>
  <conditionalFormatting sqref="B623 D623 F623 H623 J623 L623 N623">
    <cfRule type="expression" dxfId="72" priority="73">
      <formula>B622&lt;15</formula>
    </cfRule>
  </conditionalFormatting>
  <conditionalFormatting sqref="C623 E623 G623 I623 K623 M623 O623">
    <cfRule type="expression" dxfId="71" priority="74">
      <formula>B622&lt;15</formula>
    </cfRule>
  </conditionalFormatting>
  <conditionalFormatting sqref="B638 D638 F638 H638 J638 L638 N638">
    <cfRule type="expression" dxfId="70" priority="69">
      <formula>B631&lt;15</formula>
    </cfRule>
  </conditionalFormatting>
  <conditionalFormatting sqref="B633 D633 F633 H633 J633 L633 N633">
    <cfRule type="expression" dxfId="69" priority="59">
      <formula>B631&lt;15</formula>
    </cfRule>
  </conditionalFormatting>
  <conditionalFormatting sqref="B631:O631">
    <cfRule type="expression" dxfId="68" priority="56">
      <formula>B631&lt;15</formula>
    </cfRule>
  </conditionalFormatting>
  <conditionalFormatting sqref="C633 E633 G633 I633 K633 M633 O633">
    <cfRule type="expression" dxfId="67" priority="60">
      <formula>B631&lt;15</formula>
    </cfRule>
  </conditionalFormatting>
  <conditionalFormatting sqref="C638 E638 G638 I638 K638 M638 O638">
    <cfRule type="expression" dxfId="66" priority="70">
      <formula>B631&lt;15</formula>
    </cfRule>
  </conditionalFormatting>
  <conditionalFormatting sqref="P638">
    <cfRule type="expression" dxfId="65" priority="71">
      <formula>N631&lt;15</formula>
    </cfRule>
  </conditionalFormatting>
  <conditionalFormatting sqref="B634 D634 F634 H634 J634 L634 N634">
    <cfRule type="expression" dxfId="64" priority="61">
      <formula>B631&lt;15</formula>
    </cfRule>
  </conditionalFormatting>
  <conditionalFormatting sqref="C634 E634 G634 I634 K634 M634 O634">
    <cfRule type="expression" dxfId="63" priority="62">
      <formula>B631&lt;15</formula>
    </cfRule>
  </conditionalFormatting>
  <conditionalFormatting sqref="B635 D635 F635 H635 J635 L635 N635">
    <cfRule type="expression" dxfId="62" priority="63">
      <formula>B631&lt;15</formula>
    </cfRule>
  </conditionalFormatting>
  <conditionalFormatting sqref="C635 E635 G635 I635 K635 M635 O635">
    <cfRule type="expression" dxfId="61" priority="64">
      <formula>B631&lt;15</formula>
    </cfRule>
  </conditionalFormatting>
  <conditionalFormatting sqref="B636 D636 F636 H636 J636 L636 N636">
    <cfRule type="expression" dxfId="60" priority="65">
      <formula>B631&lt;15</formula>
    </cfRule>
  </conditionalFormatting>
  <conditionalFormatting sqref="C636 E636 G636 I636 K636 M636 O636">
    <cfRule type="expression" dxfId="59" priority="66">
      <formula>B631&lt;15</formula>
    </cfRule>
  </conditionalFormatting>
  <conditionalFormatting sqref="B637 D637 F637 H637 J637 L637 N637">
    <cfRule type="expression" dxfId="58" priority="67">
      <formula>B631&lt;15</formula>
    </cfRule>
  </conditionalFormatting>
  <conditionalFormatting sqref="C637 E637 G637 I637 K637 M637 O637">
    <cfRule type="expression" dxfId="57" priority="68">
      <formula>B636&lt;15</formula>
    </cfRule>
  </conditionalFormatting>
  <conditionalFormatting sqref="B632 D632 F632 H632 J632 L632 N632">
    <cfRule type="expression" dxfId="56" priority="57">
      <formula>B631&lt;15</formula>
    </cfRule>
  </conditionalFormatting>
  <conditionalFormatting sqref="C632 E632 G632 I632 K632 M632 O632">
    <cfRule type="expression" dxfId="55" priority="58">
      <formula>B631&lt;15</formula>
    </cfRule>
  </conditionalFormatting>
  <conditionalFormatting sqref="B651 D651 F651 H651 J651 L651 N651">
    <cfRule type="expression" dxfId="54" priority="53">
      <formula>B644&gt;15</formula>
    </cfRule>
  </conditionalFormatting>
  <conditionalFormatting sqref="B646 D646 F646 H646 J646 L646 N646">
    <cfRule type="expression" dxfId="53" priority="43">
      <formula>B644&gt;15</formula>
    </cfRule>
  </conditionalFormatting>
  <conditionalFormatting sqref="B644:O644">
    <cfRule type="expression" dxfId="52" priority="40">
      <formula>B644&gt;15</formula>
    </cfRule>
  </conditionalFormatting>
  <conditionalFormatting sqref="C646 E646 G646 I646 K646 M646 O646">
    <cfRule type="expression" dxfId="51" priority="44">
      <formula>B644&gt;15</formula>
    </cfRule>
  </conditionalFormatting>
  <conditionalFormatting sqref="C651 E651 G651 I651 K651 M651 O651">
    <cfRule type="expression" dxfId="50" priority="54">
      <formula>B644&gt;15</formula>
    </cfRule>
  </conditionalFormatting>
  <conditionalFormatting sqref="P651">
    <cfRule type="expression" dxfId="49" priority="55">
      <formula>N644&gt;15</formula>
    </cfRule>
  </conditionalFormatting>
  <conditionalFormatting sqref="B647 D647 F647 H647 J647 L647 N647">
    <cfRule type="expression" dxfId="48" priority="45">
      <formula>B644&gt;15</formula>
    </cfRule>
  </conditionalFormatting>
  <conditionalFormatting sqref="C647 E647 G647 I647 K647 M647 O647">
    <cfRule type="expression" dxfId="47" priority="46">
      <formula>B644&gt;15</formula>
    </cfRule>
  </conditionalFormatting>
  <conditionalFormatting sqref="B648 D648 F648 H648 J648 L648 N648">
    <cfRule type="expression" dxfId="46" priority="47">
      <formula>B644&gt;15</formula>
    </cfRule>
  </conditionalFormatting>
  <conditionalFormatting sqref="C648 E648 G648 I648 K648 M648 O648">
    <cfRule type="expression" dxfId="45" priority="48">
      <formula>B644&gt;15</formula>
    </cfRule>
  </conditionalFormatting>
  <conditionalFormatting sqref="B649 D649 F649 H649 J649 L649 N649">
    <cfRule type="expression" dxfId="44" priority="49">
      <formula>B644&gt;15</formula>
    </cfRule>
  </conditionalFormatting>
  <conditionalFormatting sqref="C649 E649 G649 I649 K649 M649 O649">
    <cfRule type="expression" dxfId="43" priority="50">
      <formula>B644&gt;15</formula>
    </cfRule>
  </conditionalFormatting>
  <conditionalFormatting sqref="B650 D650 F650 H650 J650 L650 N650">
    <cfRule type="expression" dxfId="42" priority="51">
      <formula>B644&gt;15</formula>
    </cfRule>
  </conditionalFormatting>
  <conditionalFormatting sqref="C650 E650 G650 I650 K650 M650 O650">
    <cfRule type="expression" dxfId="41" priority="52">
      <formula>B649&gt;15</formula>
    </cfRule>
  </conditionalFormatting>
  <conditionalFormatting sqref="B645 D645 F645 H645 J645 L645 N645">
    <cfRule type="expression" dxfId="40" priority="41">
      <formula>B644&gt;15</formula>
    </cfRule>
  </conditionalFormatting>
  <conditionalFormatting sqref="C645 E645 G645 I645 K645 M645 O645">
    <cfRule type="expression" dxfId="39" priority="42">
      <formula>B644&gt;15</formula>
    </cfRule>
  </conditionalFormatting>
  <conditionalFormatting sqref="B687 D687 F687 H687 J687 L687 N687">
    <cfRule type="expression" dxfId="38" priority="37">
      <formula>B680&lt;15</formula>
    </cfRule>
  </conditionalFormatting>
  <conditionalFormatting sqref="B682 D682 F682 H682 J682 L682 N682">
    <cfRule type="expression" dxfId="37" priority="27">
      <formula>B680&lt;15</formula>
    </cfRule>
  </conditionalFormatting>
  <conditionalFormatting sqref="B680:O680">
    <cfRule type="expression" dxfId="36" priority="24">
      <formula>B680&lt;15</formula>
    </cfRule>
  </conditionalFormatting>
  <conditionalFormatting sqref="C682 E682 G682 I682 K682 M682 O682">
    <cfRule type="expression" dxfId="35" priority="28">
      <formula>B680&lt;15</formula>
    </cfRule>
  </conditionalFormatting>
  <conditionalFormatting sqref="C687 E687 G687 I687 K687 M687 O687">
    <cfRule type="expression" dxfId="34" priority="38">
      <formula>B680&lt;15</formula>
    </cfRule>
  </conditionalFormatting>
  <conditionalFormatting sqref="P687">
    <cfRule type="expression" dxfId="33" priority="39">
      <formula>N680&lt;15</formula>
    </cfRule>
  </conditionalFormatting>
  <conditionalFormatting sqref="B683 D683 F683 H683 J683 L683 N683">
    <cfRule type="expression" dxfId="32" priority="29">
      <formula>B680&lt;15</formula>
    </cfRule>
  </conditionalFormatting>
  <conditionalFormatting sqref="C683 E683 G683 I683 K683 M683 O683">
    <cfRule type="expression" dxfId="31" priority="30">
      <formula>B680&lt;15</formula>
    </cfRule>
  </conditionalFormatting>
  <conditionalFormatting sqref="B684 D684 F684 H684 J684 L684 N684">
    <cfRule type="expression" dxfId="30" priority="31">
      <formula>B680&lt;15</formula>
    </cfRule>
  </conditionalFormatting>
  <conditionalFormatting sqref="C684 E684 G684 I684 K684 M684 O684">
    <cfRule type="expression" dxfId="29" priority="32">
      <formula>B680&lt;15</formula>
    </cfRule>
  </conditionalFormatting>
  <conditionalFormatting sqref="B685 D685 F685 H685 J685 L685 N685">
    <cfRule type="expression" dxfId="28" priority="33">
      <formula>B680&lt;15</formula>
    </cfRule>
  </conditionalFormatting>
  <conditionalFormatting sqref="C685 E685 G685 I685 K685 M685 O685">
    <cfRule type="expression" dxfId="27" priority="34">
      <formula>B680&lt;15</formula>
    </cfRule>
  </conditionalFormatting>
  <conditionalFormatting sqref="B686 D686 F686 H686 J686 L686 N686">
    <cfRule type="expression" dxfId="26" priority="35">
      <formula>B680&lt;15</formula>
    </cfRule>
  </conditionalFormatting>
  <conditionalFormatting sqref="C686 E686 G686 I686 K686 M686 O686">
    <cfRule type="expression" dxfId="25" priority="36">
      <formula>B685&lt;15</formula>
    </cfRule>
  </conditionalFormatting>
  <conditionalFormatting sqref="B681 D681 F681 H681 J681 L681 N681">
    <cfRule type="expression" dxfId="24" priority="25">
      <formula>B680&lt;15</formula>
    </cfRule>
  </conditionalFormatting>
  <conditionalFormatting sqref="C681 E681 G681 I681 K681 M681 O681">
    <cfRule type="expression" dxfId="23" priority="26">
      <formula>B680&lt;15</formula>
    </cfRule>
  </conditionalFormatting>
  <conditionalFormatting sqref="B696 D696 F696 H696 J696 L696 N696">
    <cfRule type="expression" dxfId="22" priority="21">
      <formula>B689&lt;15</formula>
    </cfRule>
  </conditionalFormatting>
  <conditionalFormatting sqref="B691 D691 F691 H691 J691 L691 N691">
    <cfRule type="expression" dxfId="21" priority="11">
      <formula>B689&lt;15</formula>
    </cfRule>
  </conditionalFormatting>
  <conditionalFormatting sqref="B689:O689">
    <cfRule type="expression" dxfId="20" priority="8">
      <formula>B689&lt;15</formula>
    </cfRule>
  </conditionalFormatting>
  <conditionalFormatting sqref="C691 E691 G691 I691 K691 M691 O691">
    <cfRule type="expression" dxfId="19" priority="12">
      <formula>B689&lt;15</formula>
    </cfRule>
  </conditionalFormatting>
  <conditionalFormatting sqref="C696 E696 G696 I696 K696 M696 O696">
    <cfRule type="expression" dxfId="18" priority="22">
      <formula>B689&lt;15</formula>
    </cfRule>
  </conditionalFormatting>
  <conditionalFormatting sqref="P696">
    <cfRule type="expression" dxfId="17" priority="23">
      <formula>N689&lt;15</formula>
    </cfRule>
  </conditionalFormatting>
  <conditionalFormatting sqref="B692 D692 F692 H692 J692 L692 N692">
    <cfRule type="expression" dxfId="16" priority="13">
      <formula>B689&lt;15</formula>
    </cfRule>
  </conditionalFormatting>
  <conditionalFormatting sqref="C692 E692 G692 I692 K692 M692 O692">
    <cfRule type="expression" dxfId="15" priority="14">
      <formula>B689&lt;15</formula>
    </cfRule>
  </conditionalFormatting>
  <conditionalFormatting sqref="B693 D693 F693 H693 J693 L693 N693">
    <cfRule type="expression" dxfId="14" priority="15">
      <formula>B689&lt;15</formula>
    </cfRule>
  </conditionalFormatting>
  <conditionalFormatting sqref="C693 E693 G693 I693 K693 M693 O693">
    <cfRule type="expression" dxfId="13" priority="16">
      <formula>B689&lt;15</formula>
    </cfRule>
  </conditionalFormatting>
  <conditionalFormatting sqref="B694 D694 F694 H694 J694 L694 N694">
    <cfRule type="expression" dxfId="12" priority="17">
      <formula>B689&lt;15</formula>
    </cfRule>
  </conditionalFormatting>
  <conditionalFormatting sqref="C694 E694 G694 I694 K694 M694 O694">
    <cfRule type="expression" dxfId="11" priority="18">
      <formula>B689&lt;15</formula>
    </cfRule>
  </conditionalFormatting>
  <conditionalFormatting sqref="B695 D695 F695 H695 J695 L695 N695">
    <cfRule type="expression" dxfId="10" priority="19">
      <formula>B689&lt;15</formula>
    </cfRule>
  </conditionalFormatting>
  <conditionalFormatting sqref="C695 E695 G695 I695 K695 M695 O695">
    <cfRule type="expression" dxfId="9" priority="20">
      <formula>B694&lt;15</formula>
    </cfRule>
  </conditionalFormatting>
  <conditionalFormatting sqref="B690 D690 F690 H690 J690 L690 N690">
    <cfRule type="expression" dxfId="8" priority="9">
      <formula>B689&lt;15</formula>
    </cfRule>
  </conditionalFormatting>
  <conditionalFormatting sqref="C690 E690 G690 I690 K690 M690 O690">
    <cfRule type="expression" dxfId="7" priority="10">
      <formula>B689&lt;15</formula>
    </cfRule>
  </conditionalFormatting>
  <conditionalFormatting sqref="L579">
    <cfRule type="expression" dxfId="6" priority="7">
      <formula>L574&lt;15</formula>
    </cfRule>
  </conditionalFormatting>
  <conditionalFormatting sqref="J8">
    <cfRule type="expression" dxfId="5" priority="3">
      <formula>J6&gt;15</formula>
    </cfRule>
  </conditionalFormatting>
  <conditionalFormatting sqref="K8">
    <cfRule type="expression" dxfId="4" priority="4">
      <formula>J6&gt;15</formula>
    </cfRule>
  </conditionalFormatting>
  <conditionalFormatting sqref="J9">
    <cfRule type="expression" dxfId="3" priority="5">
      <formula>J6&gt;15</formula>
    </cfRule>
  </conditionalFormatting>
  <conditionalFormatting sqref="K9">
    <cfRule type="expression" dxfId="2" priority="6">
      <formula>J6&gt;15</formula>
    </cfRule>
  </conditionalFormatting>
  <conditionalFormatting sqref="H8">
    <cfRule type="expression" dxfId="1" priority="1">
      <formula>H6&gt;15</formula>
    </cfRule>
  </conditionalFormatting>
  <conditionalFormatting sqref="I8">
    <cfRule type="expression" dxfId="0" priority="2">
      <formula>H6&gt;15</formula>
    </cfRule>
  </conditionalFormatting>
  <printOptions horizontalCentered="1" verticalCentered="1"/>
  <pageMargins left="0.5" right="0.5" top="0.7" bottom="0.75" header="0.3" footer="0.3"/>
  <pageSetup paperSize="9" scale="78" fitToHeight="12" orientation="landscape" r:id="rId1"/>
  <rowBreaks count="12" manualBreakCount="12">
    <brk id="57" min="1" max="15" man="1"/>
    <brk id="58" min="1" max="15" man="1"/>
    <brk id="116" min="1" max="15" man="1"/>
    <brk id="174" min="1" max="15" man="1"/>
    <brk id="232" min="1" max="15" man="1"/>
    <brk id="290" min="1" max="15" man="1"/>
    <brk id="348" min="1" max="15" man="1"/>
    <brk id="406" min="1" max="15" man="1"/>
    <brk id="464" min="1" max="15" man="1"/>
    <brk id="522" min="1" max="15" man="1"/>
    <brk id="580" min="1" max="15" man="1"/>
    <brk id="638" min="1" max="15" man="1"/>
  </rowBreaks>
  <ignoredErrors>
    <ignoredError sqref="N3" emptyCellReference="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Début</vt:lpstr>
      <vt:lpstr>Calendrier des dépenses</vt:lpstr>
      <vt:lpstr>'Calendrier des dépenses'!Month1</vt:lpstr>
      <vt:lpstr>StartMonth</vt:lpstr>
      <vt:lpstr>'Calendrier des dépenses'!Zone_d_impression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terms:created xsi:type="dcterms:W3CDTF">2018-06-25T05:33:20Z</dcterms:created>
  <dcterms:modified xsi:type="dcterms:W3CDTF">2019-11-13T10:21:41Z</dcterms:modified>
  <cp:version/>
</cp:coreProperties>
</file>

<file path=docProps/custom.xml><?xml version="1.0" encoding="utf-8"?>
<Properties xmlns="http://schemas.openxmlformats.org/officeDocument/2006/custom-properties" xmlns:vt="http://schemas.openxmlformats.org/officeDocument/2006/docPropsVTypes"/>
</file>