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template.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autoCompressPictures="0"/>
  <mc:AlternateContent xmlns:mc="http://schemas.openxmlformats.org/markup-compatibility/2006">
    <mc:Choice Requires="x15">
      <x15ac:absPath xmlns:x15ac="http://schemas.microsoft.com/office/spreadsheetml/2010/11/ac" url="C:\Users\zalu\Desktop\MA_B6_fr-CA\fr-CA\target\"/>
    </mc:Choice>
  </mc:AlternateContent>
  <xr:revisionPtr revIDLastSave="0" documentId="13_ncr:1_{B47D9EBF-231F-4093-BBA0-0D8D80E55C3B}" xr6:coauthVersionLast="31" xr6:coauthVersionMax="31" xr10:uidLastSave="{00000000-0000-0000-0000-000000000000}"/>
  <bookViews>
    <workbookView xWindow="0" yWindow="0" windowWidth="20730" windowHeight="11760" xr2:uid="{00000000-000D-0000-FFFF-FFFF00000000}"/>
  </bookViews>
  <sheets>
    <sheet name="Calendrier familial par saisons" sheetId="6" r:id="rId1"/>
  </sheets>
  <definedNames>
    <definedName name="AnnéeCalendrier">'Calendrier familial par saisons'!$L$2</definedName>
    <definedName name="DimAoû1">DATE(AnnéeCalendrier,8,1)-WEEKDAY(DATE(AnnéeCalendrier,8,1))</definedName>
    <definedName name="DimAvr1">DATE(AnnéeCalendrier,4,1)-WEEKDAY(DATE(AnnéeCalendrier,4,1))</definedName>
    <definedName name="DimDéc1">DATE(AnnéeCalendrier,12,1)-WEEKDAY(DATE(AnnéeCalendrier,12,1))</definedName>
    <definedName name="DimFév1">DATE(AnnéeCalendrier,2,1)-WEEKDAY(DATE(AnnéeCalendrier,2,1))</definedName>
    <definedName name="DimJan1">DATE(AnnéeCalendrier,1,1)-WEEKDAY(DATE(AnnéeCalendrier,1,1))</definedName>
    <definedName name="DimJul1">DATE(AnnéeCalendrier,7,1)-WEEKDAY(DATE(AnnéeCalendrier,7,1))</definedName>
    <definedName name="DimJun1">DATE(AnnéeCalendrier,6,1)-WEEKDAY(DATE(AnnéeCalendrier,6,1))</definedName>
    <definedName name="DimMai1">DATE(AnnéeCalendrier,5,1)-WEEKDAY(DATE(AnnéeCalendrier,5,1))</definedName>
    <definedName name="DimMar1">DATE(AnnéeCalendrier,3,1)-WEEKDAY(DATE(AnnéeCalendrier,3,1))</definedName>
    <definedName name="DimNov1">DATE(AnnéeCalendrier,11,1)-WEEKDAY(DATE(AnnéeCalendrier,11,1))</definedName>
    <definedName name="DimOct1">DATE(AnnéeCalendrier,10,1)-WEEKDAY(DATE(AnnéeCalendrier,10,1))</definedName>
    <definedName name="DimSep1">DATE(AnnéeCalendrier,9,1)-WEEKDAY(DATE(AnnéeCalendrier,9,1))</definedName>
    <definedName name="_xlnm.Print_Area" localSheetId="0">'Calendrier familial par saisons'!$A$1:$Q$432</definedName>
  </definedNames>
  <calcPr calcId="179017"/>
  <extLst>
    <ext xmlns:mx="http://schemas.microsoft.com/office/mac/excel/2008/main" uri="{7523E5D3-25F3-A5E0-1632-64F254C22452}">
      <mx:ArchID Flags="2"/>
    </ext>
  </extLst>
</workbook>
</file>

<file path=xl/calcChain.xml><?xml version="1.0" encoding="utf-8"?>
<calcChain xmlns="http://schemas.openxmlformats.org/spreadsheetml/2006/main">
  <c r="L2" i="6" l="1"/>
  <c r="O430" i="6" l="1"/>
  <c r="M430" i="6"/>
  <c r="E430" i="6"/>
  <c r="K427" i="6"/>
  <c r="C427" i="6"/>
  <c r="I424" i="6"/>
  <c r="O421" i="6"/>
  <c r="G421" i="6"/>
  <c r="M418" i="6"/>
  <c r="E418" i="6"/>
  <c r="K415" i="6"/>
  <c r="C415" i="6"/>
  <c r="K430" i="6"/>
  <c r="C430" i="6"/>
  <c r="I427" i="6"/>
  <c r="O424" i="6"/>
  <c r="G424" i="6"/>
  <c r="M421" i="6"/>
  <c r="E421" i="6"/>
  <c r="K418" i="6"/>
  <c r="C418" i="6"/>
  <c r="I415" i="6"/>
  <c r="I430" i="6"/>
  <c r="O427" i="6"/>
  <c r="G427" i="6"/>
  <c r="M424" i="6"/>
  <c r="E424" i="6"/>
  <c r="K421" i="6"/>
  <c r="C421" i="6"/>
  <c r="I418" i="6"/>
  <c r="O415" i="6"/>
  <c r="G415" i="6"/>
  <c r="G430" i="6"/>
  <c r="M427" i="6"/>
  <c r="E427" i="6"/>
  <c r="K424" i="6"/>
  <c r="C424" i="6"/>
  <c r="I421" i="6"/>
  <c r="O418" i="6"/>
  <c r="G418" i="6"/>
  <c r="M415" i="6"/>
  <c r="E415" i="6"/>
  <c r="M394" i="6"/>
  <c r="E394" i="6"/>
  <c r="K391" i="6"/>
  <c r="C391" i="6"/>
  <c r="I388" i="6"/>
  <c r="O385" i="6"/>
  <c r="G385" i="6"/>
  <c r="M382" i="6"/>
  <c r="E382" i="6"/>
  <c r="K379" i="6"/>
  <c r="C379" i="6"/>
  <c r="O391" i="6"/>
  <c r="E388" i="6"/>
  <c r="C385" i="6"/>
  <c r="O379" i="6"/>
  <c r="G394" i="6"/>
  <c r="M391" i="6"/>
  <c r="K388" i="6"/>
  <c r="I385" i="6"/>
  <c r="G382" i="6"/>
  <c r="E379" i="6"/>
  <c r="K394" i="6"/>
  <c r="C394" i="6"/>
  <c r="I391" i="6"/>
  <c r="O388" i="6"/>
  <c r="G388" i="6"/>
  <c r="M385" i="6"/>
  <c r="E385" i="6"/>
  <c r="K382" i="6"/>
  <c r="C382" i="6"/>
  <c r="I379" i="6"/>
  <c r="I394" i="6"/>
  <c r="G391" i="6"/>
  <c r="M388" i="6"/>
  <c r="K385" i="6"/>
  <c r="I382" i="6"/>
  <c r="G379" i="6"/>
  <c r="O394" i="6"/>
  <c r="E391" i="6"/>
  <c r="C388" i="6"/>
  <c r="O382" i="6"/>
  <c r="M379" i="6"/>
  <c r="M358" i="6"/>
  <c r="E358" i="6"/>
  <c r="K355" i="6"/>
  <c r="C355" i="6"/>
  <c r="I352" i="6"/>
  <c r="O349" i="6"/>
  <c r="G349" i="6"/>
  <c r="M346" i="6"/>
  <c r="E346" i="6"/>
  <c r="K343" i="6"/>
  <c r="C343" i="6"/>
  <c r="K358" i="6"/>
  <c r="C358" i="6"/>
  <c r="I355" i="6"/>
  <c r="O352" i="6"/>
  <c r="G352" i="6"/>
  <c r="M349" i="6"/>
  <c r="E349" i="6"/>
  <c r="K346" i="6"/>
  <c r="C346" i="6"/>
  <c r="I343" i="6"/>
  <c r="I358" i="6"/>
  <c r="O355" i="6"/>
  <c r="G355" i="6"/>
  <c r="M352" i="6"/>
  <c r="E352" i="6"/>
  <c r="K349" i="6"/>
  <c r="C349" i="6"/>
  <c r="I346" i="6"/>
  <c r="O343" i="6"/>
  <c r="G343" i="6"/>
  <c r="O358" i="6"/>
  <c r="G358" i="6"/>
  <c r="M355" i="6"/>
  <c r="E355" i="6"/>
  <c r="K352" i="6"/>
  <c r="C352" i="6"/>
  <c r="I349" i="6"/>
  <c r="O346" i="6"/>
  <c r="G346" i="6"/>
  <c r="M343" i="6"/>
  <c r="E343" i="6"/>
  <c r="O322" i="6"/>
  <c r="G322" i="6"/>
  <c r="M319" i="6"/>
  <c r="E319" i="6"/>
  <c r="K316" i="6"/>
  <c r="C316" i="6"/>
  <c r="I313" i="6"/>
  <c r="O310" i="6"/>
  <c r="G310" i="6"/>
  <c r="M307" i="6"/>
  <c r="E307" i="6"/>
  <c r="M322" i="6"/>
  <c r="E322" i="6"/>
  <c r="K319" i="6"/>
  <c r="C319" i="6"/>
  <c r="I316" i="6"/>
  <c r="O313" i="6"/>
  <c r="G313" i="6"/>
  <c r="M310" i="6"/>
  <c r="E310" i="6"/>
  <c r="K307" i="6"/>
  <c r="C307" i="6"/>
  <c r="K322" i="6"/>
  <c r="C322" i="6"/>
  <c r="I319" i="6"/>
  <c r="O316" i="6"/>
  <c r="G316" i="6"/>
  <c r="M313" i="6"/>
  <c r="E313" i="6"/>
  <c r="K310" i="6"/>
  <c r="C310" i="6"/>
  <c r="I307" i="6"/>
  <c r="I322" i="6"/>
  <c r="O319" i="6"/>
  <c r="G319" i="6"/>
  <c r="M316" i="6"/>
  <c r="E316" i="6"/>
  <c r="K313" i="6"/>
  <c r="C313" i="6"/>
  <c r="I310" i="6"/>
  <c r="O307" i="6"/>
  <c r="G307" i="6"/>
  <c r="O286" i="6"/>
  <c r="G286" i="6"/>
  <c r="M283" i="6"/>
  <c r="E283" i="6"/>
  <c r="K280" i="6"/>
  <c r="C280" i="6"/>
  <c r="I277" i="6"/>
  <c r="O274" i="6"/>
  <c r="G274" i="6"/>
  <c r="M271" i="6"/>
  <c r="E271" i="6"/>
  <c r="C283" i="6"/>
  <c r="O277" i="6"/>
  <c r="G277" i="6"/>
  <c r="E274" i="6"/>
  <c r="C271" i="6"/>
  <c r="C286" i="6"/>
  <c r="O280" i="6"/>
  <c r="M277" i="6"/>
  <c r="K274" i="6"/>
  <c r="I271" i="6"/>
  <c r="O283" i="6"/>
  <c r="G283" i="6"/>
  <c r="E280" i="6"/>
  <c r="C277" i="6"/>
  <c r="O271" i="6"/>
  <c r="M286" i="6"/>
  <c r="E286" i="6"/>
  <c r="K283" i="6"/>
  <c r="I280" i="6"/>
  <c r="M274" i="6"/>
  <c r="K271" i="6"/>
  <c r="K286" i="6"/>
  <c r="I283" i="6"/>
  <c r="G280" i="6"/>
  <c r="E277" i="6"/>
  <c r="C274" i="6"/>
  <c r="I286" i="6"/>
  <c r="M280" i="6"/>
  <c r="K277" i="6"/>
  <c r="I274" i="6"/>
  <c r="G271" i="6"/>
  <c r="O250" i="6"/>
  <c r="G250" i="6"/>
  <c r="M247" i="6"/>
  <c r="E247" i="6"/>
  <c r="K244" i="6"/>
  <c r="C244" i="6"/>
  <c r="I241" i="6"/>
  <c r="O238" i="6"/>
  <c r="G238" i="6"/>
  <c r="M235" i="6"/>
  <c r="E235" i="6"/>
  <c r="M238" i="6"/>
  <c r="C235" i="6"/>
  <c r="K241" i="6"/>
  <c r="G235" i="6"/>
  <c r="M250" i="6"/>
  <c r="E250" i="6"/>
  <c r="K247" i="6"/>
  <c r="C247" i="6"/>
  <c r="I244" i="6"/>
  <c r="O241" i="6"/>
  <c r="G241" i="6"/>
  <c r="E238" i="6"/>
  <c r="K235" i="6"/>
  <c r="C241" i="6"/>
  <c r="K250" i="6"/>
  <c r="C250" i="6"/>
  <c r="I247" i="6"/>
  <c r="O244" i="6"/>
  <c r="G244" i="6"/>
  <c r="M241" i="6"/>
  <c r="E241" i="6"/>
  <c r="K238" i="6"/>
  <c r="C238" i="6"/>
  <c r="I235" i="6"/>
  <c r="I250" i="6"/>
  <c r="O247" i="6"/>
  <c r="G247" i="6"/>
  <c r="M244" i="6"/>
  <c r="E244" i="6"/>
  <c r="I238" i="6"/>
  <c r="O235" i="6"/>
  <c r="O214" i="6"/>
  <c r="G214" i="6"/>
  <c r="M211" i="6"/>
  <c r="E211" i="6"/>
  <c r="K208" i="6"/>
  <c r="C208" i="6"/>
  <c r="I205" i="6"/>
  <c r="O202" i="6"/>
  <c r="G202" i="6"/>
  <c r="M199" i="6"/>
  <c r="E199" i="6"/>
  <c r="E214" i="6"/>
  <c r="C211" i="6"/>
  <c r="O205" i="6"/>
  <c r="M202" i="6"/>
  <c r="K199" i="6"/>
  <c r="M214" i="6"/>
  <c r="K211" i="6"/>
  <c r="I208" i="6"/>
  <c r="G205" i="6"/>
  <c r="E202" i="6"/>
  <c r="K214" i="6"/>
  <c r="C214" i="6"/>
  <c r="I211" i="6"/>
  <c r="O208" i="6"/>
  <c r="G208" i="6"/>
  <c r="M205" i="6"/>
  <c r="E205" i="6"/>
  <c r="K202" i="6"/>
  <c r="C202" i="6"/>
  <c r="I199" i="6"/>
  <c r="I214" i="6"/>
  <c r="O211" i="6"/>
  <c r="G211" i="6"/>
  <c r="M208" i="6"/>
  <c r="E208" i="6"/>
  <c r="K205" i="6"/>
  <c r="C205" i="6"/>
  <c r="I202" i="6"/>
  <c r="O199" i="6"/>
  <c r="G199" i="6"/>
  <c r="C199" i="6"/>
  <c r="O178" i="6"/>
  <c r="G178" i="6"/>
  <c r="M175" i="6"/>
  <c r="E175" i="6"/>
  <c r="K172" i="6"/>
  <c r="C172" i="6"/>
  <c r="I169" i="6"/>
  <c r="O166" i="6"/>
  <c r="G166" i="6"/>
  <c r="M163" i="6"/>
  <c r="E163" i="6"/>
  <c r="M178" i="6"/>
  <c r="E178" i="6"/>
  <c r="K175" i="6"/>
  <c r="C175" i="6"/>
  <c r="I172" i="6"/>
  <c r="O169" i="6"/>
  <c r="G169" i="6"/>
  <c r="M166" i="6"/>
  <c r="E166" i="6"/>
  <c r="K163" i="6"/>
  <c r="C163" i="6"/>
  <c r="K178" i="6"/>
  <c r="C178" i="6"/>
  <c r="I175" i="6"/>
  <c r="O172" i="6"/>
  <c r="G172" i="6"/>
  <c r="M169" i="6"/>
  <c r="E169" i="6"/>
  <c r="K166" i="6"/>
  <c r="C166" i="6"/>
  <c r="I163" i="6"/>
  <c r="I178" i="6"/>
  <c r="O175" i="6"/>
  <c r="G175" i="6"/>
  <c r="M172" i="6"/>
  <c r="E172" i="6"/>
  <c r="K169" i="6"/>
  <c r="C169" i="6"/>
  <c r="I166" i="6"/>
  <c r="O163" i="6"/>
  <c r="G163" i="6"/>
  <c r="O142" i="6"/>
  <c r="G142" i="6"/>
  <c r="M139" i="6"/>
  <c r="E139" i="6"/>
  <c r="K136" i="6"/>
  <c r="C136" i="6"/>
  <c r="I133" i="6"/>
  <c r="O130" i="6"/>
  <c r="G130" i="6"/>
  <c r="M127" i="6"/>
  <c r="E127" i="6"/>
  <c r="M142" i="6"/>
  <c r="E142" i="6"/>
  <c r="K139" i="6"/>
  <c r="C139" i="6"/>
  <c r="I136" i="6"/>
  <c r="O133" i="6"/>
  <c r="G133" i="6"/>
  <c r="M130" i="6"/>
  <c r="E130" i="6"/>
  <c r="K127" i="6"/>
  <c r="C127" i="6"/>
  <c r="K142" i="6"/>
  <c r="C142" i="6"/>
  <c r="I139" i="6"/>
  <c r="O136" i="6"/>
  <c r="G136" i="6"/>
  <c r="M133" i="6"/>
  <c r="E133" i="6"/>
  <c r="K130" i="6"/>
  <c r="C130" i="6"/>
  <c r="I127" i="6"/>
  <c r="I142" i="6"/>
  <c r="O139" i="6"/>
  <c r="G139" i="6"/>
  <c r="M136" i="6"/>
  <c r="E136" i="6"/>
  <c r="K133" i="6"/>
  <c r="C133" i="6"/>
  <c r="I130" i="6"/>
  <c r="O127" i="6"/>
  <c r="G127" i="6"/>
  <c r="O106" i="6"/>
  <c r="G106" i="6"/>
  <c r="M103" i="6"/>
  <c r="E103" i="6"/>
  <c r="K100" i="6"/>
  <c r="C100" i="6"/>
  <c r="I97" i="6"/>
  <c r="O94" i="6"/>
  <c r="G94" i="6"/>
  <c r="M91" i="6"/>
  <c r="E91" i="6"/>
  <c r="M106" i="6"/>
  <c r="E106" i="6"/>
  <c r="K103" i="6"/>
  <c r="C103" i="6"/>
  <c r="I100" i="6"/>
  <c r="O97" i="6"/>
  <c r="G97" i="6"/>
  <c r="M94" i="6"/>
  <c r="E94" i="6"/>
  <c r="K91" i="6"/>
  <c r="C91" i="6"/>
  <c r="K106" i="6"/>
  <c r="C106" i="6"/>
  <c r="I103" i="6"/>
  <c r="O100" i="6"/>
  <c r="G100" i="6"/>
  <c r="M97" i="6"/>
  <c r="E97" i="6"/>
  <c r="K94" i="6"/>
  <c r="C94" i="6"/>
  <c r="I91" i="6"/>
  <c r="I106" i="6"/>
  <c r="O103" i="6"/>
  <c r="G103" i="6"/>
  <c r="M100" i="6"/>
  <c r="E100" i="6"/>
  <c r="K97" i="6"/>
  <c r="C97" i="6"/>
  <c r="I94" i="6"/>
  <c r="O91" i="6"/>
  <c r="G91" i="6"/>
  <c r="O70" i="6"/>
  <c r="G70" i="6"/>
  <c r="M67" i="6"/>
  <c r="E67" i="6"/>
  <c r="K64" i="6"/>
  <c r="C64" i="6"/>
  <c r="I61" i="6"/>
  <c r="O58" i="6"/>
  <c r="G58" i="6"/>
  <c r="M55" i="6"/>
  <c r="E55" i="6"/>
  <c r="E70" i="6"/>
  <c r="K67" i="6"/>
  <c r="C67" i="6"/>
  <c r="O61" i="6"/>
  <c r="G61" i="6"/>
  <c r="E58" i="6"/>
  <c r="C55" i="6"/>
  <c r="M64" i="6"/>
  <c r="I58" i="6"/>
  <c r="M70" i="6"/>
  <c r="I64" i="6"/>
  <c r="M58" i="6"/>
  <c r="K55" i="6"/>
  <c r="E64" i="6"/>
  <c r="C61" i="6"/>
  <c r="K70" i="6"/>
  <c r="C70" i="6"/>
  <c r="I67" i="6"/>
  <c r="O64" i="6"/>
  <c r="G64" i="6"/>
  <c r="M61" i="6"/>
  <c r="E61" i="6"/>
  <c r="K58" i="6"/>
  <c r="C58" i="6"/>
  <c r="I55" i="6"/>
  <c r="I70" i="6"/>
  <c r="O67" i="6"/>
  <c r="G67" i="6"/>
  <c r="K61" i="6"/>
  <c r="O55" i="6"/>
  <c r="G55" i="6"/>
  <c r="O34" i="6"/>
  <c r="G34" i="6"/>
  <c r="M31" i="6"/>
  <c r="E31" i="6"/>
  <c r="K28" i="6"/>
  <c r="C28" i="6"/>
  <c r="I25" i="6"/>
  <c r="O22" i="6"/>
  <c r="G22" i="6"/>
  <c r="M19" i="6"/>
  <c r="E19" i="6"/>
  <c r="M34" i="6"/>
  <c r="E34" i="6"/>
  <c r="K31" i="6"/>
  <c r="C31" i="6"/>
  <c r="I28" i="6"/>
  <c r="O25" i="6"/>
  <c r="G25" i="6"/>
  <c r="M22" i="6"/>
  <c r="E22" i="6"/>
  <c r="K19" i="6"/>
  <c r="C19" i="6"/>
  <c r="K34" i="6"/>
  <c r="C34" i="6"/>
  <c r="I31" i="6"/>
  <c r="O28" i="6"/>
  <c r="G28" i="6"/>
  <c r="M25" i="6"/>
  <c r="E25" i="6"/>
  <c r="K22" i="6"/>
  <c r="C22" i="6"/>
  <c r="I19" i="6"/>
  <c r="I34" i="6"/>
  <c r="O31" i="6"/>
  <c r="G31" i="6"/>
  <c r="M28" i="6"/>
  <c r="E28" i="6"/>
  <c r="K25" i="6"/>
  <c r="C25" i="6"/>
  <c r="I22" i="6"/>
  <c r="O19" i="6"/>
  <c r="G19" i="6"/>
  <c r="A398" i="6"/>
  <c r="A326" i="6"/>
  <c r="A254" i="6"/>
  <c r="A182" i="6"/>
  <c r="A110" i="6"/>
  <c r="A38" i="6"/>
  <c r="L362" i="6"/>
  <c r="L290" i="6"/>
  <c r="L218" i="6"/>
  <c r="L146" i="6"/>
  <c r="L74" i="6"/>
  <c r="A2" i="6"/>
  <c r="A362" i="6"/>
  <c r="A290" i="6"/>
  <c r="A218" i="6"/>
  <c r="A146" i="6"/>
  <c r="A74" i="6"/>
  <c r="L398" i="6"/>
  <c r="L326" i="6"/>
  <c r="L254" i="6"/>
  <c r="L182" i="6"/>
  <c r="L110" i="6"/>
  <c r="L38" i="6"/>
</calcChain>
</file>

<file path=xl/sharedStrings.xml><?xml version="1.0" encoding="utf-8"?>
<sst xmlns="http://schemas.openxmlformats.org/spreadsheetml/2006/main" count="96" uniqueCount="8">
  <si>
    <t>LUNDI</t>
  </si>
  <si>
    <t>MARDI</t>
  </si>
  <si>
    <t>MERCREDI</t>
  </si>
  <si>
    <t>JEUDI</t>
  </si>
  <si>
    <t>VENDREDI</t>
  </si>
  <si>
    <t>SAMEDI</t>
  </si>
  <si>
    <t>DIMANCHE</t>
  </si>
  <si>
    <t>Exemple de 
rendez-vous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</si>
</sst>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
    <numFmt numFmtId="165" formatCode="mmmm\ yyyy"/>
    <numFmt numFmtId="166" formatCode="mmmm"/>
  </numFmts>
  <fonts count="33"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11"/>
      <name val="Cambria"/>
      <family val="1"/>
      <scheme val="major"/>
    </font>
    <font>
      <sz val="40"/>
      <color theme="4"/>
      <name val="Cambria"/>
      <family val="1"/>
      <scheme val="major"/>
    </font>
    <font>
      <b/>
      <sz val="40"/>
      <color theme="4" tint="-0.249977111117893"/>
      <name val="Cambria"/>
      <family val="1"/>
      <scheme val="major"/>
    </font>
    <font>
      <sz val="40"/>
      <color theme="8"/>
      <name val="Cambria"/>
      <family val="1"/>
      <scheme val="major"/>
    </font>
    <font>
      <sz val="40"/>
      <color theme="4" tint="-0.249977111117893"/>
      <name val="Cambria"/>
      <family val="1"/>
      <scheme val="major"/>
    </font>
    <font>
      <sz val="22"/>
      <color theme="4"/>
      <name val="Cambria"/>
      <family val="1"/>
      <scheme val="major"/>
    </font>
    <font>
      <sz val="12"/>
      <color theme="1"/>
      <name val="Cambria"/>
      <family val="1"/>
      <scheme val="major"/>
    </font>
    <font>
      <b/>
      <sz val="12"/>
      <color theme="4" tint="-0.249977111117893"/>
      <name val="Cambria"/>
      <family val="1"/>
      <scheme val="major"/>
    </font>
    <font>
      <sz val="10"/>
      <color theme="4" tint="-0.249977111117893"/>
      <name val="Cambria"/>
      <family val="1"/>
      <scheme val="minor"/>
    </font>
    <font>
      <sz val="11"/>
      <color theme="0"/>
      <name val="Cambria"/>
      <family val="1"/>
      <scheme val="minor"/>
    </font>
    <font>
      <sz val="10"/>
      <name val="Cambria"/>
      <family val="1"/>
      <scheme val="major"/>
    </font>
    <font>
      <sz val="1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inor"/>
    </font>
    <font>
      <sz val="10"/>
      <color theme="5" tint="-0.249977111117893"/>
      <name val="Cambria"/>
      <family val="1"/>
      <scheme val="major"/>
    </font>
    <font>
      <sz val="40"/>
      <color theme="6"/>
      <name val="Cambria"/>
      <family val="1"/>
      <scheme val="major"/>
    </font>
    <font>
      <sz val="40"/>
      <color theme="6" tint="-0.249977111117893"/>
      <name val="Cambria"/>
      <family val="1"/>
      <scheme val="major"/>
    </font>
    <font>
      <b/>
      <sz val="12"/>
      <color theme="6" tint="-0.249977111117893"/>
      <name val="Cambria"/>
      <family val="1"/>
      <scheme val="major"/>
    </font>
    <font>
      <sz val="10"/>
      <color theme="6" tint="-0.249977111117893"/>
      <name val="Cambria"/>
      <family val="1"/>
      <scheme val="minor"/>
    </font>
    <font>
      <sz val="11"/>
      <name val="Cambria"/>
      <family val="1"/>
      <scheme val="minor"/>
    </font>
    <font>
      <sz val="40"/>
      <color theme="7"/>
      <name val="Cambria"/>
      <family val="1"/>
      <scheme val="major"/>
    </font>
    <font>
      <sz val="40"/>
      <color theme="7" tint="-0.249977111117893"/>
      <name val="Cambria"/>
      <family val="1"/>
      <scheme val="major"/>
    </font>
    <font>
      <b/>
      <sz val="12"/>
      <color theme="7" tint="-0.249977111117893"/>
      <name val="Cambria"/>
      <family val="1"/>
      <scheme val="major"/>
    </font>
    <font>
      <sz val="10"/>
      <color theme="7" tint="-0.249977111117893"/>
      <name val="Cambria"/>
      <family val="1"/>
      <scheme val="minor"/>
    </font>
    <font>
      <sz val="10"/>
      <color theme="7" tint="-0.249977111117893"/>
      <name val="Cambria"/>
      <family val="1"/>
      <scheme val="major"/>
    </font>
    <font>
      <sz val="11"/>
      <color theme="7" tint="-0.249977111117893"/>
      <name val="Cambria"/>
      <family val="1"/>
      <scheme val="major"/>
    </font>
  </fonts>
  <fills count="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77">
    <xf numFmtId="0" fontId="0" fillId="0" borderId="0" xfId="0"/>
    <xf numFmtId="0" fontId="5" fillId="0" borderId="0" xfId="1" applyFont="1"/>
    <xf numFmtId="165" fontId="7" fillId="0" borderId="0" xfId="1" applyNumberFormat="1" applyFont="1" applyBorder="1" applyAlignment="1">
      <alignment vertical="center"/>
    </xf>
    <xf numFmtId="165" fontId="8" fillId="0" borderId="0" xfId="1" applyNumberFormat="1" applyFont="1" applyBorder="1" applyAlignment="1">
      <alignment vertical="center"/>
    </xf>
    <xf numFmtId="0" fontId="10" fillId="0" borderId="0" xfId="0" applyFont="1"/>
    <xf numFmtId="165" fontId="6" fillId="0" borderId="0" xfId="1" applyNumberFormat="1" applyFont="1" applyBorder="1" applyAlignment="1">
      <alignment vertical="center"/>
    </xf>
    <xf numFmtId="165" fontId="9" fillId="0" borderId="0" xfId="1" applyNumberFormat="1" applyFont="1" applyBorder="1" applyAlignment="1">
      <alignment vertical="center"/>
    </xf>
    <xf numFmtId="0" fontId="11" fillId="0" borderId="0" xfId="0" applyFont="1"/>
    <xf numFmtId="0" fontId="5" fillId="0" borderId="0" xfId="1" applyFont="1" applyAlignment="1"/>
    <xf numFmtId="166" fontId="11" fillId="0" borderId="0" xfId="0" applyNumberFormat="1" applyFont="1"/>
    <xf numFmtId="0" fontId="11" fillId="0" borderId="0" xfId="0" applyFont="1" applyAlignment="1">
      <alignment horizontal="center"/>
    </xf>
    <xf numFmtId="0" fontId="13" fillId="0" borderId="2" xfId="1" applyFont="1" applyBorder="1" applyAlignment="1">
      <alignment horizontal="center"/>
    </xf>
    <xf numFmtId="164" fontId="14" fillId="4" borderId="4" xfId="1" applyNumberFormat="1" applyFont="1" applyFill="1" applyBorder="1" applyAlignment="1">
      <alignment horizontal="center" vertical="top" wrapText="1"/>
    </xf>
    <xf numFmtId="164" fontId="13" fillId="0" borderId="6" xfId="1" applyNumberFormat="1" applyFont="1" applyFill="1" applyBorder="1" applyAlignment="1">
      <alignment horizontal="center" vertical="top" wrapText="1"/>
    </xf>
    <xf numFmtId="0" fontId="5" fillId="0" borderId="0" xfId="1" applyFont="1" applyAlignment="1">
      <alignment horizontal="center"/>
    </xf>
    <xf numFmtId="0" fontId="15" fillId="0" borderId="0" xfId="1" applyFont="1" applyAlignment="1">
      <alignment horizontal="center"/>
    </xf>
    <xf numFmtId="0" fontId="15" fillId="0" borderId="0" xfId="1" applyFont="1"/>
    <xf numFmtId="164" fontId="13" fillId="0" borderId="2" xfId="1" applyNumberFormat="1" applyFont="1" applyFill="1" applyBorder="1" applyAlignment="1">
      <alignment horizontal="center" vertical="top" wrapText="1"/>
    </xf>
    <xf numFmtId="0" fontId="13" fillId="0" borderId="0" xfId="1" applyFont="1"/>
    <xf numFmtId="0" fontId="16" fillId="0" borderId="0" xfId="1" applyFont="1"/>
    <xf numFmtId="0" fontId="20" fillId="0" borderId="12" xfId="1" applyFont="1" applyBorder="1" applyAlignment="1">
      <alignment horizontal="center"/>
    </xf>
    <xf numFmtId="164" fontId="14" fillId="5" borderId="8" xfId="1" applyNumberFormat="1" applyFont="1" applyFill="1" applyBorder="1" applyAlignment="1">
      <alignment horizontal="center" vertical="top" wrapText="1"/>
    </xf>
    <xf numFmtId="164" fontId="20" fillId="0" borderId="11" xfId="1" applyNumberFormat="1" applyFont="1" applyFill="1" applyBorder="1" applyAlignment="1">
      <alignment horizontal="center" vertical="top" wrapText="1"/>
    </xf>
    <xf numFmtId="164" fontId="20" fillId="0" borderId="12" xfId="1" applyNumberFormat="1" applyFont="1" applyFill="1" applyBorder="1" applyAlignment="1">
      <alignment horizontal="center" vertical="top" wrapText="1"/>
    </xf>
    <xf numFmtId="0" fontId="21" fillId="0" borderId="0" xfId="1" applyFont="1"/>
    <xf numFmtId="0" fontId="25" fillId="0" borderId="16" xfId="1" applyFont="1" applyBorder="1" applyAlignment="1">
      <alignment horizontal="center"/>
    </xf>
    <xf numFmtId="164" fontId="14" fillId="6" borderId="15" xfId="1" applyNumberFormat="1" applyFont="1" applyFill="1" applyBorder="1" applyAlignment="1">
      <alignment horizontal="center" vertical="top" wrapText="1"/>
    </xf>
    <xf numFmtId="164" fontId="25" fillId="0" borderId="16" xfId="1" applyNumberFormat="1" applyFont="1" applyFill="1" applyBorder="1" applyAlignment="1">
      <alignment horizontal="center" vertical="top" wrapText="1"/>
    </xf>
    <xf numFmtId="0" fontId="25" fillId="0" borderId="0" xfId="1" applyFont="1"/>
    <xf numFmtId="0" fontId="26" fillId="0" borderId="0" xfId="1" applyFont="1"/>
    <xf numFmtId="165" fontId="7" fillId="0" borderId="0" xfId="1" applyNumberFormat="1" applyFont="1" applyBorder="1" applyAlignment="1">
      <alignment vertical="top"/>
    </xf>
    <xf numFmtId="165" fontId="8" fillId="0" borderId="0" xfId="1" applyNumberFormat="1" applyFont="1" applyBorder="1" applyAlignment="1">
      <alignment vertical="top"/>
    </xf>
    <xf numFmtId="0" fontId="5" fillId="0" borderId="0" xfId="1" applyFont="1" applyAlignment="1">
      <alignment vertical="top"/>
    </xf>
    <xf numFmtId="0" fontId="30" fillId="0" borderId="18" xfId="1" applyFont="1" applyBorder="1" applyAlignment="1">
      <alignment horizontal="center"/>
    </xf>
    <xf numFmtId="164" fontId="14" fillId="7" borderId="17" xfId="1" applyNumberFormat="1" applyFont="1" applyFill="1" applyBorder="1" applyAlignment="1">
      <alignment horizontal="center" vertical="top" wrapText="1"/>
    </xf>
    <xf numFmtId="164" fontId="30" fillId="0" borderId="18" xfId="1" applyNumberFormat="1" applyFont="1" applyFill="1" applyBorder="1" applyAlignment="1">
      <alignment horizontal="center" vertical="top" wrapText="1"/>
    </xf>
    <xf numFmtId="0" fontId="30" fillId="0" borderId="0" xfId="1" applyFont="1"/>
    <xf numFmtId="0" fontId="31" fillId="0" borderId="0" xfId="1" applyFont="1"/>
    <xf numFmtId="0" fontId="32" fillId="0" borderId="0" xfId="1" applyFont="1"/>
    <xf numFmtId="0" fontId="9" fillId="0" borderId="0" xfId="1" applyNumberFormat="1" applyFont="1" applyBorder="1" applyAlignment="1">
      <alignment vertical="top"/>
    </xf>
    <xf numFmtId="0" fontId="12" fillId="0" borderId="0" xfId="2" applyFont="1" applyFill="1" applyBorder="1" applyAlignment="1">
      <alignment horizontal="center"/>
    </xf>
    <xf numFmtId="0" fontId="13" fillId="0" borderId="3" xfId="1" applyFont="1" applyFill="1" applyBorder="1" applyAlignment="1">
      <alignment horizontal="left" vertical="top" wrapText="1"/>
    </xf>
    <xf numFmtId="0" fontId="13" fillId="0" borderId="5" xfId="1" applyFont="1" applyFill="1" applyBorder="1" applyAlignment="1">
      <alignment horizontal="left" vertical="top" wrapText="1"/>
    </xf>
    <xf numFmtId="0" fontId="13" fillId="0" borderId="5" xfId="3" applyFont="1" applyFill="1" applyBorder="1" applyAlignment="1">
      <alignment horizontal="left" vertical="top" wrapText="1"/>
    </xf>
    <xf numFmtId="0" fontId="12" fillId="0" borderId="7" xfId="2" applyFont="1" applyFill="1" applyBorder="1" applyAlignment="1">
      <alignment horizontal="center"/>
    </xf>
    <xf numFmtId="0" fontId="13" fillId="0" borderId="5" xfId="2" applyFont="1" applyFill="1" applyBorder="1" applyAlignment="1">
      <alignment horizontal="left" vertical="top" wrapText="1"/>
    </xf>
    <xf numFmtId="0" fontId="13" fillId="0" borderId="0" xfId="1" applyFont="1" applyFill="1" applyBorder="1" applyAlignment="1">
      <alignment horizontal="center" vertical="top" wrapText="1"/>
    </xf>
    <xf numFmtId="0" fontId="13" fillId="0" borderId="0" xfId="3" applyFont="1" applyFill="1" applyBorder="1" applyAlignment="1">
      <alignment horizontal="center" vertical="top" wrapText="1"/>
    </xf>
    <xf numFmtId="165" fontId="6" fillId="0" borderId="0" xfId="1" applyNumberFormat="1" applyFont="1" applyBorder="1" applyAlignment="1">
      <alignment horizontal="left" vertical="top" indent="2"/>
    </xf>
    <xf numFmtId="0" fontId="5" fillId="0" borderId="0" xfId="1" applyFont="1"/>
    <xf numFmtId="0" fontId="18" fillId="0" borderId="0" xfId="1" applyNumberFormat="1" applyFont="1" applyBorder="1" applyAlignment="1">
      <alignment vertical="top"/>
    </xf>
    <xf numFmtId="0" fontId="19" fillId="0" borderId="0" xfId="2" applyFont="1" applyFill="1" applyBorder="1" applyAlignment="1">
      <alignment horizontal="center"/>
    </xf>
    <xf numFmtId="165" fontId="17" fillId="0" borderId="0" xfId="1" applyNumberFormat="1" applyFont="1" applyBorder="1" applyAlignment="1">
      <alignment horizontal="left" vertical="top" indent="2"/>
    </xf>
    <xf numFmtId="0" fontId="20" fillId="0" borderId="10" xfId="3" applyFont="1" applyFill="1" applyBorder="1" applyAlignment="1">
      <alignment horizontal="left" vertical="top" wrapText="1"/>
    </xf>
    <xf numFmtId="0" fontId="20" fillId="0" borderId="0" xfId="1" applyFont="1" applyFill="1" applyBorder="1" applyAlignment="1">
      <alignment horizontal="center" vertical="top" wrapText="1"/>
    </xf>
    <xf numFmtId="0" fontId="20" fillId="0" borderId="0" xfId="3" applyFont="1" applyFill="1" applyBorder="1" applyAlignment="1">
      <alignment horizontal="center" vertical="top" wrapText="1"/>
    </xf>
    <xf numFmtId="0" fontId="20" fillId="0" borderId="9" xfId="1" applyFont="1" applyFill="1" applyBorder="1" applyAlignment="1">
      <alignment horizontal="left" vertical="top" wrapText="1"/>
    </xf>
    <xf numFmtId="0" fontId="20" fillId="0" borderId="10" xfId="1" applyFont="1" applyFill="1" applyBorder="1" applyAlignment="1">
      <alignment horizontal="left" vertical="top" wrapText="1"/>
    </xf>
    <xf numFmtId="0" fontId="20" fillId="0" borderId="10" xfId="2" applyFont="1" applyFill="1" applyBorder="1" applyAlignment="1">
      <alignment horizontal="left" vertical="top" wrapText="1"/>
    </xf>
    <xf numFmtId="0" fontId="23" fillId="0" borderId="0" xfId="1" applyNumberFormat="1" applyFont="1" applyBorder="1" applyAlignment="1">
      <alignment vertical="top"/>
    </xf>
    <xf numFmtId="0" fontId="24" fillId="0" borderId="0" xfId="2" applyFont="1" applyFill="1" applyBorder="1" applyAlignment="1">
      <alignment horizontal="center"/>
    </xf>
    <xf numFmtId="165" fontId="22" fillId="0" borderId="0" xfId="1" applyNumberFormat="1" applyFont="1" applyBorder="1" applyAlignment="1">
      <alignment horizontal="left" vertical="top" indent="2"/>
    </xf>
    <xf numFmtId="0" fontId="25" fillId="0" borderId="14" xfId="3" applyFont="1" applyFill="1" applyBorder="1" applyAlignment="1">
      <alignment horizontal="left" vertical="top" wrapText="1"/>
    </xf>
    <xf numFmtId="0" fontId="25" fillId="0" borderId="0" xfId="1" applyFont="1" applyFill="1" applyBorder="1" applyAlignment="1">
      <alignment horizontal="center" vertical="top" wrapText="1"/>
    </xf>
    <xf numFmtId="0" fontId="25" fillId="0" borderId="0" xfId="3" applyFont="1" applyFill="1" applyBorder="1" applyAlignment="1">
      <alignment horizontal="center" vertical="top" wrapText="1"/>
    </xf>
    <xf numFmtId="0" fontId="25" fillId="0" borderId="13" xfId="1" applyFont="1" applyFill="1" applyBorder="1" applyAlignment="1">
      <alignment horizontal="left" vertical="top" wrapText="1"/>
    </xf>
    <xf numFmtId="0" fontId="25" fillId="0" borderId="14" xfId="1" applyFont="1" applyFill="1" applyBorder="1" applyAlignment="1">
      <alignment horizontal="left" vertical="top" wrapText="1"/>
    </xf>
    <xf numFmtId="0" fontId="25" fillId="0" borderId="14" xfId="2" applyFont="1" applyFill="1" applyBorder="1" applyAlignment="1">
      <alignment horizontal="left" vertical="top" wrapText="1"/>
    </xf>
    <xf numFmtId="0" fontId="28" fillId="0" borderId="0" xfId="1" applyNumberFormat="1" applyFont="1" applyBorder="1" applyAlignment="1">
      <alignment vertical="top"/>
    </xf>
    <xf numFmtId="0" fontId="29" fillId="0" borderId="0" xfId="2" applyFont="1" applyFill="1" applyBorder="1" applyAlignment="1">
      <alignment horizontal="center"/>
    </xf>
    <xf numFmtId="165" fontId="27" fillId="0" borderId="0" xfId="1" applyNumberFormat="1" applyFont="1" applyBorder="1" applyAlignment="1">
      <alignment horizontal="left" vertical="top" indent="2"/>
    </xf>
    <xf numFmtId="0" fontId="30" fillId="0" borderId="20" xfId="3" applyFont="1" applyFill="1" applyBorder="1" applyAlignment="1">
      <alignment horizontal="left" vertical="top" wrapText="1"/>
    </xf>
    <xf numFmtId="0" fontId="30" fillId="0" borderId="0" xfId="1" applyFont="1" applyFill="1" applyBorder="1" applyAlignment="1">
      <alignment horizontal="center" vertical="top" wrapText="1"/>
    </xf>
    <xf numFmtId="0" fontId="30" fillId="0" borderId="0" xfId="3" applyFont="1" applyFill="1" applyBorder="1" applyAlignment="1">
      <alignment horizontal="center" vertical="top" wrapText="1"/>
    </xf>
    <xf numFmtId="0" fontId="30" fillId="0" borderId="19" xfId="1" applyFont="1" applyFill="1" applyBorder="1" applyAlignment="1">
      <alignment horizontal="left" vertical="top" wrapText="1"/>
    </xf>
    <xf numFmtId="0" fontId="30" fillId="0" borderId="20" xfId="1" applyFont="1" applyFill="1" applyBorder="1" applyAlignment="1">
      <alignment horizontal="left" vertical="top" wrapText="1"/>
    </xf>
    <xf numFmtId="0" fontId="30" fillId="0" borderId="20" xfId="2" applyFont="1" applyFill="1" applyBorder="1" applyAlignment="1">
      <alignment horizontal="left" vertical="top" wrapText="1"/>
    </xf>
  </cellXfs>
  <cellStyles count="5">
    <cellStyle name="40 % - Accentuation1 2" xfId="3" xr:uid="{00000000-0005-0000-0000-000000000000}"/>
    <cellStyle name="Accentuation1 2" xfId="2" xr:uid="{00000000-0005-0000-0000-000001000000}"/>
    <cellStyle name="Normal" xfId="0" builtinId="0" customBuiltin="1"/>
    <cellStyle name="Normal 2" xfId="1" xr:uid="{00000000-0005-0000-0000-000004000000}"/>
    <cellStyle name="Titre 1 2" xfId="4" xr:uid="{00000000-0005-0000-0000-000002000000}"/>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StyleTableauClair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StyleTableauClair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8"/>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Image 2" title="Image Hiver - Arbre et flocons de neige">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Rectangle 1" title="Bloc de couleur d’hiver derrière l’image">
          <a:extLst>
            <a:ext uri="{FF2B5EF4-FFF2-40B4-BE49-F238E27FC236}">
              <a16:creationId xmlns:a16="http://schemas.microsoft.com/office/drawing/2014/main" id="{00000000-0008-0000-0000-000002000000}"/>
            </a:ext>
          </a:extLst>
        </xdr:cNvPr>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Image 3" descr="Mère et fils sur une luge. Pour changer cette image, cliquez avec le bouton droit sur celle-là, puis cliquez sur Changer l’image. " title="Photo de famille de janvier">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Zone de texte 4">
          <a:extLst>
            <a:ext uri="{FF2B5EF4-FFF2-40B4-BE49-F238E27FC236}">
              <a16:creationId xmlns:a16="http://schemas.microsoft.com/office/drawing/2014/main" id="{00000000-0008-0000-0000-000005000000}"/>
            </a:ext>
          </a:extLst>
        </xdr:cNvPr>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600">
              <a:solidFill>
                <a:schemeClr val="bg1"/>
              </a:solidFill>
              <a:latin typeface="+mj-lt"/>
            </a:rPr>
            <a:t>NOTES</a:t>
          </a:r>
        </a:p>
        <a:p>
          <a:pPr rtl="0"/>
          <a:endParaRPr lang="en-US" sz="1200">
            <a:solidFill>
              <a:schemeClr val="bg1"/>
            </a:solidFill>
            <a:latin typeface="+mn-lt"/>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Image 5" title="Image Hiver - Arbre et flocons de neige">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tangle 6" title="Bloc de couleur d’hiver derrière l’image">
          <a:extLst>
            <a:ext uri="{FF2B5EF4-FFF2-40B4-BE49-F238E27FC236}">
              <a16:creationId xmlns:a16="http://schemas.microsoft.com/office/drawing/2014/main" id="{00000000-0008-0000-0000-000007000000}"/>
            </a:ext>
          </a:extLst>
        </xdr:cNvPr>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Image 7" descr="Enfant en bas âge emmitouflé dans une couverture. Pour changer cette image, cliquez avec le bouton droit sur celle-là, puis cliquez sur Changer l’image. " title="Photo de famille de février">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Zone de texte 8">
          <a:extLst>
            <a:ext uri="{FF2B5EF4-FFF2-40B4-BE49-F238E27FC236}">
              <a16:creationId xmlns:a16="http://schemas.microsoft.com/office/drawing/2014/main" id="{00000000-0008-0000-0000-000009000000}"/>
            </a:ext>
          </a:extLst>
        </xdr:cNvPr>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600">
              <a:solidFill>
                <a:schemeClr val="bg1"/>
              </a:solidFill>
              <a:latin typeface="+mj-lt"/>
            </a:rPr>
            <a:t>NOTES</a:t>
          </a:r>
        </a:p>
        <a:p>
          <a:pPr rtl="0"/>
          <a:endParaRPr lang="en-US" sz="1200">
            <a:solidFill>
              <a:schemeClr val="bg1"/>
            </a:solidFill>
            <a:latin typeface="+mn-lt"/>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Image 9" title="Image Printemps - Arbre">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tangle 10" title="Bloc de couleur de printemps derrière l’image">
          <a:extLst>
            <a:ext uri="{FF2B5EF4-FFF2-40B4-BE49-F238E27FC236}">
              <a16:creationId xmlns:a16="http://schemas.microsoft.com/office/drawing/2014/main" id="{00000000-0008-0000-0000-00000B000000}"/>
            </a:ext>
          </a:extLst>
        </xdr:cNvPr>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Image 11" descr="Trois enfants jouant à l’extérieur chaussés de bottes de pluie. Pour changer cette image, cliquez avec le bouton droit sur celle-là, puis cliquez sur Changer l’image. " title="Photo de famille de mars">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Zone de texte 12">
          <a:extLst>
            <a:ext uri="{FF2B5EF4-FFF2-40B4-BE49-F238E27FC236}">
              <a16:creationId xmlns:a16="http://schemas.microsoft.com/office/drawing/2014/main" id="{00000000-0008-0000-0000-00000D000000}"/>
            </a:ext>
          </a:extLst>
        </xdr:cNvPr>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600">
              <a:solidFill>
                <a:schemeClr val="bg1"/>
              </a:solidFill>
              <a:latin typeface="+mj-lt"/>
            </a:rPr>
            <a:t>NOTES</a:t>
          </a:r>
        </a:p>
        <a:p>
          <a:pPr rtl="0"/>
          <a:endParaRPr lang="en-US" sz="1200">
            <a:solidFill>
              <a:schemeClr val="bg1"/>
            </a:solidFill>
            <a:latin typeface="+mn-lt"/>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Image 13" title="Image Printemps - Arbre">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tangle 14" title="Bloc de couleur de printemps derrière l’image">
          <a:extLst>
            <a:ext uri="{FF2B5EF4-FFF2-40B4-BE49-F238E27FC236}">
              <a16:creationId xmlns:a16="http://schemas.microsoft.com/office/drawing/2014/main" id="{00000000-0008-0000-0000-00000F000000}"/>
            </a:ext>
          </a:extLst>
        </xdr:cNvPr>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Image 15" descr="Jeune fille marchant dans un champ de cerisiers en fleur. Pour changer cette image, cliquez avec le bouton droit sur celle-là, puis cliquez sur Changer l’image. " title="Photo de famille d’avril">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Zone de texte 16">
          <a:extLst>
            <a:ext uri="{FF2B5EF4-FFF2-40B4-BE49-F238E27FC236}">
              <a16:creationId xmlns:a16="http://schemas.microsoft.com/office/drawing/2014/main" id="{00000000-0008-0000-0000-000011000000}"/>
            </a:ext>
          </a:extLst>
        </xdr:cNvPr>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600">
              <a:solidFill>
                <a:schemeClr val="bg1"/>
              </a:solidFill>
              <a:latin typeface="+mj-lt"/>
            </a:rPr>
            <a:t>NOTES</a:t>
          </a:r>
        </a:p>
        <a:p>
          <a:pPr rtl="0"/>
          <a:endParaRPr lang="en-US" sz="1200">
            <a:solidFill>
              <a:schemeClr val="bg1"/>
            </a:solidFill>
            <a:latin typeface="+mn-lt"/>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Image 17" title="Image Printemps - Arbre">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tangle 18" title="Bloc de couleur de printemps derrière l’image">
          <a:extLst>
            <a:ext uri="{FF2B5EF4-FFF2-40B4-BE49-F238E27FC236}">
              <a16:creationId xmlns:a16="http://schemas.microsoft.com/office/drawing/2014/main" id="{00000000-0008-0000-00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Image 19" descr="Mère et fille en train de jardiner. Pour changer cette image, cliquez avec le bouton droit sur celle-là, puis cliquez sur Changer l’image. " title="Photo de famille de mai">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Zone de texte 20">
          <a:extLst>
            <a:ext uri="{FF2B5EF4-FFF2-40B4-BE49-F238E27FC236}">
              <a16:creationId xmlns:a16="http://schemas.microsoft.com/office/drawing/2014/main" id="{00000000-0008-0000-0000-000015000000}"/>
            </a:ext>
          </a:extLst>
        </xdr:cNvPr>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600">
              <a:solidFill>
                <a:schemeClr val="bg1"/>
              </a:solidFill>
              <a:latin typeface="+mj-lt"/>
            </a:rPr>
            <a:t>NOTES</a:t>
          </a:r>
        </a:p>
        <a:p>
          <a:pPr rtl="0"/>
          <a:endParaRPr lang="en-US" sz="1200">
            <a:solidFill>
              <a:schemeClr val="bg1"/>
            </a:solidFill>
            <a:latin typeface="+mn-lt"/>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Image 21" title="Image Été - Palmier">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tangle 22" title="Bloc de couleur d’été derrière l’image">
          <a:extLst>
            <a:ext uri="{FF2B5EF4-FFF2-40B4-BE49-F238E27FC236}">
              <a16:creationId xmlns:a16="http://schemas.microsoft.com/office/drawing/2014/main" id="{00000000-0008-0000-0000-000017000000}"/>
            </a:ext>
          </a:extLst>
        </xdr:cNvPr>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Image 23" descr="Deux enfants à la plage jouant au bord de la mer. Pour changer cette image, cliquez avec le bouton droit sur celle-là, puis cliquez sur Changer l’image. " title="Photo de famille de juin">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Zone de texte 24">
          <a:extLst>
            <a:ext uri="{FF2B5EF4-FFF2-40B4-BE49-F238E27FC236}">
              <a16:creationId xmlns:a16="http://schemas.microsoft.com/office/drawing/2014/main" id="{00000000-0008-0000-0000-000019000000}"/>
            </a:ext>
          </a:extLst>
        </xdr:cNvPr>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600">
              <a:solidFill>
                <a:schemeClr val="bg1"/>
              </a:solidFill>
              <a:latin typeface="+mj-lt"/>
            </a:rPr>
            <a:t>NOTES</a:t>
          </a:r>
        </a:p>
        <a:p>
          <a:pPr rtl="0"/>
          <a:endParaRPr lang="en-US" sz="1200">
            <a:solidFill>
              <a:schemeClr val="bg1"/>
            </a:solidFill>
            <a:latin typeface="+mn-lt"/>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Image 25" title="Image Été - Palmier">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tangle 26" title="Bloc de couleur d’été derrière l’image">
          <a:extLst>
            <a:ext uri="{FF2B5EF4-FFF2-40B4-BE49-F238E27FC236}">
              <a16:creationId xmlns:a16="http://schemas.microsoft.com/office/drawing/2014/main" id="{00000000-0008-0000-0000-00001B000000}"/>
            </a:ext>
          </a:extLst>
        </xdr:cNvPr>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Image 27" descr="Photo prise sous l’eau d’un garçon dans une piscine qui porte des lunettes de natation. Pour changer cette image, cliquez avec le bouton droit sur celle-là, puis cliquez sur Changer l’image. " title="Photo de famille de juillet">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Zone de texte 28">
          <a:extLst>
            <a:ext uri="{FF2B5EF4-FFF2-40B4-BE49-F238E27FC236}">
              <a16:creationId xmlns:a16="http://schemas.microsoft.com/office/drawing/2014/main" id="{00000000-0008-0000-0000-00001D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600">
              <a:solidFill>
                <a:schemeClr val="bg1"/>
              </a:solidFill>
              <a:latin typeface="+mj-lt"/>
            </a:rPr>
            <a:t>NOTES</a:t>
          </a:r>
        </a:p>
        <a:p>
          <a:pPr rtl="0"/>
          <a:endParaRPr lang="en-US" sz="1200">
            <a:solidFill>
              <a:schemeClr val="bg1"/>
            </a:solidFill>
            <a:latin typeface="+mn-lt"/>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Image 29" title="Image Été - Palmier">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tangle 30" title="Bloc de couleur d’été derrière l’image">
          <a:extLst>
            <a:ext uri="{FF2B5EF4-FFF2-40B4-BE49-F238E27FC236}">
              <a16:creationId xmlns:a16="http://schemas.microsoft.com/office/drawing/2014/main" id="{00000000-0008-0000-0000-00001F000000}"/>
            </a:ext>
          </a:extLst>
        </xdr:cNvPr>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Image 31" descr="Gros plan de deux garçons sur un bateau portant des gilets de sauvetage. Pour changer cette image, cliquez avec le bouton droit sur celle-là, puis cliquez sur Changer l’image. " title="Photo de famille d’août">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Zone de texte 32">
          <a:extLst>
            <a:ext uri="{FF2B5EF4-FFF2-40B4-BE49-F238E27FC236}">
              <a16:creationId xmlns:a16="http://schemas.microsoft.com/office/drawing/2014/main" id="{00000000-0008-0000-0000-000021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600">
              <a:solidFill>
                <a:schemeClr val="bg1"/>
              </a:solidFill>
              <a:latin typeface="+mj-lt"/>
            </a:rPr>
            <a:t>NOTES</a:t>
          </a:r>
        </a:p>
        <a:p>
          <a:pPr rtl="0"/>
          <a:endParaRPr lang="en-US" sz="1200">
            <a:solidFill>
              <a:schemeClr val="bg1"/>
            </a:solidFill>
            <a:latin typeface="+mn-lt"/>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Image 33" title="Image Automne - Feuilles">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tangle 34" title="Bloc de couleur d’automne derrière l’image">
          <a:extLst>
            <a:ext uri="{FF2B5EF4-FFF2-40B4-BE49-F238E27FC236}">
              <a16:creationId xmlns:a16="http://schemas.microsoft.com/office/drawing/2014/main" id="{00000000-0008-0000-0000-000023000000}"/>
            </a:ext>
          </a:extLst>
        </xdr:cNvPr>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Image 35" descr="Bambin qui tire la langue en direction de l’appareil photo. Pour changer cette image, cliquez avec le bouton droit sur celle-là, puis cliquez sur Changer l’image. " title="Photo de famille de septembre">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Zone de texte 36">
          <a:extLst>
            <a:ext uri="{FF2B5EF4-FFF2-40B4-BE49-F238E27FC236}">
              <a16:creationId xmlns:a16="http://schemas.microsoft.com/office/drawing/2014/main" id="{00000000-0008-0000-0000-000025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600">
              <a:solidFill>
                <a:schemeClr val="bg1"/>
              </a:solidFill>
              <a:latin typeface="+mj-lt"/>
            </a:rPr>
            <a:t>NOTES</a:t>
          </a:r>
        </a:p>
        <a:p>
          <a:pPr rtl="0"/>
          <a:endParaRPr lang="en-US" sz="1200">
            <a:solidFill>
              <a:schemeClr val="bg1"/>
            </a:solidFill>
            <a:latin typeface="+mn-lt"/>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Image 37" title="Image Automne - Feuilles">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tangle 38" title="Bloc de couleur d’automne derrière l’image">
          <a:extLst>
            <a:ext uri="{FF2B5EF4-FFF2-40B4-BE49-F238E27FC236}">
              <a16:creationId xmlns:a16="http://schemas.microsoft.com/office/drawing/2014/main" id="{00000000-0008-0000-0000-000027000000}"/>
            </a:ext>
          </a:extLst>
        </xdr:cNvPr>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Image 39" descr="Fille tenant une citrouille dans un champ de citrouilles. Pour changer cette image, cliquez avec le bouton droit sur celle-là, puis cliquez sur Changer l’image. " title="Photo de famille d’octobre">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Zone de texte 40">
          <a:extLst>
            <a:ext uri="{FF2B5EF4-FFF2-40B4-BE49-F238E27FC236}">
              <a16:creationId xmlns:a16="http://schemas.microsoft.com/office/drawing/2014/main" id="{00000000-0008-0000-0000-000029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600">
              <a:solidFill>
                <a:schemeClr val="bg1"/>
              </a:solidFill>
              <a:latin typeface="+mj-lt"/>
            </a:rPr>
            <a:t>NOTES</a:t>
          </a:r>
        </a:p>
        <a:p>
          <a:pPr rtl="0"/>
          <a:endParaRPr lang="en-US" sz="1200">
            <a:solidFill>
              <a:schemeClr val="bg1"/>
            </a:solidFill>
            <a:latin typeface="+mn-lt"/>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Image 41" title="Image Automne - Feuilles">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tangle 42" title="Bloc de couleur d’automne derrière l’image">
          <a:extLst>
            <a:ext uri="{FF2B5EF4-FFF2-40B4-BE49-F238E27FC236}">
              <a16:creationId xmlns:a16="http://schemas.microsoft.com/office/drawing/2014/main" id="{00000000-0008-0000-0000-00002B000000}"/>
            </a:ext>
          </a:extLst>
        </xdr:cNvPr>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Image 43" descr="Garçon tenant une feuille de copalme d’Amérique près de l’objectif de l’appareil photo. La mise au point est effectuée sur la feuille, le garçon et l’arrière-plan sont légèrement flous. Pour changer cette image, cliquez avec le bouton droit sur celle-là, puis cliquez sur Changer l’image. " title="Photo de famille de novembre">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Zone de texte 44">
          <a:extLst>
            <a:ext uri="{FF2B5EF4-FFF2-40B4-BE49-F238E27FC236}">
              <a16:creationId xmlns:a16="http://schemas.microsoft.com/office/drawing/2014/main" id="{00000000-0008-0000-0000-00002D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600">
              <a:solidFill>
                <a:schemeClr val="bg1"/>
              </a:solidFill>
              <a:latin typeface="+mj-lt"/>
            </a:rPr>
            <a:t>NOTES</a:t>
          </a:r>
        </a:p>
        <a:p>
          <a:pPr rtl="0"/>
          <a:endParaRPr lang="en-US" sz="1200">
            <a:solidFill>
              <a:schemeClr val="bg1"/>
            </a:solidFill>
            <a:latin typeface="+mn-lt"/>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Image 57" title="Image Hiver - Arbre et flocons de neige">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tangle 58" title="Bloc de couleur d’hiver derrière l’image">
          <a:extLst>
            <a:ext uri="{FF2B5EF4-FFF2-40B4-BE49-F238E27FC236}">
              <a16:creationId xmlns:a16="http://schemas.microsoft.com/office/drawing/2014/main" id="{00000000-0008-0000-0000-00003B000000}"/>
            </a:ext>
          </a:extLst>
        </xdr:cNvPr>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Image 59" descr="Père et fils faisant rouler une énorme boule de neige dans un parc. Pour changer cette image, cliquez avec le bouton droit sur celle-là, puis cliquez sur Changer l’image." title="Photo de famille de décembre">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Zone de texte 60">
          <a:extLst>
            <a:ext uri="{FF2B5EF4-FFF2-40B4-BE49-F238E27FC236}">
              <a16:creationId xmlns:a16="http://schemas.microsoft.com/office/drawing/2014/main" id="{00000000-0008-0000-0000-00003D000000}"/>
            </a:ext>
          </a:extLst>
        </xdr:cNvPr>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600">
              <a:solidFill>
                <a:schemeClr val="bg1"/>
              </a:solidFill>
              <a:latin typeface="+mj-lt"/>
            </a:rPr>
            <a:t>NOTES</a:t>
          </a:r>
        </a:p>
        <a:p>
          <a:pPr rtl="0"/>
          <a:endParaRPr lang="en-US" sz="1200">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Compteur 1" descr="Spinner control. Use spinner to change calendar year or type desired year in cell L2 "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16</xdr:col>
      <xdr:colOff>114300</xdr:colOff>
      <xdr:row>1</xdr:row>
      <xdr:rowOff>142875</xdr:rowOff>
    </xdr:from>
    <xdr:to>
      <xdr:col>20</xdr:col>
      <xdr:colOff>38100</xdr:colOff>
      <xdr:row>1</xdr:row>
      <xdr:rowOff>571499</xdr:rowOff>
    </xdr:to>
    <xdr:sp macro="" textlink="">
      <xdr:nvSpPr>
        <xdr:cNvPr id="63" name="Zone de texte 62">
          <a:extLst>
            <a:ext uri="{FF2B5EF4-FFF2-40B4-BE49-F238E27FC236}">
              <a16:creationId xmlns:a16="http://schemas.microsoft.com/office/drawing/2014/main" id="{00000000-0008-0000-0000-00003F000000}"/>
            </a:ext>
          </a:extLst>
        </xdr:cNvPr>
        <xdr:cNvSpPr txBox="1"/>
      </xdr:nvSpPr>
      <xdr:spPr>
        <a:xfrm>
          <a:off x="781050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fr" sz="1000" b="1">
              <a:solidFill>
                <a:schemeClr val="accent1"/>
              </a:solidFill>
            </a:rPr>
            <a:t>Cliquez sur le compteur pour </a:t>
          </a:r>
        </a:p>
        <a:p>
          <a:pPr algn="l" rtl="0"/>
          <a:r>
            <a:rPr lang="fr" sz="1000" b="1">
              <a:solidFill>
                <a:schemeClr val="accent1"/>
              </a:solidFill>
            </a:rPr>
            <a:t>modifier l’année</a:t>
          </a:r>
        </a:p>
      </xdr:txBody>
    </xdr:sp>
    <xdr:clientData fPrintsWithSheet="0"/>
  </xdr:twoCellAnchor>
  <xdr:twoCellAnchor>
    <xdr:from>
      <xdr:col>16</xdr:col>
      <xdr:colOff>228600</xdr:colOff>
      <xdr:row>2</xdr:row>
      <xdr:rowOff>19050</xdr:rowOff>
    </xdr:from>
    <xdr:to>
      <xdr:col>20</xdr:col>
      <xdr:colOff>361951</xdr:colOff>
      <xdr:row>8</xdr:row>
      <xdr:rowOff>142875</xdr:rowOff>
    </xdr:to>
    <xdr:sp macro="" textlink="">
      <xdr:nvSpPr>
        <xdr:cNvPr id="52" name="Carré corné 51" descr="Personnalisez ce calendrier !&#10;&#10;Cliquez avec le bouton droit sur une image, puis cliquez sur Changer l’image pour la remplacer par une autre de votre choix." title="Instructions relatives à l’espace réservé à la photo">
          <a:extLst>
            <a:ext uri="{FF2B5EF4-FFF2-40B4-BE49-F238E27FC236}">
              <a16:creationId xmlns:a16="http://schemas.microsoft.com/office/drawing/2014/main" id="{00000000-0008-0000-0000-000034000000}"/>
            </a:ext>
          </a:extLst>
        </xdr:cNvPr>
        <xdr:cNvSpPr/>
      </xdr:nvSpPr>
      <xdr:spPr>
        <a:xfrm>
          <a:off x="7924800" y="885825"/>
          <a:ext cx="2114551" cy="1552575"/>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fr" sz="1100" b="1">
              <a:solidFill>
                <a:schemeClr val="tx2"/>
              </a:solidFill>
              <a:latin typeface="+mn-lt"/>
              <a:ea typeface="+mn-ea"/>
              <a:cs typeface="+mn-cs"/>
            </a:rPr>
            <a:t>Personnalisez ce calendrier!</a:t>
          </a:r>
        </a:p>
        <a:p>
          <a:pPr marL="0" indent="0" algn="l" rtl="0"/>
          <a:endParaRPr lang="en-US" sz="1100">
            <a:solidFill>
              <a:schemeClr val="tx2"/>
            </a:solidFill>
            <a:latin typeface="+mn-lt"/>
            <a:ea typeface="+mn-ea"/>
            <a:cs typeface="+mn-cs"/>
          </a:endParaRPr>
        </a:p>
        <a:p>
          <a:pPr marL="0" indent="0" algn="l" rtl="0"/>
          <a:r>
            <a:rPr lang="fr" sz="1100">
              <a:solidFill>
                <a:schemeClr val="tx2"/>
              </a:solidFill>
              <a:latin typeface="+mn-lt"/>
              <a:ea typeface="+mn-ea"/>
              <a:cs typeface="+mn-cs"/>
            </a:rPr>
            <a:t>Cliquez avec le bouton droit sur une image, puis cliquez sur Changer l’image pour la remplacer par une autre de votre choix.</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2:V432"/>
  <sheetViews>
    <sheetView showGridLines="0" tabSelected="1" zoomScaleNormal="100" workbookViewId="0"/>
  </sheetViews>
  <sheetFormatPr defaultColWidth="6.6640625" defaultRowHeight="14.25" x14ac:dyDescent="0.2"/>
  <cols>
    <col min="1" max="1" width="3.77734375" style="1" customWidth="1"/>
    <col min="2" max="2" width="9.33203125" style="1" customWidth="1"/>
    <col min="3" max="3" width="2.77734375" style="1" customWidth="1"/>
    <col min="4" max="4" width="9.33203125" style="1" customWidth="1"/>
    <col min="5" max="5" width="2.77734375" style="1" customWidth="1"/>
    <col min="6" max="6" width="9.33203125" style="1" customWidth="1"/>
    <col min="7" max="7" width="2.77734375" style="1" customWidth="1"/>
    <col min="8" max="8" width="9.33203125" style="1" customWidth="1"/>
    <col min="9" max="9" width="2.77734375" style="1" customWidth="1"/>
    <col min="10" max="10" width="9.33203125" style="1" customWidth="1"/>
    <col min="11" max="11" width="2.77734375" style="1" customWidth="1"/>
    <col min="12" max="12" width="9.33203125" style="1" customWidth="1"/>
    <col min="13" max="13" width="2.77734375" style="1" customWidth="1"/>
    <col min="14" max="14" width="9.33203125" style="1" customWidth="1"/>
    <col min="15" max="15" width="2.77734375" style="1" customWidth="1"/>
    <col min="16" max="16" width="1.21875" style="1" customWidth="1"/>
    <col min="17" max="17" width="3.109375" style="1" customWidth="1"/>
    <col min="18" max="16384" width="6.6640625" style="1"/>
  </cols>
  <sheetData>
    <row r="2" spans="1:16" ht="54" customHeight="1" x14ac:dyDescent="0.2">
      <c r="A2" s="48" t="str">
        <f ca="1">TEXT(DATE(AnnéeCalendrier,1,1),"mmmm")</f>
        <v>January</v>
      </c>
      <c r="B2" s="48"/>
      <c r="C2" s="48"/>
      <c r="D2" s="48"/>
      <c r="E2" s="48"/>
      <c r="F2" s="48"/>
      <c r="G2" s="48"/>
      <c r="H2" s="2"/>
      <c r="I2" s="3"/>
      <c r="J2" s="3"/>
      <c r="L2" s="39">
        <f ca="1">YEAR(TODAY())</f>
        <v>2018</v>
      </c>
      <c r="M2" s="39"/>
      <c r="N2" s="39"/>
      <c r="O2" s="39"/>
      <c r="P2" s="39"/>
    </row>
    <row r="3" spans="1:16" ht="18.75" customHeight="1" x14ac:dyDescent="0.35">
      <c r="A3" s="4"/>
      <c r="B3" s="5"/>
      <c r="C3" s="5"/>
      <c r="D3" s="5"/>
      <c r="E3" s="6"/>
      <c r="F3" s="6"/>
      <c r="G3" s="6"/>
      <c r="H3" s="3"/>
      <c r="I3" s="3"/>
      <c r="J3" s="3"/>
      <c r="L3" s="49"/>
      <c r="M3" s="49"/>
      <c r="N3" s="49"/>
      <c r="O3" s="49"/>
    </row>
    <row r="4" spans="1:16" ht="18.75" customHeight="1" x14ac:dyDescent="0.35">
      <c r="A4" s="4"/>
      <c r="B4" s="5"/>
      <c r="C4" s="5"/>
      <c r="D4" s="5"/>
      <c r="E4" s="6"/>
      <c r="F4" s="6"/>
      <c r="G4" s="6"/>
      <c r="H4" s="3"/>
      <c r="I4" s="3"/>
      <c r="J4" s="3"/>
    </row>
    <row r="5" spans="1:16" ht="18.75" customHeight="1" x14ac:dyDescent="0.35">
      <c r="A5" s="4"/>
      <c r="B5" s="5"/>
      <c r="C5" s="5"/>
      <c r="D5" s="5"/>
      <c r="E5" s="6"/>
      <c r="F5" s="6"/>
      <c r="G5" s="6"/>
      <c r="H5" s="3"/>
      <c r="I5" s="3"/>
      <c r="J5" s="3"/>
    </row>
    <row r="6" spans="1:16" ht="18.75" customHeight="1" x14ac:dyDescent="0.35">
      <c r="A6" s="4"/>
      <c r="B6" s="5"/>
      <c r="C6" s="5"/>
      <c r="D6" s="5"/>
      <c r="E6" s="6"/>
      <c r="F6" s="6"/>
      <c r="G6" s="6"/>
      <c r="H6" s="3"/>
      <c r="I6" s="3"/>
      <c r="J6" s="3"/>
    </row>
    <row r="7" spans="1:16" ht="18.75" customHeight="1" x14ac:dyDescent="0.35">
      <c r="A7" s="4"/>
      <c r="B7" s="5"/>
      <c r="C7" s="5"/>
      <c r="D7" s="5"/>
      <c r="E7" s="6"/>
      <c r="F7" s="6"/>
      <c r="G7" s="6"/>
      <c r="H7" s="3"/>
      <c r="I7" s="3"/>
      <c r="J7" s="3"/>
    </row>
    <row r="8" spans="1:16" ht="18.75" customHeight="1" x14ac:dyDescent="0.35">
      <c r="A8" s="4"/>
      <c r="B8" s="5"/>
      <c r="C8" s="5"/>
      <c r="D8" s="5"/>
      <c r="E8" s="6"/>
      <c r="F8" s="6"/>
      <c r="G8" s="6"/>
      <c r="H8" s="3"/>
      <c r="I8" s="3"/>
      <c r="J8" s="3"/>
    </row>
    <row r="9" spans="1:16" ht="18.75" customHeight="1" x14ac:dyDescent="0.35">
      <c r="A9" s="4"/>
      <c r="B9" s="5"/>
      <c r="C9" s="5"/>
      <c r="D9" s="5"/>
      <c r="E9" s="6"/>
      <c r="F9" s="6"/>
      <c r="G9" s="6"/>
      <c r="H9" s="3"/>
      <c r="I9" s="3"/>
      <c r="J9" s="3"/>
    </row>
    <row r="10" spans="1:16" ht="18.75" customHeight="1" x14ac:dyDescent="0.35">
      <c r="A10" s="4"/>
      <c r="B10" s="5"/>
      <c r="C10" s="5"/>
      <c r="D10" s="5"/>
      <c r="E10" s="6"/>
      <c r="F10" s="6"/>
      <c r="G10" s="6"/>
      <c r="H10" s="3"/>
      <c r="I10" s="3"/>
      <c r="J10" s="3"/>
    </row>
    <row r="11" spans="1:16" ht="18.75" customHeight="1" x14ac:dyDescent="0.35">
      <c r="A11" s="4"/>
      <c r="B11" s="5"/>
      <c r="C11" s="5"/>
      <c r="D11" s="5"/>
      <c r="E11" s="6"/>
      <c r="F11" s="6"/>
      <c r="G11" s="6"/>
      <c r="H11" s="3"/>
      <c r="I11" s="3"/>
      <c r="J11" s="3"/>
    </row>
    <row r="12" spans="1:16" ht="18.75" customHeight="1" x14ac:dyDescent="0.35">
      <c r="A12" s="4"/>
      <c r="B12" s="5"/>
      <c r="C12" s="5"/>
      <c r="D12" s="5"/>
      <c r="E12" s="6"/>
      <c r="F12" s="6"/>
      <c r="G12" s="6"/>
      <c r="H12" s="3"/>
      <c r="I12" s="3"/>
      <c r="J12" s="3"/>
    </row>
    <row r="13" spans="1:16" ht="18.75" customHeight="1" x14ac:dyDescent="0.35">
      <c r="A13" s="4"/>
      <c r="B13" s="5"/>
      <c r="C13" s="5"/>
      <c r="D13" s="5"/>
      <c r="E13" s="6"/>
      <c r="F13" s="6"/>
      <c r="G13" s="6"/>
      <c r="H13" s="3"/>
      <c r="I13" s="3"/>
      <c r="J13" s="3"/>
    </row>
    <row r="14" spans="1:16" ht="18.75" customHeight="1" x14ac:dyDescent="0.35">
      <c r="A14" s="4"/>
      <c r="B14" s="5"/>
      <c r="C14" s="5"/>
      <c r="D14" s="5"/>
      <c r="E14" s="6"/>
      <c r="F14" s="6"/>
      <c r="G14" s="6"/>
      <c r="H14" s="3"/>
      <c r="I14" s="3"/>
      <c r="J14" s="3"/>
    </row>
    <row r="15" spans="1:16" ht="18.75" customHeight="1" x14ac:dyDescent="0.35">
      <c r="A15" s="4"/>
      <c r="B15" s="5"/>
      <c r="C15" s="5"/>
      <c r="D15" s="5"/>
      <c r="E15" s="6"/>
      <c r="F15" s="6"/>
      <c r="G15" s="6"/>
      <c r="H15" s="3"/>
      <c r="I15" s="3"/>
      <c r="J15" s="3"/>
    </row>
    <row r="16" spans="1:16" ht="18.75" customHeight="1" x14ac:dyDescent="0.35">
      <c r="A16" s="4"/>
      <c r="B16" s="5"/>
      <c r="C16" s="5"/>
      <c r="D16" s="5"/>
      <c r="E16" s="6"/>
      <c r="F16" s="6"/>
      <c r="G16" s="6"/>
      <c r="H16" s="3"/>
      <c r="I16" s="3"/>
      <c r="J16" s="3"/>
    </row>
    <row r="17" spans="1:22" ht="18.75" customHeight="1" x14ac:dyDescent="0.25">
      <c r="A17" s="7"/>
      <c r="B17" s="8"/>
      <c r="C17" s="8"/>
      <c r="D17" s="8"/>
      <c r="E17" s="8"/>
      <c r="F17" s="8"/>
      <c r="G17" s="8"/>
      <c r="H17" s="8"/>
      <c r="I17" s="8"/>
      <c r="J17" s="8"/>
      <c r="K17" s="8"/>
      <c r="L17" s="8"/>
      <c r="M17" s="8"/>
      <c r="N17" s="8"/>
      <c r="O17" s="8"/>
    </row>
    <row r="18" spans="1:22" s="7" customFormat="1" ht="27" customHeight="1" x14ac:dyDescent="0.25">
      <c r="B18" s="44" t="s">
        <v>6</v>
      </c>
      <c r="C18" s="44"/>
      <c r="D18" s="40" t="s">
        <v>0</v>
      </c>
      <c r="E18" s="40"/>
      <c r="F18" s="40" t="s">
        <v>1</v>
      </c>
      <c r="G18" s="40"/>
      <c r="H18" s="40" t="s">
        <v>2</v>
      </c>
      <c r="I18" s="40"/>
      <c r="J18" s="40" t="s">
        <v>3</v>
      </c>
      <c r="K18" s="40"/>
      <c r="L18" s="40" t="s">
        <v>4</v>
      </c>
      <c r="M18" s="40"/>
      <c r="N18" s="40" t="s">
        <v>5</v>
      </c>
      <c r="O18" s="40"/>
      <c r="P18" s="1"/>
      <c r="Q18" s="9"/>
      <c r="U18" s="1"/>
      <c r="V18" s="1"/>
    </row>
    <row r="19" spans="1:22" s="10" customFormat="1" ht="16.5" customHeight="1" x14ac:dyDescent="0.25">
      <c r="B19" s="11"/>
      <c r="C19" s="12">
        <f ca="1">IF(DAY(DimJan1)=1,DimJan1-6,DimJan1+1)</f>
        <v>43100</v>
      </c>
      <c r="D19" s="13"/>
      <c r="E19" s="12">
        <f ca="1">IF(DAY(DimJan1)=1,DimJan1-5,DimJan1+2)</f>
        <v>43101</v>
      </c>
      <c r="F19" s="13"/>
      <c r="G19" s="12">
        <f ca="1">IF(DAY(DimJan1)=1,DimJan1-4,DimJan1+3)</f>
        <v>43102</v>
      </c>
      <c r="H19" s="13"/>
      <c r="I19" s="12">
        <f ca="1">IF(DAY(DimJan1)=1,DimJan1-3,DimJan1+4)</f>
        <v>43103</v>
      </c>
      <c r="J19" s="13"/>
      <c r="K19" s="12">
        <f ca="1">IF(DAY(DimJan1)=1,DimJan1-2,DimJan1+5)</f>
        <v>43104</v>
      </c>
      <c r="L19" s="13"/>
      <c r="M19" s="12">
        <f ca="1">IF(DAY(DimJan1)=1,DimJan1-1,DimJan1+6)</f>
        <v>43105</v>
      </c>
      <c r="N19" s="13"/>
      <c r="O19" s="12">
        <f ca="1">IF(DAY(DimJan1)=1,DimJan1,DimJan1+7)</f>
        <v>43106</v>
      </c>
      <c r="P19" s="14"/>
      <c r="Q19" s="14"/>
      <c r="U19" s="15"/>
      <c r="V19" s="14"/>
    </row>
    <row r="20" spans="1:22" s="16" customFormat="1" ht="55.5" customHeight="1" x14ac:dyDescent="0.25">
      <c r="A20" s="7"/>
      <c r="B20" s="41"/>
      <c r="C20" s="42"/>
      <c r="D20" s="42"/>
      <c r="E20" s="42"/>
      <c r="F20" s="42"/>
      <c r="G20" s="42"/>
      <c r="H20" s="42"/>
      <c r="I20" s="42"/>
      <c r="J20" s="42"/>
      <c r="K20" s="42"/>
      <c r="L20" s="43"/>
      <c r="M20" s="43"/>
      <c r="N20" s="43"/>
      <c r="O20" s="43"/>
    </row>
    <row r="21" spans="1:22" s="16" customFormat="1" ht="8.25" customHeight="1" x14ac:dyDescent="0.25">
      <c r="A21" s="7"/>
      <c r="B21" s="46"/>
      <c r="C21" s="46"/>
      <c r="D21" s="46"/>
      <c r="E21" s="46"/>
      <c r="F21" s="46"/>
      <c r="G21" s="46"/>
      <c r="H21" s="46"/>
      <c r="I21" s="46"/>
      <c r="J21" s="46"/>
      <c r="K21" s="46"/>
      <c r="L21" s="47"/>
      <c r="M21" s="47"/>
      <c r="N21" s="47"/>
      <c r="O21" s="47"/>
    </row>
    <row r="22" spans="1:22" s="14" customFormat="1" ht="16.5" customHeight="1" x14ac:dyDescent="0.25">
      <c r="A22" s="10"/>
      <c r="B22" s="17"/>
      <c r="C22" s="12">
        <f ca="1">IF(DAY(DimJan1)=1,DimJan1+1,DimJan1+8)</f>
        <v>43107</v>
      </c>
      <c r="D22" s="13"/>
      <c r="E22" s="12">
        <f ca="1">IF(DAY(DimJan1)=1,DimJan1+2,DimJan1+9)</f>
        <v>43108</v>
      </c>
      <c r="F22" s="13"/>
      <c r="G22" s="12">
        <f ca="1">IF(DAY(DimJan1)=1,DimJan1+3,DimJan1+10)</f>
        <v>43109</v>
      </c>
      <c r="H22" s="13"/>
      <c r="I22" s="12">
        <f ca="1">IF(DAY(DimJan1)=1,DimJan1+4,DimJan1+11)</f>
        <v>43110</v>
      </c>
      <c r="J22" s="13"/>
      <c r="K22" s="12">
        <f ca="1">IF(DAY(DimJan1)=1,DimJan1+5,DimJan1+12)</f>
        <v>43111</v>
      </c>
      <c r="L22" s="13"/>
      <c r="M22" s="12">
        <f ca="1">IF(DAY(DimJan1)=1,DimJan1+6,DimJan1+13)</f>
        <v>43112</v>
      </c>
      <c r="N22" s="13"/>
      <c r="O22" s="12">
        <f ca="1">IF(DAY(DimJan1)=1,DimJan1+7,DimJan1+14)</f>
        <v>43113</v>
      </c>
    </row>
    <row r="23" spans="1:22" ht="55.5" customHeight="1" x14ac:dyDescent="0.25">
      <c r="A23" s="7"/>
      <c r="B23" s="41"/>
      <c r="C23" s="42"/>
      <c r="D23" s="42"/>
      <c r="E23" s="42"/>
      <c r="F23" s="42" t="s">
        <v>7</v>
      </c>
      <c r="G23" s="42"/>
      <c r="H23" s="42"/>
      <c r="I23" s="42"/>
      <c r="J23" s="42"/>
      <c r="K23" s="42"/>
      <c r="L23" s="43"/>
      <c r="M23" s="43"/>
      <c r="N23" s="43"/>
      <c r="O23" s="43"/>
    </row>
    <row r="24" spans="1:22" ht="8.25" customHeight="1" x14ac:dyDescent="0.25">
      <c r="A24" s="7"/>
      <c r="B24" s="46"/>
      <c r="C24" s="46"/>
      <c r="D24" s="46"/>
      <c r="E24" s="46"/>
      <c r="F24" s="46"/>
      <c r="G24" s="46"/>
      <c r="H24" s="46"/>
      <c r="I24" s="46"/>
      <c r="J24" s="46"/>
      <c r="K24" s="46"/>
      <c r="L24" s="47"/>
      <c r="M24" s="47"/>
      <c r="N24" s="47"/>
      <c r="O24" s="47"/>
    </row>
    <row r="25" spans="1:22" s="14" customFormat="1" ht="16.5" customHeight="1" x14ac:dyDescent="0.25">
      <c r="A25" s="10"/>
      <c r="B25" s="17"/>
      <c r="C25" s="12">
        <f ca="1">IF(DAY(DimJan1)=1,DimJan1+8,DimJan1+15)</f>
        <v>43114</v>
      </c>
      <c r="D25" s="13"/>
      <c r="E25" s="12">
        <f ca="1">IF(DAY(DimJan1)=1,DimJan1+9,DimJan1+16)</f>
        <v>43115</v>
      </c>
      <c r="F25" s="13"/>
      <c r="G25" s="12">
        <f ca="1">IF(DAY(DimJan1)=1,DimJan1+10,DimJan1+17)</f>
        <v>43116</v>
      </c>
      <c r="H25" s="13"/>
      <c r="I25" s="12">
        <f ca="1">IF(DAY(DimJan1)=1,DimJan1+11,DimJan1+18)</f>
        <v>43117</v>
      </c>
      <c r="J25" s="13"/>
      <c r="K25" s="12">
        <f ca="1">IF(DAY(DimJan1)=1,DimJan1+12,DimJan1+19)</f>
        <v>43118</v>
      </c>
      <c r="L25" s="13"/>
      <c r="M25" s="12">
        <f ca="1">IF(DAY(DimJan1)=1,DimJan1+13,DimJan1+20)</f>
        <v>43119</v>
      </c>
      <c r="N25" s="13"/>
      <c r="O25" s="12">
        <f ca="1">IF(DAY(DimJan1)=1,DimJan1+14,DimJan1+21)</f>
        <v>43120</v>
      </c>
    </row>
    <row r="26" spans="1:22" ht="55.5" customHeight="1" x14ac:dyDescent="0.25">
      <c r="A26" s="7"/>
      <c r="B26" s="41"/>
      <c r="C26" s="42"/>
      <c r="D26" s="42"/>
      <c r="E26" s="42"/>
      <c r="F26" s="42"/>
      <c r="G26" s="42"/>
      <c r="H26" s="42"/>
      <c r="I26" s="42"/>
      <c r="J26" s="42"/>
      <c r="K26" s="42"/>
      <c r="L26" s="43"/>
      <c r="M26" s="43"/>
      <c r="N26" s="43"/>
      <c r="O26" s="43"/>
    </row>
    <row r="27" spans="1:22" ht="8.25" customHeight="1" x14ac:dyDescent="0.25">
      <c r="A27" s="7"/>
      <c r="B27" s="46"/>
      <c r="C27" s="46"/>
      <c r="D27" s="46"/>
      <c r="E27" s="46"/>
      <c r="F27" s="46"/>
      <c r="G27" s="46"/>
      <c r="H27" s="46"/>
      <c r="I27" s="46"/>
      <c r="J27" s="46"/>
      <c r="K27" s="46"/>
      <c r="L27" s="47"/>
      <c r="M27" s="47"/>
      <c r="N27" s="47"/>
      <c r="O27" s="47"/>
    </row>
    <row r="28" spans="1:22" s="14" customFormat="1" ht="16.5" customHeight="1" x14ac:dyDescent="0.25">
      <c r="A28" s="10"/>
      <c r="B28" s="17"/>
      <c r="C28" s="12">
        <f ca="1">IF(DAY(DimJan1)=1,DimJan1+15,DimJan1+22)</f>
        <v>43121</v>
      </c>
      <c r="D28" s="13"/>
      <c r="E28" s="12">
        <f ca="1">IF(DAY(DimJan1)=1,DimJan1+16,DimJan1+23)</f>
        <v>43122</v>
      </c>
      <c r="F28" s="13"/>
      <c r="G28" s="12">
        <f ca="1">IF(DAY(DimJan1)=1,DimJan1+17,DimJan1+24)</f>
        <v>43123</v>
      </c>
      <c r="H28" s="13"/>
      <c r="I28" s="12">
        <f ca="1">IF(DAY(DimJan1)=1,DimJan1+18,DimJan1+25)</f>
        <v>43124</v>
      </c>
      <c r="J28" s="13"/>
      <c r="K28" s="12">
        <f ca="1">IF(DAY(DimJan1)=1,DimJan1+19,DimJan1+26)</f>
        <v>43125</v>
      </c>
      <c r="L28" s="13"/>
      <c r="M28" s="12">
        <f ca="1">IF(DAY(DimJan1)=1,DimJan1+20,DimJan1+27)</f>
        <v>43126</v>
      </c>
      <c r="N28" s="13"/>
      <c r="O28" s="12">
        <f ca="1">IF(DAY(DimJan1)=1,DimJan1+21,DimJan1+28)</f>
        <v>43127</v>
      </c>
    </row>
    <row r="29" spans="1:22" ht="55.5" customHeight="1" x14ac:dyDescent="0.25">
      <c r="A29" s="7"/>
      <c r="B29" s="41"/>
      <c r="C29" s="42"/>
      <c r="D29" s="42"/>
      <c r="E29" s="42"/>
      <c r="F29" s="42"/>
      <c r="G29" s="42"/>
      <c r="H29" s="42"/>
      <c r="I29" s="42"/>
      <c r="J29" s="42"/>
      <c r="K29" s="42"/>
      <c r="L29" s="43"/>
      <c r="M29" s="43"/>
      <c r="N29" s="43"/>
      <c r="O29" s="43"/>
    </row>
    <row r="30" spans="1:22" ht="8.25" customHeight="1" x14ac:dyDescent="0.25">
      <c r="A30" s="7"/>
      <c r="B30" s="46"/>
      <c r="C30" s="46"/>
      <c r="D30" s="46"/>
      <c r="E30" s="46"/>
      <c r="F30" s="46"/>
      <c r="G30" s="46"/>
      <c r="H30" s="46"/>
      <c r="I30" s="46"/>
      <c r="J30" s="46"/>
      <c r="K30" s="46"/>
      <c r="L30" s="47"/>
      <c r="M30" s="47"/>
      <c r="N30" s="47"/>
      <c r="O30" s="47"/>
    </row>
    <row r="31" spans="1:22" s="14" customFormat="1" ht="16.5" customHeight="1" x14ac:dyDescent="0.25">
      <c r="A31" s="10"/>
      <c r="B31" s="17"/>
      <c r="C31" s="12">
        <f ca="1">IF(DAY(DimJan1)=1,DimJan1+22,DimJan1+29)</f>
        <v>43128</v>
      </c>
      <c r="D31" s="13"/>
      <c r="E31" s="12">
        <f ca="1">IF(DAY(DimJan1)=1,DimJan1+23,DimJan1+30)</f>
        <v>43129</v>
      </c>
      <c r="F31" s="13"/>
      <c r="G31" s="12">
        <f ca="1">IF(DAY(DimJan1)=1,DimJan1+24,DimJan1+31)</f>
        <v>43130</v>
      </c>
      <c r="H31" s="13"/>
      <c r="I31" s="12">
        <f ca="1">IF(DAY(DimJan1)=1,DimJan1+25,DimJan1+32)</f>
        <v>43131</v>
      </c>
      <c r="J31" s="13"/>
      <c r="K31" s="12">
        <f ca="1">IF(DAY(DimJan1)=1,DimJan1+26,DimJan1+33)</f>
        <v>43132</v>
      </c>
      <c r="L31" s="13"/>
      <c r="M31" s="12">
        <f ca="1">IF(DAY(DimJan1)=1,DimJan1+27,DimJan1+34)</f>
        <v>43133</v>
      </c>
      <c r="N31" s="13"/>
      <c r="O31" s="12">
        <f ca="1">IF(DAY(DimJan1)=1,DimJan1+28,DimJan1+35)</f>
        <v>43134</v>
      </c>
    </row>
    <row r="32" spans="1:22" ht="55.5" customHeight="1" x14ac:dyDescent="0.25">
      <c r="A32" s="7"/>
      <c r="B32" s="41"/>
      <c r="C32" s="42"/>
      <c r="D32" s="42"/>
      <c r="E32" s="42"/>
      <c r="F32" s="42"/>
      <c r="G32" s="42"/>
      <c r="H32" s="42"/>
      <c r="I32" s="42"/>
      <c r="J32" s="42"/>
      <c r="K32" s="42"/>
      <c r="L32" s="43"/>
      <c r="M32" s="43"/>
      <c r="N32" s="43"/>
      <c r="O32" s="43"/>
    </row>
    <row r="33" spans="1:16" ht="8.25" customHeight="1" x14ac:dyDescent="0.25">
      <c r="A33" s="7"/>
      <c r="B33" s="46"/>
      <c r="C33" s="46"/>
      <c r="D33" s="46"/>
      <c r="E33" s="46"/>
      <c r="F33" s="46"/>
      <c r="G33" s="46"/>
      <c r="H33" s="46"/>
      <c r="I33" s="46"/>
      <c r="J33" s="46"/>
      <c r="K33" s="46"/>
      <c r="L33" s="47"/>
      <c r="M33" s="47"/>
      <c r="N33" s="47"/>
      <c r="O33" s="47"/>
    </row>
    <row r="34" spans="1:16" s="14" customFormat="1" ht="16.5" customHeight="1" x14ac:dyDescent="0.25">
      <c r="A34" s="10"/>
      <c r="B34" s="17"/>
      <c r="C34" s="12">
        <f ca="1">IF(DAY(DimJan1)=1,DimJan1+29,DimJan1+36)</f>
        <v>43135</v>
      </c>
      <c r="D34" s="13"/>
      <c r="E34" s="12">
        <f ca="1">IF(DAY(DimJan1)=1,DimJan1+30,DimJan1+37)</f>
        <v>43136</v>
      </c>
      <c r="F34" s="13"/>
      <c r="G34" s="12">
        <f ca="1">IF(DAY(DimJan1)=1,DimJan1+31,DimJan1+38)</f>
        <v>43137</v>
      </c>
      <c r="H34" s="13"/>
      <c r="I34" s="12">
        <f ca="1">IF(DAY(DimJan1)=1,DimJan1+32,DimJan1+39)</f>
        <v>43138</v>
      </c>
      <c r="J34" s="17"/>
      <c r="K34" s="12">
        <f ca="1">IF(DAY(DimJan1)=1,DimJan1+33,DimJan1+40)</f>
        <v>43139</v>
      </c>
      <c r="L34" s="13"/>
      <c r="M34" s="12">
        <f ca="1">IF(DAY(DimJan1)=1,DimJan1+34,DimJan1+41)</f>
        <v>43140</v>
      </c>
      <c r="N34" s="13"/>
      <c r="O34" s="12">
        <f ca="1">IF(DAY(DimJan1)=1,DimJan1+35,DimJan1+42)</f>
        <v>43141</v>
      </c>
    </row>
    <row r="35" spans="1:16" ht="55.5" customHeight="1" x14ac:dyDescent="0.25">
      <c r="A35" s="7"/>
      <c r="B35" s="41"/>
      <c r="C35" s="42"/>
      <c r="D35" s="42"/>
      <c r="E35" s="42"/>
      <c r="F35" s="45"/>
      <c r="G35" s="45"/>
      <c r="H35" s="45"/>
      <c r="I35" s="45"/>
      <c r="J35" s="45"/>
      <c r="K35" s="45"/>
      <c r="L35" s="45"/>
      <c r="M35" s="45"/>
      <c r="N35" s="45"/>
      <c r="O35" s="45"/>
    </row>
    <row r="36" spans="1:16" ht="7.5" customHeight="1" x14ac:dyDescent="0.2">
      <c r="B36" s="18"/>
      <c r="C36" s="18"/>
      <c r="D36" s="18"/>
      <c r="E36" s="18"/>
      <c r="F36" s="18"/>
      <c r="G36" s="18"/>
      <c r="H36" s="18"/>
      <c r="I36" s="18"/>
      <c r="J36" s="18"/>
      <c r="K36" s="18"/>
      <c r="L36" s="18"/>
      <c r="M36" s="18"/>
      <c r="N36" s="18"/>
      <c r="O36" s="18"/>
    </row>
    <row r="38" spans="1:16" ht="54" customHeight="1" x14ac:dyDescent="0.2">
      <c r="A38" s="48" t="str">
        <f ca="1">TEXT(DATE(AnnéeCalendrier,2,1),"mmmm")</f>
        <v>February</v>
      </c>
      <c r="B38" s="48"/>
      <c r="C38" s="48"/>
      <c r="D38" s="48"/>
      <c r="E38" s="48"/>
      <c r="F38" s="48"/>
      <c r="G38" s="48"/>
      <c r="H38" s="2"/>
      <c r="I38" s="3"/>
      <c r="J38" s="3"/>
      <c r="L38" s="39">
        <f ca="1">AnnéeCalendrier</f>
        <v>2018</v>
      </c>
      <c r="M38" s="39"/>
      <c r="N38" s="39"/>
      <c r="O38" s="39"/>
      <c r="P38" s="39"/>
    </row>
    <row r="39" spans="1:16" ht="18.75" customHeight="1" x14ac:dyDescent="0.35">
      <c r="A39" s="4"/>
      <c r="B39" s="5"/>
      <c r="C39" s="5"/>
      <c r="D39" s="5"/>
      <c r="E39" s="6"/>
      <c r="F39" s="6"/>
      <c r="G39" s="6"/>
      <c r="H39" s="3"/>
      <c r="I39" s="3"/>
      <c r="J39" s="3"/>
      <c r="L39" s="49"/>
      <c r="M39" s="49"/>
      <c r="N39" s="49"/>
      <c r="O39" s="49"/>
    </row>
    <row r="40" spans="1:16" ht="18.75" customHeight="1" x14ac:dyDescent="0.35">
      <c r="A40" s="4"/>
      <c r="B40" s="5"/>
      <c r="C40" s="5"/>
      <c r="D40" s="5"/>
      <c r="E40" s="6"/>
      <c r="F40" s="6"/>
      <c r="G40" s="6"/>
      <c r="H40" s="3"/>
      <c r="I40" s="3"/>
      <c r="J40" s="3"/>
    </row>
    <row r="41" spans="1:16" ht="18.75" customHeight="1" x14ac:dyDescent="0.35">
      <c r="A41" s="4"/>
      <c r="B41" s="5"/>
      <c r="C41" s="5"/>
      <c r="D41" s="5"/>
      <c r="E41" s="6"/>
      <c r="F41" s="6"/>
      <c r="G41" s="6"/>
      <c r="H41" s="3"/>
      <c r="I41" s="3"/>
      <c r="J41" s="3"/>
    </row>
    <row r="42" spans="1:16" ht="18.75" customHeight="1" x14ac:dyDescent="0.35">
      <c r="A42" s="4"/>
      <c r="B42" s="5"/>
      <c r="C42" s="5"/>
      <c r="D42" s="5"/>
      <c r="E42" s="6"/>
      <c r="F42" s="6"/>
      <c r="G42" s="6"/>
      <c r="H42" s="3"/>
      <c r="I42" s="3"/>
      <c r="J42" s="3"/>
    </row>
    <row r="43" spans="1:16" ht="18.75" customHeight="1" x14ac:dyDescent="0.35">
      <c r="A43" s="4"/>
      <c r="B43" s="5"/>
      <c r="C43" s="5"/>
      <c r="D43" s="5"/>
      <c r="E43" s="6"/>
      <c r="F43" s="6"/>
      <c r="G43" s="6"/>
      <c r="H43" s="3"/>
      <c r="I43" s="3"/>
      <c r="J43" s="3"/>
    </row>
    <row r="44" spans="1:16" ht="18.75" customHeight="1" x14ac:dyDescent="0.35">
      <c r="A44" s="4"/>
      <c r="B44" s="5"/>
      <c r="C44" s="5"/>
      <c r="D44" s="5"/>
      <c r="E44" s="6"/>
      <c r="F44" s="6"/>
      <c r="G44" s="6"/>
      <c r="H44" s="3"/>
      <c r="I44" s="3"/>
      <c r="J44" s="3"/>
    </row>
    <row r="45" spans="1:16" ht="18.75" customHeight="1" x14ac:dyDescent="0.35">
      <c r="A45" s="4"/>
      <c r="B45" s="5"/>
      <c r="C45" s="5"/>
      <c r="D45" s="5"/>
      <c r="E45" s="6"/>
      <c r="F45" s="6"/>
      <c r="G45" s="6"/>
      <c r="H45" s="3"/>
      <c r="I45" s="3"/>
      <c r="J45" s="3"/>
    </row>
    <row r="46" spans="1:16" ht="18.75" customHeight="1" x14ac:dyDescent="0.35">
      <c r="A46" s="4"/>
      <c r="B46" s="5"/>
      <c r="C46" s="5"/>
      <c r="D46" s="5"/>
      <c r="E46" s="6"/>
      <c r="F46" s="6"/>
      <c r="G46" s="6"/>
      <c r="H46" s="3"/>
      <c r="I46" s="3"/>
      <c r="J46" s="3"/>
    </row>
    <row r="47" spans="1:16" ht="18.75" customHeight="1" x14ac:dyDescent="0.35">
      <c r="A47" s="4"/>
      <c r="B47" s="5"/>
      <c r="C47" s="5"/>
      <c r="D47" s="5"/>
      <c r="E47" s="6"/>
      <c r="F47" s="6"/>
      <c r="G47" s="6"/>
      <c r="H47" s="3"/>
      <c r="I47" s="3"/>
      <c r="J47" s="3"/>
    </row>
    <row r="48" spans="1:16" ht="18.75" customHeight="1" x14ac:dyDescent="0.35">
      <c r="A48" s="4"/>
      <c r="B48" s="5"/>
      <c r="C48" s="5"/>
      <c r="D48" s="5"/>
      <c r="E48" s="6"/>
      <c r="F48" s="6"/>
      <c r="G48" s="6"/>
      <c r="H48" s="3"/>
      <c r="I48" s="3"/>
      <c r="J48" s="3"/>
    </row>
    <row r="49" spans="1:22" ht="18.75" customHeight="1" x14ac:dyDescent="0.35">
      <c r="A49" s="4"/>
      <c r="B49" s="5"/>
      <c r="C49" s="5"/>
      <c r="D49" s="5"/>
      <c r="E49" s="6"/>
      <c r="F49" s="6"/>
      <c r="G49" s="6"/>
      <c r="H49" s="3"/>
      <c r="I49" s="3"/>
      <c r="J49" s="3"/>
    </row>
    <row r="50" spans="1:22" ht="18.75" customHeight="1" x14ac:dyDescent="0.35">
      <c r="A50" s="4"/>
      <c r="B50" s="5"/>
      <c r="C50" s="5"/>
      <c r="D50" s="5"/>
      <c r="E50" s="6"/>
      <c r="F50" s="6"/>
      <c r="G50" s="6"/>
      <c r="H50" s="3"/>
      <c r="I50" s="3"/>
      <c r="J50" s="3"/>
    </row>
    <row r="51" spans="1:22" ht="18.75" customHeight="1" x14ac:dyDescent="0.35">
      <c r="A51" s="4"/>
      <c r="B51" s="5"/>
      <c r="C51" s="5"/>
      <c r="D51" s="5"/>
      <c r="E51" s="6"/>
      <c r="F51" s="6"/>
      <c r="G51" s="6"/>
      <c r="H51" s="3"/>
      <c r="I51" s="3"/>
      <c r="J51" s="3"/>
    </row>
    <row r="52" spans="1:22" ht="18.75" customHeight="1" x14ac:dyDescent="0.35">
      <c r="A52" s="4"/>
      <c r="B52" s="5"/>
      <c r="C52" s="5"/>
      <c r="D52" s="5"/>
      <c r="E52" s="6"/>
      <c r="F52" s="6"/>
      <c r="G52" s="6"/>
      <c r="H52" s="3"/>
      <c r="I52" s="3"/>
      <c r="J52" s="3"/>
    </row>
    <row r="53" spans="1:22" ht="18.75" customHeight="1" x14ac:dyDescent="0.25">
      <c r="A53" s="7"/>
      <c r="B53" s="8"/>
      <c r="C53" s="8"/>
      <c r="D53" s="8"/>
      <c r="E53" s="8"/>
      <c r="F53" s="8"/>
      <c r="G53" s="8"/>
      <c r="H53" s="8"/>
      <c r="I53" s="8"/>
      <c r="J53" s="8"/>
      <c r="K53" s="8"/>
      <c r="L53" s="8"/>
      <c r="M53" s="8"/>
      <c r="N53" s="8"/>
      <c r="O53" s="8"/>
    </row>
    <row r="54" spans="1:22" s="7" customFormat="1" ht="27" customHeight="1" x14ac:dyDescent="0.25">
      <c r="B54" s="44" t="s">
        <v>6</v>
      </c>
      <c r="C54" s="44"/>
      <c r="D54" s="40" t="s">
        <v>0</v>
      </c>
      <c r="E54" s="40"/>
      <c r="F54" s="40" t="s">
        <v>1</v>
      </c>
      <c r="G54" s="40"/>
      <c r="H54" s="40" t="s">
        <v>2</v>
      </c>
      <c r="I54" s="40"/>
      <c r="J54" s="40" t="s">
        <v>3</v>
      </c>
      <c r="K54" s="40"/>
      <c r="L54" s="40" t="s">
        <v>4</v>
      </c>
      <c r="M54" s="40"/>
      <c r="N54" s="40" t="s">
        <v>5</v>
      </c>
      <c r="O54" s="40"/>
      <c r="P54" s="1"/>
      <c r="Q54" s="9"/>
      <c r="U54" s="1"/>
      <c r="V54" s="1"/>
    </row>
    <row r="55" spans="1:22" s="10" customFormat="1" ht="16.5" customHeight="1" x14ac:dyDescent="0.25">
      <c r="B55" s="11"/>
      <c r="C55" s="12">
        <f ca="1">IF(DAY(DimFév1)=1,DimFév1-6,DimFév1+1)</f>
        <v>43128</v>
      </c>
      <c r="D55" s="13"/>
      <c r="E55" s="12">
        <f ca="1">IF(DAY(DimFév1)=1,DimFév1-5,DimFév1+2)</f>
        <v>43129</v>
      </c>
      <c r="F55" s="13"/>
      <c r="G55" s="12">
        <f ca="1">IF(DAY(DimFév1)=1,DimFév1-4,DimFév1+3)</f>
        <v>43130</v>
      </c>
      <c r="H55" s="13"/>
      <c r="I55" s="12">
        <f ca="1">IF(DAY(DimFév1)=1,DimFév1-3,DimFév1+4)</f>
        <v>43131</v>
      </c>
      <c r="J55" s="13"/>
      <c r="K55" s="12">
        <f ca="1">IF(DAY(DimFév1)=1,DimFév1-2,DimFév1+5)</f>
        <v>43132</v>
      </c>
      <c r="L55" s="13"/>
      <c r="M55" s="12">
        <f ca="1">IF(DAY(DimFév1)=1,DimFév1-1,DimFév1+6)</f>
        <v>43133</v>
      </c>
      <c r="N55" s="13"/>
      <c r="O55" s="12">
        <f ca="1">IF(DAY(DimFév1)=1,DimFév1,DimFév1+7)</f>
        <v>43134</v>
      </c>
      <c r="P55" s="14"/>
      <c r="Q55" s="14"/>
      <c r="U55" s="15"/>
      <c r="V55" s="14"/>
    </row>
    <row r="56" spans="1:22" s="16" customFormat="1" ht="55.5" customHeight="1" x14ac:dyDescent="0.25">
      <c r="A56" s="7"/>
      <c r="B56" s="41"/>
      <c r="C56" s="42"/>
      <c r="D56" s="42"/>
      <c r="E56" s="42"/>
      <c r="F56" s="42"/>
      <c r="G56" s="42"/>
      <c r="H56" s="42"/>
      <c r="I56" s="42"/>
      <c r="J56" s="42"/>
      <c r="K56" s="42"/>
      <c r="L56" s="43"/>
      <c r="M56" s="43"/>
      <c r="N56" s="43"/>
      <c r="O56" s="43"/>
    </row>
    <row r="57" spans="1:22" s="16" customFormat="1" ht="8.25" customHeight="1" x14ac:dyDescent="0.25">
      <c r="A57" s="7"/>
      <c r="B57" s="46"/>
      <c r="C57" s="46"/>
      <c r="D57" s="46"/>
      <c r="E57" s="46"/>
      <c r="F57" s="46"/>
      <c r="G57" s="46"/>
      <c r="H57" s="46"/>
      <c r="I57" s="46"/>
      <c r="J57" s="46"/>
      <c r="K57" s="46"/>
      <c r="L57" s="47"/>
      <c r="M57" s="47"/>
      <c r="N57" s="47"/>
      <c r="O57" s="47"/>
    </row>
    <row r="58" spans="1:22" s="14" customFormat="1" ht="16.5" customHeight="1" x14ac:dyDescent="0.25">
      <c r="A58" s="10"/>
      <c r="B58" s="17"/>
      <c r="C58" s="12">
        <f ca="1">IF(DAY(DimFév1)=1,DimFév1+1,DimFév1+8)</f>
        <v>43135</v>
      </c>
      <c r="D58" s="13"/>
      <c r="E58" s="12">
        <f ca="1">IF(DAY(DimFév1)=1,DimFév1+2,DimFév1+9)</f>
        <v>43136</v>
      </c>
      <c r="F58" s="13"/>
      <c r="G58" s="12">
        <f ca="1">IF(DAY(DimFév1)=1,DimFév1+3,DimFév1+10)</f>
        <v>43137</v>
      </c>
      <c r="H58" s="13"/>
      <c r="I58" s="12">
        <f ca="1">IF(DAY(DimFév1)=1,DimFév1+4,DimFév1+11)</f>
        <v>43138</v>
      </c>
      <c r="J58" s="13"/>
      <c r="K58" s="12">
        <f ca="1">IF(DAY(DimFév1)=1,DimFév1+5,DimFév1+12)</f>
        <v>43139</v>
      </c>
      <c r="L58" s="13"/>
      <c r="M58" s="12">
        <f ca="1">IF(DAY(DimFév1)=1,DimFév1+6,DimFév1+13)</f>
        <v>43140</v>
      </c>
      <c r="N58" s="13"/>
      <c r="O58" s="12">
        <f ca="1">IF(DAY(DimFév1)=1,DimFév1+7,DimFév1+14)</f>
        <v>43141</v>
      </c>
    </row>
    <row r="59" spans="1:22" ht="55.5" customHeight="1" x14ac:dyDescent="0.25">
      <c r="A59" s="7"/>
      <c r="B59" s="41"/>
      <c r="C59" s="42"/>
      <c r="D59" s="42"/>
      <c r="E59" s="42"/>
      <c r="F59" s="42" t="s">
        <v>7</v>
      </c>
      <c r="G59" s="42"/>
      <c r="H59" s="42"/>
      <c r="I59" s="42"/>
      <c r="J59" s="42"/>
      <c r="K59" s="42"/>
      <c r="L59" s="43"/>
      <c r="M59" s="43"/>
      <c r="N59" s="43"/>
      <c r="O59" s="43"/>
    </row>
    <row r="60" spans="1:22" ht="8.25" customHeight="1" x14ac:dyDescent="0.25">
      <c r="A60" s="7"/>
      <c r="B60" s="46"/>
      <c r="C60" s="46"/>
      <c r="D60" s="46"/>
      <c r="E60" s="46"/>
      <c r="F60" s="46"/>
      <c r="G60" s="46"/>
      <c r="H60" s="46"/>
      <c r="I60" s="46"/>
      <c r="J60" s="46"/>
      <c r="K60" s="46"/>
      <c r="L60" s="47"/>
      <c r="M60" s="47"/>
      <c r="N60" s="47"/>
      <c r="O60" s="47"/>
    </row>
    <row r="61" spans="1:22" s="14" customFormat="1" ht="16.5" customHeight="1" x14ac:dyDescent="0.25">
      <c r="A61" s="10"/>
      <c r="B61" s="17"/>
      <c r="C61" s="12">
        <f ca="1">IF(DAY(DimFév1)=1,DimFév1+8,DimFév1+15)</f>
        <v>43142</v>
      </c>
      <c r="D61" s="13"/>
      <c r="E61" s="12">
        <f ca="1">IF(DAY(DimFév1)=1,DimFév1+9,DimFév1+16)</f>
        <v>43143</v>
      </c>
      <c r="F61" s="13"/>
      <c r="G61" s="12">
        <f ca="1">IF(DAY(DimFév1)=1,DimFév1+10,DimFév1+17)</f>
        <v>43144</v>
      </c>
      <c r="H61" s="13"/>
      <c r="I61" s="12">
        <f ca="1">IF(DAY(DimFév1)=1,DimFév1+11,DimFév1+18)</f>
        <v>43145</v>
      </c>
      <c r="J61" s="13"/>
      <c r="K61" s="12">
        <f ca="1">IF(DAY(DimFév1)=1,DimFév1+12,DimFév1+19)</f>
        <v>43146</v>
      </c>
      <c r="L61" s="13"/>
      <c r="M61" s="12">
        <f ca="1">IF(DAY(DimFév1)=1,DimFév1+13,DimFév1+20)</f>
        <v>43147</v>
      </c>
      <c r="N61" s="13"/>
      <c r="O61" s="12">
        <f ca="1">IF(DAY(DimFév1)=1,DimFév1+14,DimFév1+21)</f>
        <v>43148</v>
      </c>
    </row>
    <row r="62" spans="1:22" ht="55.5" customHeight="1" x14ac:dyDescent="0.25">
      <c r="A62" s="7"/>
      <c r="B62" s="41"/>
      <c r="C62" s="42"/>
      <c r="D62" s="42"/>
      <c r="E62" s="42"/>
      <c r="F62" s="42"/>
      <c r="G62" s="42"/>
      <c r="H62" s="42"/>
      <c r="I62" s="42"/>
      <c r="J62" s="42"/>
      <c r="K62" s="42"/>
      <c r="L62" s="43"/>
      <c r="M62" s="43"/>
      <c r="N62" s="43"/>
      <c r="O62" s="43"/>
    </row>
    <row r="63" spans="1:22" ht="8.25" customHeight="1" x14ac:dyDescent="0.25">
      <c r="A63" s="7"/>
      <c r="B63" s="46"/>
      <c r="C63" s="46"/>
      <c r="D63" s="46"/>
      <c r="E63" s="46"/>
      <c r="F63" s="46"/>
      <c r="G63" s="46"/>
      <c r="H63" s="46"/>
      <c r="I63" s="46"/>
      <c r="J63" s="46"/>
      <c r="K63" s="46"/>
      <c r="L63" s="47"/>
      <c r="M63" s="47"/>
      <c r="N63" s="47"/>
      <c r="O63" s="47"/>
    </row>
    <row r="64" spans="1:22" s="14" customFormat="1" ht="16.5" customHeight="1" x14ac:dyDescent="0.25">
      <c r="A64" s="10"/>
      <c r="B64" s="17"/>
      <c r="C64" s="12">
        <f ca="1">IF(DAY(DimFév1)=1,DimFév1+15,DimFév1+22)</f>
        <v>43149</v>
      </c>
      <c r="D64" s="13"/>
      <c r="E64" s="12">
        <f ca="1">IF(DAY(DimFév1)=1,DimFév1+16,DimFév1+23)</f>
        <v>43150</v>
      </c>
      <c r="F64" s="13"/>
      <c r="G64" s="12">
        <f ca="1">IF(DAY(DimFév1)=1,DimFév1+17,DimFév1+24)</f>
        <v>43151</v>
      </c>
      <c r="H64" s="13"/>
      <c r="I64" s="12">
        <f ca="1">IF(DAY(DimFév1)=1,DimFév1+18,DimFév1+25)</f>
        <v>43152</v>
      </c>
      <c r="J64" s="13"/>
      <c r="K64" s="12">
        <f ca="1">IF(DAY(DimFév1)=1,DimFév1+19,DimFév1+26)</f>
        <v>43153</v>
      </c>
      <c r="L64" s="13"/>
      <c r="M64" s="12">
        <f ca="1">IF(DAY(DimFév1)=1,DimFév1+20,DimFév1+27)</f>
        <v>43154</v>
      </c>
      <c r="N64" s="13"/>
      <c r="O64" s="12">
        <f ca="1">IF(DAY(DimFév1)=1,DimFév1+21,DimFév1+28)</f>
        <v>43155</v>
      </c>
    </row>
    <row r="65" spans="1:16" ht="55.5" customHeight="1" x14ac:dyDescent="0.25">
      <c r="A65" s="7"/>
      <c r="B65" s="41"/>
      <c r="C65" s="42"/>
      <c r="D65" s="42"/>
      <c r="E65" s="42"/>
      <c r="F65" s="42"/>
      <c r="G65" s="42"/>
      <c r="H65" s="42"/>
      <c r="I65" s="42"/>
      <c r="J65" s="42"/>
      <c r="K65" s="42"/>
      <c r="L65" s="43"/>
      <c r="M65" s="43"/>
      <c r="N65" s="43"/>
      <c r="O65" s="43"/>
    </row>
    <row r="66" spans="1:16" ht="8.25" customHeight="1" x14ac:dyDescent="0.25">
      <c r="A66" s="7"/>
      <c r="B66" s="46"/>
      <c r="C66" s="46"/>
      <c r="D66" s="46"/>
      <c r="E66" s="46"/>
      <c r="F66" s="46"/>
      <c r="G66" s="46"/>
      <c r="H66" s="46"/>
      <c r="I66" s="46"/>
      <c r="J66" s="46"/>
      <c r="K66" s="46"/>
      <c r="L66" s="47"/>
      <c r="M66" s="47"/>
      <c r="N66" s="47"/>
      <c r="O66" s="47"/>
    </row>
    <row r="67" spans="1:16" s="14" customFormat="1" ht="16.5" customHeight="1" x14ac:dyDescent="0.25">
      <c r="A67" s="10"/>
      <c r="B67" s="17"/>
      <c r="C67" s="12">
        <f ca="1">IF(DAY(DimFév1)=1,DimFév1+22,DimFév1+29)</f>
        <v>43156</v>
      </c>
      <c r="D67" s="13"/>
      <c r="E67" s="12">
        <f ca="1">IF(DAY(DimFév1)=1,DimFév1+23,DimFév1+30)</f>
        <v>43157</v>
      </c>
      <c r="F67" s="13"/>
      <c r="G67" s="12">
        <f ca="1">IF(DAY(DimFév1)=1,DimFév1+24,DimFév1+31)</f>
        <v>43158</v>
      </c>
      <c r="H67" s="13"/>
      <c r="I67" s="12">
        <f ca="1">IF(DAY(DimFév1)=1,DimFév1+25,DimFév1+32)</f>
        <v>43159</v>
      </c>
      <c r="J67" s="13"/>
      <c r="K67" s="12">
        <f ca="1">IF(DAY(DimFév1)=1,DimFév1+26,DimFév1+33)</f>
        <v>43160</v>
      </c>
      <c r="L67" s="13"/>
      <c r="M67" s="12">
        <f ca="1">IF(DAY(DimFév1)=1,DimFév1+27,DimFév1+34)</f>
        <v>43161</v>
      </c>
      <c r="N67" s="13"/>
      <c r="O67" s="12">
        <f ca="1">IF(DAY(DimFév1)=1,DimFév1+28,DimFév1+35)</f>
        <v>43162</v>
      </c>
    </row>
    <row r="68" spans="1:16" ht="55.5" customHeight="1" x14ac:dyDescent="0.25">
      <c r="A68" s="7"/>
      <c r="B68" s="41"/>
      <c r="C68" s="42"/>
      <c r="D68" s="42"/>
      <c r="E68" s="42"/>
      <c r="F68" s="42"/>
      <c r="G68" s="42"/>
      <c r="H68" s="42"/>
      <c r="I68" s="42"/>
      <c r="J68" s="42"/>
      <c r="K68" s="42"/>
      <c r="L68" s="43"/>
      <c r="M68" s="43"/>
      <c r="N68" s="43"/>
      <c r="O68" s="43"/>
    </row>
    <row r="69" spans="1:16" ht="8.25" customHeight="1" x14ac:dyDescent="0.25">
      <c r="A69" s="7"/>
      <c r="B69" s="46"/>
      <c r="C69" s="46"/>
      <c r="D69" s="46"/>
      <c r="E69" s="46"/>
      <c r="F69" s="46"/>
      <c r="G69" s="46"/>
      <c r="H69" s="46"/>
      <c r="I69" s="46"/>
      <c r="J69" s="46"/>
      <c r="K69" s="46"/>
      <c r="L69" s="47"/>
      <c r="M69" s="47"/>
      <c r="N69" s="47"/>
      <c r="O69" s="47"/>
    </row>
    <row r="70" spans="1:16" s="14" customFormat="1" ht="16.5" customHeight="1" x14ac:dyDescent="0.25">
      <c r="A70" s="10"/>
      <c r="B70" s="17"/>
      <c r="C70" s="12">
        <f ca="1">IF(DAY(DimFév1)=1,DimFév1+29,DimFév1+36)</f>
        <v>43163</v>
      </c>
      <c r="D70" s="13"/>
      <c r="E70" s="12">
        <f ca="1">IF(DAY(DimFév1)=1,DimFév1+30,DimFév1+37)</f>
        <v>43164</v>
      </c>
      <c r="F70" s="13"/>
      <c r="G70" s="12">
        <f ca="1">IF(DAY(DimFév1)=1,DimFév1+31,DimFév1+38)</f>
        <v>43165</v>
      </c>
      <c r="H70" s="13"/>
      <c r="I70" s="12">
        <f ca="1">IF(DAY(DimFév1)=1,DimFév1+32,DimFév1+39)</f>
        <v>43166</v>
      </c>
      <c r="J70" s="17"/>
      <c r="K70" s="12">
        <f ca="1">IF(DAY(DimFév1)=1,DimFév1+33,DimFév1+40)</f>
        <v>43167</v>
      </c>
      <c r="L70" s="13"/>
      <c r="M70" s="12">
        <f ca="1">IF(DAY(DimFév1)=1,DimFév1+34,DimFév1+41)</f>
        <v>43168</v>
      </c>
      <c r="N70" s="13"/>
      <c r="O70" s="12">
        <f ca="1">IF(DAY(DimFév1)=1,DimFév1+35,DimFév1+42)</f>
        <v>43169</v>
      </c>
    </row>
    <row r="71" spans="1:16" ht="55.5" customHeight="1" x14ac:dyDescent="0.25">
      <c r="A71" s="7"/>
      <c r="B71" s="41"/>
      <c r="C71" s="42"/>
      <c r="D71" s="42"/>
      <c r="E71" s="42"/>
      <c r="F71" s="45"/>
      <c r="G71" s="45"/>
      <c r="H71" s="45"/>
      <c r="I71" s="45"/>
      <c r="J71" s="45"/>
      <c r="K71" s="45"/>
      <c r="L71" s="45"/>
      <c r="M71" s="45"/>
      <c r="N71" s="45"/>
      <c r="O71" s="45"/>
    </row>
    <row r="72" spans="1:16" ht="7.5" customHeight="1" x14ac:dyDescent="0.2">
      <c r="B72" s="19"/>
      <c r="C72" s="19"/>
      <c r="D72" s="19"/>
      <c r="E72" s="19"/>
      <c r="F72" s="19"/>
      <c r="G72" s="19"/>
      <c r="H72" s="19"/>
      <c r="I72" s="19"/>
      <c r="J72" s="19"/>
      <c r="K72" s="19"/>
      <c r="L72" s="19"/>
      <c r="M72" s="19"/>
      <c r="N72" s="19"/>
      <c r="O72" s="19"/>
    </row>
    <row r="74" spans="1:16" ht="54" customHeight="1" x14ac:dyDescent="0.2">
      <c r="A74" s="52" t="str">
        <f ca="1">TEXT(DATE(AnnéeCalendrier,3,1),"mmmm")</f>
        <v>March</v>
      </c>
      <c r="B74" s="52"/>
      <c r="C74" s="52"/>
      <c r="D74" s="52"/>
      <c r="E74" s="52"/>
      <c r="F74" s="52"/>
      <c r="G74" s="52"/>
      <c r="H74" s="2"/>
      <c r="I74" s="3"/>
      <c r="J74" s="3"/>
      <c r="L74" s="50">
        <f ca="1">AnnéeCalendrier</f>
        <v>2018</v>
      </c>
      <c r="M74" s="50"/>
      <c r="N74" s="50"/>
      <c r="O74" s="50"/>
      <c r="P74" s="50"/>
    </row>
    <row r="75" spans="1:16" ht="18.95" customHeight="1" x14ac:dyDescent="0.35">
      <c r="A75" s="4"/>
      <c r="B75" s="5"/>
      <c r="C75" s="5"/>
      <c r="D75" s="5"/>
      <c r="E75" s="6"/>
      <c r="F75" s="6"/>
      <c r="G75" s="6"/>
      <c r="H75" s="3"/>
      <c r="I75" s="3"/>
      <c r="J75" s="3"/>
    </row>
    <row r="76" spans="1:16" ht="18.95" customHeight="1" x14ac:dyDescent="0.35">
      <c r="A76" s="4"/>
      <c r="B76" s="5"/>
      <c r="C76" s="5"/>
      <c r="D76" s="5"/>
      <c r="E76" s="6"/>
      <c r="F76" s="6"/>
      <c r="G76" s="6"/>
      <c r="H76" s="3"/>
      <c r="I76" s="3"/>
      <c r="J76" s="3"/>
    </row>
    <row r="77" spans="1:16" ht="18.95" customHeight="1" x14ac:dyDescent="0.35">
      <c r="A77" s="4"/>
      <c r="B77" s="5"/>
      <c r="C77" s="5"/>
      <c r="D77" s="5"/>
      <c r="E77" s="6"/>
      <c r="F77" s="6"/>
      <c r="G77" s="6"/>
      <c r="H77" s="3"/>
      <c r="I77" s="3"/>
      <c r="J77" s="3"/>
    </row>
    <row r="78" spans="1:16" ht="18.95" customHeight="1" x14ac:dyDescent="0.35">
      <c r="A78" s="4"/>
      <c r="B78" s="5"/>
      <c r="C78" s="5"/>
      <c r="D78" s="5"/>
      <c r="E78" s="6"/>
      <c r="F78" s="6"/>
      <c r="G78" s="6"/>
      <c r="H78" s="3"/>
      <c r="I78" s="3"/>
      <c r="J78" s="3"/>
    </row>
    <row r="79" spans="1:16" ht="18.95" customHeight="1" x14ac:dyDescent="0.35">
      <c r="A79" s="4"/>
      <c r="B79" s="5"/>
      <c r="C79" s="5"/>
      <c r="D79" s="5"/>
      <c r="E79" s="6"/>
      <c r="F79" s="6"/>
      <c r="G79" s="6"/>
      <c r="H79" s="3"/>
      <c r="I79" s="3"/>
      <c r="J79" s="3"/>
    </row>
    <row r="80" spans="1:16" ht="18.95" customHeight="1" x14ac:dyDescent="0.35">
      <c r="A80" s="4"/>
      <c r="B80" s="5"/>
      <c r="C80" s="5"/>
      <c r="D80" s="5"/>
      <c r="E80" s="6"/>
      <c r="F80" s="6"/>
      <c r="G80" s="6"/>
      <c r="H80" s="3"/>
      <c r="I80" s="3"/>
      <c r="J80" s="3"/>
    </row>
    <row r="81" spans="1:22" ht="18.95" customHeight="1" x14ac:dyDescent="0.35">
      <c r="A81" s="4"/>
      <c r="B81" s="5"/>
      <c r="C81" s="5"/>
      <c r="D81" s="5"/>
      <c r="E81" s="6"/>
      <c r="F81" s="6"/>
      <c r="G81" s="6"/>
      <c r="H81" s="3"/>
      <c r="I81" s="3"/>
      <c r="J81" s="3"/>
    </row>
    <row r="82" spans="1:22" ht="18.95" customHeight="1" x14ac:dyDescent="0.35">
      <c r="A82" s="4"/>
      <c r="B82" s="5"/>
      <c r="C82" s="5"/>
      <c r="D82" s="5"/>
      <c r="E82" s="6"/>
      <c r="F82" s="6"/>
      <c r="G82" s="6"/>
      <c r="H82" s="3"/>
      <c r="I82" s="3"/>
      <c r="J82" s="3"/>
    </row>
    <row r="83" spans="1:22" ht="18.95" customHeight="1" x14ac:dyDescent="0.35">
      <c r="A83" s="4"/>
      <c r="B83" s="5"/>
      <c r="C83" s="5"/>
      <c r="D83" s="5"/>
      <c r="E83" s="6"/>
      <c r="F83" s="6"/>
      <c r="G83" s="6"/>
      <c r="H83" s="3"/>
      <c r="I83" s="3"/>
      <c r="J83" s="3"/>
    </row>
    <row r="84" spans="1:22" ht="18.95" customHeight="1" x14ac:dyDescent="0.35">
      <c r="A84" s="4"/>
      <c r="B84" s="5"/>
      <c r="C84" s="5"/>
      <c r="D84" s="5"/>
      <c r="E84" s="6"/>
      <c r="F84" s="6"/>
      <c r="G84" s="6"/>
      <c r="H84" s="3"/>
      <c r="I84" s="3"/>
      <c r="J84" s="3"/>
    </row>
    <row r="85" spans="1:22" ht="18.95" customHeight="1" x14ac:dyDescent="0.35">
      <c r="A85" s="4"/>
      <c r="B85" s="5"/>
      <c r="C85" s="5"/>
      <c r="D85" s="5"/>
      <c r="E85" s="6"/>
      <c r="F85" s="6"/>
      <c r="G85" s="6"/>
      <c r="H85" s="3"/>
      <c r="I85" s="3"/>
      <c r="J85" s="3"/>
    </row>
    <row r="86" spans="1:22" ht="18.95" customHeight="1" x14ac:dyDescent="0.35">
      <c r="A86" s="4"/>
      <c r="B86" s="5"/>
      <c r="C86" s="5"/>
      <c r="D86" s="5"/>
      <c r="E86" s="6"/>
      <c r="F86" s="6"/>
      <c r="G86" s="6"/>
      <c r="H86" s="3"/>
      <c r="I86" s="3"/>
      <c r="J86" s="3"/>
    </row>
    <row r="87" spans="1:22" ht="18.95" customHeight="1" x14ac:dyDescent="0.35">
      <c r="A87" s="4"/>
      <c r="B87" s="5"/>
      <c r="C87" s="5"/>
      <c r="D87" s="5"/>
      <c r="E87" s="6"/>
      <c r="F87" s="6"/>
      <c r="G87" s="6"/>
      <c r="H87" s="3"/>
      <c r="I87" s="3"/>
      <c r="J87" s="3"/>
    </row>
    <row r="88" spans="1:22" ht="18.95" customHeight="1" x14ac:dyDescent="0.35">
      <c r="A88" s="4"/>
      <c r="B88" s="5"/>
      <c r="C88" s="5"/>
      <c r="D88" s="5"/>
      <c r="E88" s="6"/>
      <c r="F88" s="6"/>
      <c r="G88" s="6"/>
      <c r="H88" s="3"/>
      <c r="I88" s="3"/>
      <c r="J88" s="3"/>
    </row>
    <row r="89" spans="1:22" ht="18.95" customHeight="1" x14ac:dyDescent="0.25">
      <c r="A89" s="7"/>
      <c r="B89" s="8"/>
      <c r="C89" s="8"/>
      <c r="D89" s="8"/>
      <c r="E89" s="8"/>
      <c r="F89" s="8"/>
      <c r="G89" s="8"/>
      <c r="H89" s="8"/>
      <c r="I89" s="8"/>
      <c r="J89" s="8"/>
      <c r="K89" s="8"/>
      <c r="L89" s="8"/>
      <c r="M89" s="8"/>
      <c r="N89" s="8"/>
      <c r="O89" s="8"/>
    </row>
    <row r="90" spans="1:22" s="7" customFormat="1" ht="27" customHeight="1" x14ac:dyDescent="0.25">
      <c r="B90" s="51" t="s">
        <v>6</v>
      </c>
      <c r="C90" s="51"/>
      <c r="D90" s="51" t="s">
        <v>0</v>
      </c>
      <c r="E90" s="51"/>
      <c r="F90" s="51" t="s">
        <v>1</v>
      </c>
      <c r="G90" s="51"/>
      <c r="H90" s="51" t="s">
        <v>2</v>
      </c>
      <c r="I90" s="51"/>
      <c r="J90" s="51" t="s">
        <v>3</v>
      </c>
      <c r="K90" s="51"/>
      <c r="L90" s="51" t="s">
        <v>4</v>
      </c>
      <c r="M90" s="51"/>
      <c r="N90" s="51" t="s">
        <v>5</v>
      </c>
      <c r="O90" s="51"/>
      <c r="P90" s="1"/>
      <c r="Q90" s="9"/>
      <c r="U90" s="1"/>
      <c r="V90" s="1"/>
    </row>
    <row r="91" spans="1:22" s="10" customFormat="1" ht="16.5" customHeight="1" x14ac:dyDescent="0.25">
      <c r="B91" s="20"/>
      <c r="C91" s="21">
        <f ca="1">IF(DAY(DimMar1)=1,DimMar1-6,DimMar1+1)</f>
        <v>43156</v>
      </c>
      <c r="D91" s="22"/>
      <c r="E91" s="21">
        <f ca="1">IF(DAY(DimMar1)=1,DimMar1-5,DimMar1+2)</f>
        <v>43157</v>
      </c>
      <c r="F91" s="22"/>
      <c r="G91" s="21">
        <f ca="1">IF(DAY(DimMar1)=1,DimMar1-4,DimMar1+3)</f>
        <v>43158</v>
      </c>
      <c r="H91" s="22"/>
      <c r="I91" s="21">
        <f ca="1">IF(DAY(DimMar1)=1,DimMar1-3,DimMar1+4)</f>
        <v>43159</v>
      </c>
      <c r="J91" s="22"/>
      <c r="K91" s="21">
        <f ca="1">IF(DAY(DimMar1)=1,DimMar1-2,DimMar1+5)</f>
        <v>43160</v>
      </c>
      <c r="L91" s="22"/>
      <c r="M91" s="21">
        <f ca="1">IF(DAY(DimMar1)=1,DimMar1-1,DimMar1+6)</f>
        <v>43161</v>
      </c>
      <c r="N91" s="22"/>
      <c r="O91" s="21">
        <f ca="1">IF(DAY(DimMar1)=1,DimMar1,DimMar1+7)</f>
        <v>43162</v>
      </c>
      <c r="P91" s="14"/>
      <c r="Q91" s="14"/>
      <c r="U91" s="15"/>
      <c r="V91" s="14"/>
    </row>
    <row r="92" spans="1:22" s="16" customFormat="1" ht="55.5" customHeight="1" x14ac:dyDescent="0.25">
      <c r="A92" s="7"/>
      <c r="B92" s="56"/>
      <c r="C92" s="57"/>
      <c r="D92" s="57"/>
      <c r="E92" s="57"/>
      <c r="F92" s="57"/>
      <c r="G92" s="57"/>
      <c r="H92" s="57"/>
      <c r="I92" s="57"/>
      <c r="J92" s="57"/>
      <c r="K92" s="57"/>
      <c r="L92" s="53"/>
      <c r="M92" s="53"/>
      <c r="N92" s="53"/>
      <c r="O92" s="53"/>
    </row>
    <row r="93" spans="1:22" s="16" customFormat="1" ht="8.25" customHeight="1" x14ac:dyDescent="0.25">
      <c r="A93" s="7"/>
      <c r="B93" s="54"/>
      <c r="C93" s="54"/>
      <c r="D93" s="54"/>
      <c r="E93" s="54"/>
      <c r="F93" s="54"/>
      <c r="G93" s="54"/>
      <c r="H93" s="54"/>
      <c r="I93" s="54"/>
      <c r="J93" s="54"/>
      <c r="K93" s="54"/>
      <c r="L93" s="55"/>
      <c r="M93" s="55"/>
      <c r="N93" s="55"/>
      <c r="O93" s="55"/>
    </row>
    <row r="94" spans="1:22" s="14" customFormat="1" ht="16.5" customHeight="1" x14ac:dyDescent="0.25">
      <c r="A94" s="10"/>
      <c r="B94" s="23"/>
      <c r="C94" s="21">
        <f ca="1">IF(DAY(DimMar1)=1,DimMar1+1,DimMar1+8)</f>
        <v>43163</v>
      </c>
      <c r="D94" s="22"/>
      <c r="E94" s="21">
        <f ca="1">IF(DAY(DimMar1)=1,DimMar1+2,DimMar1+9)</f>
        <v>43164</v>
      </c>
      <c r="F94" s="22"/>
      <c r="G94" s="21">
        <f ca="1">IF(DAY(DimMar1)=1,DimMar1+3,DimMar1+10)</f>
        <v>43165</v>
      </c>
      <c r="H94" s="22"/>
      <c r="I94" s="21">
        <f ca="1">IF(DAY(DimMar1)=1,DimMar1+4,DimMar1+11)</f>
        <v>43166</v>
      </c>
      <c r="J94" s="22"/>
      <c r="K94" s="21">
        <f ca="1">IF(DAY(DimMar1)=1,DimMar1+5,DimMar1+12)</f>
        <v>43167</v>
      </c>
      <c r="L94" s="22"/>
      <c r="M94" s="21">
        <f ca="1">IF(DAY(DimMar1)=1,DimMar1+6,DimMar1+13)</f>
        <v>43168</v>
      </c>
      <c r="N94" s="22"/>
      <c r="O94" s="21">
        <f ca="1">IF(DAY(DimMar1)=1,DimMar1+7,DimMar1+14)</f>
        <v>43169</v>
      </c>
    </row>
    <row r="95" spans="1:22" ht="55.5" customHeight="1" x14ac:dyDescent="0.25">
      <c r="A95" s="7"/>
      <c r="B95" s="56"/>
      <c r="C95" s="57"/>
      <c r="D95" s="57"/>
      <c r="E95" s="57"/>
      <c r="F95" s="57" t="s">
        <v>7</v>
      </c>
      <c r="G95" s="57"/>
      <c r="H95" s="57"/>
      <c r="I95" s="57"/>
      <c r="J95" s="57"/>
      <c r="K95" s="57"/>
      <c r="L95" s="53"/>
      <c r="M95" s="53"/>
      <c r="N95" s="53"/>
      <c r="O95" s="53"/>
    </row>
    <row r="96" spans="1:22" ht="8.25" customHeight="1" x14ac:dyDescent="0.25">
      <c r="A96" s="7"/>
      <c r="B96" s="54"/>
      <c r="C96" s="54"/>
      <c r="D96" s="54"/>
      <c r="E96" s="54"/>
      <c r="F96" s="54"/>
      <c r="G96" s="54"/>
      <c r="H96" s="54"/>
      <c r="I96" s="54"/>
      <c r="J96" s="54"/>
      <c r="K96" s="54"/>
      <c r="L96" s="55"/>
      <c r="M96" s="55"/>
      <c r="N96" s="55"/>
      <c r="O96" s="55"/>
    </row>
    <row r="97" spans="1:16" s="14" customFormat="1" ht="16.5" customHeight="1" x14ac:dyDescent="0.25">
      <c r="A97" s="10"/>
      <c r="B97" s="23"/>
      <c r="C97" s="21">
        <f ca="1">IF(DAY(DimMar1)=1,DimMar1+8,DimMar1+15)</f>
        <v>43170</v>
      </c>
      <c r="D97" s="22"/>
      <c r="E97" s="21">
        <f ca="1">IF(DAY(DimMar1)=1,DimMar1+9,DimMar1+16)</f>
        <v>43171</v>
      </c>
      <c r="F97" s="22"/>
      <c r="G97" s="21">
        <f ca="1">IF(DAY(DimMar1)=1,DimMar1+10,DimMar1+17)</f>
        <v>43172</v>
      </c>
      <c r="H97" s="22"/>
      <c r="I97" s="21">
        <f ca="1">IF(DAY(DimMar1)=1,DimMar1+11,DimMar1+18)</f>
        <v>43173</v>
      </c>
      <c r="J97" s="22"/>
      <c r="K97" s="21">
        <f ca="1">IF(DAY(DimMar1)=1,DimMar1+12,DimMar1+19)</f>
        <v>43174</v>
      </c>
      <c r="L97" s="22"/>
      <c r="M97" s="21">
        <f ca="1">IF(DAY(DimMar1)=1,DimMar1+13,DimMar1+20)</f>
        <v>43175</v>
      </c>
      <c r="N97" s="22"/>
      <c r="O97" s="21">
        <f ca="1">IF(DAY(DimMar1)=1,DimMar1+14,DimMar1+21)</f>
        <v>43176</v>
      </c>
    </row>
    <row r="98" spans="1:16" ht="55.5" customHeight="1" x14ac:dyDescent="0.25">
      <c r="A98" s="7"/>
      <c r="B98" s="56"/>
      <c r="C98" s="57"/>
      <c r="D98" s="57"/>
      <c r="E98" s="57"/>
      <c r="F98" s="57"/>
      <c r="G98" s="57"/>
      <c r="H98" s="57"/>
      <c r="I98" s="57"/>
      <c r="J98" s="57"/>
      <c r="K98" s="57"/>
      <c r="L98" s="53"/>
      <c r="M98" s="53"/>
      <c r="N98" s="53"/>
      <c r="O98" s="53"/>
    </row>
    <row r="99" spans="1:16" ht="8.25" customHeight="1" x14ac:dyDescent="0.25">
      <c r="A99" s="7"/>
      <c r="B99" s="54"/>
      <c r="C99" s="54"/>
      <c r="D99" s="54"/>
      <c r="E99" s="54"/>
      <c r="F99" s="54"/>
      <c r="G99" s="54"/>
      <c r="H99" s="54"/>
      <c r="I99" s="54"/>
      <c r="J99" s="54"/>
      <c r="K99" s="54"/>
      <c r="L99" s="55"/>
      <c r="M99" s="55"/>
      <c r="N99" s="55"/>
      <c r="O99" s="55"/>
    </row>
    <row r="100" spans="1:16" s="14" customFormat="1" ht="16.5" customHeight="1" x14ac:dyDescent="0.25">
      <c r="A100" s="10"/>
      <c r="B100" s="23"/>
      <c r="C100" s="21">
        <f ca="1">IF(DAY(DimMar1)=1,DimMar1+15,DimMar1+22)</f>
        <v>43177</v>
      </c>
      <c r="D100" s="22"/>
      <c r="E100" s="21">
        <f ca="1">IF(DAY(DimMar1)=1,DimMar1+16,DimMar1+23)</f>
        <v>43178</v>
      </c>
      <c r="F100" s="22"/>
      <c r="G100" s="21">
        <f ca="1">IF(DAY(DimMar1)=1,DimMar1+17,DimMar1+24)</f>
        <v>43179</v>
      </c>
      <c r="H100" s="22"/>
      <c r="I100" s="21">
        <f ca="1">IF(DAY(DimMar1)=1,DimMar1+18,DimMar1+25)</f>
        <v>43180</v>
      </c>
      <c r="J100" s="22"/>
      <c r="K100" s="21">
        <f ca="1">IF(DAY(DimMar1)=1,DimMar1+19,DimMar1+26)</f>
        <v>43181</v>
      </c>
      <c r="L100" s="22"/>
      <c r="M100" s="21">
        <f ca="1">IF(DAY(DimMar1)=1,DimMar1+20,DimMar1+27)</f>
        <v>43182</v>
      </c>
      <c r="N100" s="22"/>
      <c r="O100" s="21">
        <f ca="1">IF(DAY(DimMar1)=1,DimMar1+21,DimMar1+28)</f>
        <v>43183</v>
      </c>
    </row>
    <row r="101" spans="1:16" ht="55.5" customHeight="1" x14ac:dyDescent="0.25">
      <c r="A101" s="7"/>
      <c r="B101" s="56"/>
      <c r="C101" s="57"/>
      <c r="D101" s="57"/>
      <c r="E101" s="57"/>
      <c r="F101" s="57"/>
      <c r="G101" s="57"/>
      <c r="H101" s="57"/>
      <c r="I101" s="57"/>
      <c r="J101" s="57"/>
      <c r="K101" s="57"/>
      <c r="L101" s="53"/>
      <c r="M101" s="53"/>
      <c r="N101" s="53"/>
      <c r="O101" s="53"/>
    </row>
    <row r="102" spans="1:16" ht="8.25" customHeight="1" x14ac:dyDescent="0.25">
      <c r="A102" s="7"/>
      <c r="B102" s="54"/>
      <c r="C102" s="54"/>
      <c r="D102" s="54"/>
      <c r="E102" s="54"/>
      <c r="F102" s="54"/>
      <c r="G102" s="54"/>
      <c r="H102" s="54"/>
      <c r="I102" s="54"/>
      <c r="J102" s="54"/>
      <c r="K102" s="54"/>
      <c r="L102" s="55"/>
      <c r="M102" s="55"/>
      <c r="N102" s="55"/>
      <c r="O102" s="55"/>
    </row>
    <row r="103" spans="1:16" s="14" customFormat="1" ht="16.5" customHeight="1" x14ac:dyDescent="0.25">
      <c r="A103" s="10"/>
      <c r="B103" s="23"/>
      <c r="C103" s="21">
        <f ca="1">IF(DAY(DimMar1)=1,DimMar1+22,DimMar1+29)</f>
        <v>43184</v>
      </c>
      <c r="D103" s="22"/>
      <c r="E103" s="21">
        <f ca="1">IF(DAY(DimMar1)=1,DimMar1+23,DimMar1+30)</f>
        <v>43185</v>
      </c>
      <c r="F103" s="22"/>
      <c r="G103" s="21">
        <f ca="1">IF(DAY(DimMar1)=1,DimMar1+24,DimMar1+31)</f>
        <v>43186</v>
      </c>
      <c r="H103" s="22"/>
      <c r="I103" s="21">
        <f ca="1">IF(DAY(DimMar1)=1,DimMar1+25,DimMar1+32)</f>
        <v>43187</v>
      </c>
      <c r="J103" s="22"/>
      <c r="K103" s="21">
        <f ca="1">IF(DAY(DimMar1)=1,DimMar1+26,DimMar1+33)</f>
        <v>43188</v>
      </c>
      <c r="L103" s="22"/>
      <c r="M103" s="21">
        <f ca="1">IF(DAY(DimMar1)=1,DimMar1+27,DimMar1+34)</f>
        <v>43189</v>
      </c>
      <c r="N103" s="22"/>
      <c r="O103" s="21">
        <f ca="1">IF(DAY(DimMar1)=1,DimMar1+28,DimMar1+35)</f>
        <v>43190</v>
      </c>
    </row>
    <row r="104" spans="1:16" ht="55.5" customHeight="1" x14ac:dyDescent="0.25">
      <c r="A104" s="7"/>
      <c r="B104" s="56"/>
      <c r="C104" s="57"/>
      <c r="D104" s="57"/>
      <c r="E104" s="57"/>
      <c r="F104" s="57"/>
      <c r="G104" s="57"/>
      <c r="H104" s="57"/>
      <c r="I104" s="57"/>
      <c r="J104" s="57"/>
      <c r="K104" s="57"/>
      <c r="L104" s="53"/>
      <c r="M104" s="53"/>
      <c r="N104" s="53"/>
      <c r="O104" s="53"/>
    </row>
    <row r="105" spans="1:16" ht="8.25" customHeight="1" x14ac:dyDescent="0.25">
      <c r="A105" s="7"/>
      <c r="B105" s="54"/>
      <c r="C105" s="54"/>
      <c r="D105" s="54"/>
      <c r="E105" s="54"/>
      <c r="F105" s="54"/>
      <c r="G105" s="54"/>
      <c r="H105" s="54"/>
      <c r="I105" s="54"/>
      <c r="J105" s="54"/>
      <c r="K105" s="54"/>
      <c r="L105" s="55"/>
      <c r="M105" s="55"/>
      <c r="N105" s="55"/>
      <c r="O105" s="55"/>
    </row>
    <row r="106" spans="1:16" s="14" customFormat="1" ht="16.5" customHeight="1" x14ac:dyDescent="0.25">
      <c r="A106" s="10"/>
      <c r="B106" s="23"/>
      <c r="C106" s="21">
        <f ca="1">IF(DAY(DimMar1)=1,DimMar1+29,DimMar1+36)</f>
        <v>43191</v>
      </c>
      <c r="D106" s="22"/>
      <c r="E106" s="21">
        <f ca="1">IF(DAY(DimMar1)=1,DimMar1+30,DimMar1+37)</f>
        <v>43192</v>
      </c>
      <c r="F106" s="22"/>
      <c r="G106" s="21">
        <f ca="1">IF(DAY(DimMar1)=1,DimMar1+31,DimMar1+38)</f>
        <v>43193</v>
      </c>
      <c r="H106" s="22"/>
      <c r="I106" s="21">
        <f ca="1">IF(DAY(DimMar1)=1,DimMar1+32,DimMar1+39)</f>
        <v>43194</v>
      </c>
      <c r="J106" s="22"/>
      <c r="K106" s="21">
        <f ca="1">IF(DAY(DimMar1)=1,DimMar1+33,DimMar1+40)</f>
        <v>43195</v>
      </c>
      <c r="L106" s="22"/>
      <c r="M106" s="21">
        <f ca="1">IF(DAY(DimMar1)=1,DimMar1+34,DimMar1+41)</f>
        <v>43196</v>
      </c>
      <c r="N106" s="22"/>
      <c r="O106" s="21">
        <f ca="1">IF(DAY(DimMar1)=1,DimMar1+35,DimMar1+42)</f>
        <v>43197</v>
      </c>
    </row>
    <row r="107" spans="1:16" ht="55.5" customHeight="1" x14ac:dyDescent="0.25">
      <c r="A107" s="7"/>
      <c r="B107" s="56"/>
      <c r="C107" s="57"/>
      <c r="D107" s="57"/>
      <c r="E107" s="57"/>
      <c r="F107" s="58"/>
      <c r="G107" s="58"/>
      <c r="H107" s="58"/>
      <c r="I107" s="58"/>
      <c r="J107" s="58"/>
      <c r="K107" s="58"/>
      <c r="L107" s="58"/>
      <c r="M107" s="58"/>
      <c r="N107" s="58"/>
      <c r="O107" s="58"/>
    </row>
    <row r="108" spans="1:16" ht="7.5" customHeight="1" x14ac:dyDescent="0.2">
      <c r="B108" s="24"/>
      <c r="C108" s="24"/>
      <c r="D108" s="24"/>
      <c r="E108" s="24"/>
      <c r="F108" s="24"/>
      <c r="G108" s="24"/>
      <c r="H108" s="24"/>
      <c r="I108" s="24"/>
      <c r="J108" s="24"/>
      <c r="K108" s="24"/>
      <c r="L108" s="24"/>
      <c r="M108" s="24"/>
      <c r="N108" s="24"/>
      <c r="O108" s="24"/>
    </row>
    <row r="110" spans="1:16" ht="54" customHeight="1" x14ac:dyDescent="0.2">
      <c r="A110" s="52" t="str">
        <f ca="1">TEXT(DATE(AnnéeCalendrier,4,1),"mmmm")</f>
        <v>April</v>
      </c>
      <c r="B110" s="52"/>
      <c r="C110" s="52"/>
      <c r="D110" s="52"/>
      <c r="E110" s="52"/>
      <c r="F110" s="52"/>
      <c r="G110" s="52"/>
      <c r="H110" s="2"/>
      <c r="I110" s="3"/>
      <c r="J110" s="3"/>
      <c r="L110" s="50">
        <f ca="1">AnnéeCalendrier</f>
        <v>2018</v>
      </c>
      <c r="M110" s="50"/>
      <c r="N110" s="50"/>
      <c r="O110" s="50"/>
      <c r="P110" s="50"/>
    </row>
    <row r="111" spans="1:16" ht="18.95" customHeight="1" x14ac:dyDescent="0.35">
      <c r="A111" s="4"/>
      <c r="B111" s="5"/>
      <c r="C111" s="5"/>
      <c r="D111" s="5"/>
      <c r="E111" s="6"/>
      <c r="F111" s="6"/>
      <c r="G111" s="6"/>
      <c r="H111" s="3"/>
      <c r="I111" s="3"/>
      <c r="J111" s="3"/>
    </row>
    <row r="112" spans="1:16" ht="18.95" customHeight="1" x14ac:dyDescent="0.35">
      <c r="A112" s="4"/>
      <c r="B112" s="5"/>
      <c r="C112" s="5"/>
      <c r="D112" s="5"/>
      <c r="E112" s="6"/>
      <c r="F112" s="6"/>
      <c r="G112" s="6"/>
      <c r="H112" s="3"/>
      <c r="I112" s="3"/>
      <c r="J112" s="3"/>
    </row>
    <row r="113" spans="1:22" ht="18.95" customHeight="1" x14ac:dyDescent="0.35">
      <c r="A113" s="4"/>
      <c r="B113" s="5"/>
      <c r="C113" s="5"/>
      <c r="D113" s="5"/>
      <c r="E113" s="6"/>
      <c r="F113" s="6"/>
      <c r="G113" s="6"/>
      <c r="H113" s="3"/>
      <c r="I113" s="3"/>
      <c r="J113" s="3"/>
    </row>
    <row r="114" spans="1:22" ht="18.95" customHeight="1" x14ac:dyDescent="0.35">
      <c r="A114" s="4"/>
      <c r="B114" s="5"/>
      <c r="C114" s="5"/>
      <c r="D114" s="5"/>
      <c r="E114" s="6"/>
      <c r="F114" s="6"/>
      <c r="G114" s="6"/>
      <c r="H114" s="3"/>
      <c r="I114" s="3"/>
      <c r="J114" s="3"/>
    </row>
    <row r="115" spans="1:22" ht="18.95" customHeight="1" x14ac:dyDescent="0.35">
      <c r="A115" s="4"/>
      <c r="B115" s="5"/>
      <c r="C115" s="5"/>
      <c r="D115" s="5"/>
      <c r="E115" s="6"/>
      <c r="F115" s="6"/>
      <c r="G115" s="6"/>
      <c r="H115" s="3"/>
      <c r="I115" s="3"/>
      <c r="J115" s="3"/>
    </row>
    <row r="116" spans="1:22" ht="18.95" customHeight="1" x14ac:dyDescent="0.35">
      <c r="A116" s="4"/>
      <c r="B116" s="5"/>
      <c r="C116" s="5"/>
      <c r="D116" s="5"/>
      <c r="E116" s="6"/>
      <c r="F116" s="6"/>
      <c r="G116" s="6"/>
      <c r="H116" s="3"/>
      <c r="I116" s="3"/>
      <c r="J116" s="3"/>
    </row>
    <row r="117" spans="1:22" ht="18.95" customHeight="1" x14ac:dyDescent="0.35">
      <c r="A117" s="4"/>
      <c r="B117" s="5"/>
      <c r="C117" s="5"/>
      <c r="D117" s="5"/>
      <c r="E117" s="6"/>
      <c r="F117" s="6"/>
      <c r="G117" s="6"/>
      <c r="H117" s="3"/>
      <c r="I117" s="3"/>
      <c r="J117" s="3"/>
    </row>
    <row r="118" spans="1:22" ht="18.95" customHeight="1" x14ac:dyDescent="0.35">
      <c r="A118" s="4"/>
      <c r="B118" s="5"/>
      <c r="C118" s="5"/>
      <c r="D118" s="5"/>
      <c r="E118" s="6"/>
      <c r="F118" s="6"/>
      <c r="G118" s="6"/>
      <c r="H118" s="3"/>
      <c r="I118" s="3"/>
      <c r="J118" s="3"/>
    </row>
    <row r="119" spans="1:22" ht="18.95" customHeight="1" x14ac:dyDescent="0.35">
      <c r="A119" s="4"/>
      <c r="B119" s="5"/>
      <c r="C119" s="5"/>
      <c r="D119" s="5"/>
      <c r="E119" s="6"/>
      <c r="F119" s="6"/>
      <c r="G119" s="6"/>
      <c r="H119" s="3"/>
      <c r="I119" s="3"/>
      <c r="J119" s="3"/>
    </row>
    <row r="120" spans="1:22" ht="18.95" customHeight="1" x14ac:dyDescent="0.35">
      <c r="A120" s="4"/>
      <c r="B120" s="5"/>
      <c r="C120" s="5"/>
      <c r="D120" s="5"/>
      <c r="E120" s="6"/>
      <c r="F120" s="6"/>
      <c r="G120" s="6"/>
      <c r="H120" s="3"/>
      <c r="I120" s="3"/>
      <c r="J120" s="3"/>
    </row>
    <row r="121" spans="1:22" ht="18.95" customHeight="1" x14ac:dyDescent="0.35">
      <c r="A121" s="4"/>
      <c r="B121" s="5"/>
      <c r="C121" s="5"/>
      <c r="D121" s="5"/>
      <c r="E121" s="6"/>
      <c r="F121" s="6"/>
      <c r="G121" s="6"/>
      <c r="H121" s="3"/>
      <c r="I121" s="3"/>
      <c r="J121" s="3"/>
    </row>
    <row r="122" spans="1:22" ht="18.95" customHeight="1" x14ac:dyDescent="0.35">
      <c r="A122" s="4"/>
      <c r="B122" s="5"/>
      <c r="C122" s="5"/>
      <c r="D122" s="5"/>
      <c r="E122" s="6"/>
      <c r="F122" s="6"/>
      <c r="G122" s="6"/>
      <c r="H122" s="3"/>
      <c r="I122" s="3"/>
      <c r="J122" s="3"/>
    </row>
    <row r="123" spans="1:22" ht="18.95" customHeight="1" x14ac:dyDescent="0.35">
      <c r="A123" s="4"/>
      <c r="B123" s="5"/>
      <c r="C123" s="5"/>
      <c r="D123" s="5"/>
      <c r="E123" s="6"/>
      <c r="F123" s="6"/>
      <c r="G123" s="6"/>
      <c r="H123" s="3"/>
      <c r="I123" s="3"/>
      <c r="J123" s="3"/>
    </row>
    <row r="124" spans="1:22" ht="18.95" customHeight="1" x14ac:dyDescent="0.35">
      <c r="A124" s="4"/>
      <c r="B124" s="5"/>
      <c r="C124" s="5"/>
      <c r="D124" s="5"/>
      <c r="E124" s="6"/>
      <c r="F124" s="6"/>
      <c r="G124" s="6"/>
      <c r="H124" s="3"/>
      <c r="I124" s="3"/>
      <c r="J124" s="3"/>
    </row>
    <row r="125" spans="1:22" ht="18.95" customHeight="1" x14ac:dyDescent="0.25">
      <c r="A125" s="7"/>
      <c r="B125" s="8"/>
      <c r="C125" s="8"/>
      <c r="D125" s="8"/>
      <c r="E125" s="8"/>
      <c r="F125" s="8"/>
      <c r="G125" s="8"/>
      <c r="H125" s="8"/>
      <c r="I125" s="8"/>
      <c r="J125" s="8"/>
      <c r="K125" s="8"/>
      <c r="L125" s="8"/>
      <c r="M125" s="8"/>
      <c r="N125" s="8"/>
      <c r="O125" s="8"/>
    </row>
    <row r="126" spans="1:22" s="7" customFormat="1" ht="27" customHeight="1" x14ac:dyDescent="0.25">
      <c r="B126" s="51" t="s">
        <v>6</v>
      </c>
      <c r="C126" s="51"/>
      <c r="D126" s="51" t="s">
        <v>0</v>
      </c>
      <c r="E126" s="51"/>
      <c r="F126" s="51" t="s">
        <v>1</v>
      </c>
      <c r="G126" s="51"/>
      <c r="H126" s="51" t="s">
        <v>2</v>
      </c>
      <c r="I126" s="51"/>
      <c r="J126" s="51" t="s">
        <v>3</v>
      </c>
      <c r="K126" s="51"/>
      <c r="L126" s="51" t="s">
        <v>4</v>
      </c>
      <c r="M126" s="51"/>
      <c r="N126" s="51" t="s">
        <v>5</v>
      </c>
      <c r="O126" s="51"/>
      <c r="P126" s="1"/>
      <c r="Q126" s="9"/>
      <c r="U126" s="1"/>
      <c r="V126" s="1"/>
    </row>
    <row r="127" spans="1:22" s="10" customFormat="1" ht="16.5" customHeight="1" x14ac:dyDescent="0.25">
      <c r="B127" s="20"/>
      <c r="C127" s="21">
        <f ca="1">IF(DAY(DimAvr1)=1,DimAvr1-6,DimAvr1+1)</f>
        <v>43191</v>
      </c>
      <c r="D127" s="22"/>
      <c r="E127" s="21">
        <f ca="1">IF(DAY(DimAvr1)=1,DimAvr1-5,DimAvr1+2)</f>
        <v>43192</v>
      </c>
      <c r="F127" s="22"/>
      <c r="G127" s="21">
        <f ca="1">IF(DAY(DimAvr1)=1,DimAvr1-4,DimAvr1+3)</f>
        <v>43193</v>
      </c>
      <c r="H127" s="22"/>
      <c r="I127" s="21">
        <f ca="1">IF(DAY(DimAvr1)=1,DimAvr1-3,DimAvr1+4)</f>
        <v>43194</v>
      </c>
      <c r="J127" s="22"/>
      <c r="K127" s="21">
        <f ca="1">IF(DAY(DimAvr1)=1,DimAvr1-2,DimAvr1+5)</f>
        <v>43195</v>
      </c>
      <c r="L127" s="22"/>
      <c r="M127" s="21">
        <f ca="1">IF(DAY(DimAvr1)=1,DimAvr1-1,DimAvr1+6)</f>
        <v>43196</v>
      </c>
      <c r="N127" s="22"/>
      <c r="O127" s="21">
        <f ca="1">IF(DAY(DimAvr1)=1,DimAvr1,DimAvr1+7)</f>
        <v>43197</v>
      </c>
      <c r="P127" s="14"/>
      <c r="Q127" s="14"/>
      <c r="U127" s="15"/>
      <c r="V127" s="14"/>
    </row>
    <row r="128" spans="1:22" s="16" customFormat="1" ht="55.5" customHeight="1" x14ac:dyDescent="0.25">
      <c r="A128" s="7"/>
      <c r="B128" s="56"/>
      <c r="C128" s="57"/>
      <c r="D128" s="57"/>
      <c r="E128" s="57"/>
      <c r="F128" s="57"/>
      <c r="G128" s="57"/>
      <c r="H128" s="57"/>
      <c r="I128" s="57"/>
      <c r="J128" s="57"/>
      <c r="K128" s="57"/>
      <c r="L128" s="53"/>
      <c r="M128" s="53"/>
      <c r="N128" s="53"/>
      <c r="O128" s="53"/>
    </row>
    <row r="129" spans="1:15" s="16" customFormat="1" ht="8.25" customHeight="1" x14ac:dyDescent="0.25">
      <c r="A129" s="7"/>
      <c r="B129" s="54"/>
      <c r="C129" s="54"/>
      <c r="D129" s="54"/>
      <c r="E129" s="54"/>
      <c r="F129" s="54"/>
      <c r="G129" s="54"/>
      <c r="H129" s="54"/>
      <c r="I129" s="54"/>
      <c r="J129" s="54"/>
      <c r="K129" s="54"/>
      <c r="L129" s="55"/>
      <c r="M129" s="55"/>
      <c r="N129" s="55"/>
      <c r="O129" s="55"/>
    </row>
    <row r="130" spans="1:15" s="14" customFormat="1" ht="16.5" customHeight="1" x14ac:dyDescent="0.25">
      <c r="A130" s="10"/>
      <c r="B130" s="23"/>
      <c r="C130" s="21">
        <f ca="1">IF(DAY(DimAvr1)=1,DimAvr1+1,DimAvr1+8)</f>
        <v>43198</v>
      </c>
      <c r="D130" s="22"/>
      <c r="E130" s="21">
        <f ca="1">IF(DAY(DimAvr1)=1,DimAvr1+2,DimAvr1+9)</f>
        <v>43199</v>
      </c>
      <c r="F130" s="22"/>
      <c r="G130" s="21">
        <f ca="1">IF(DAY(DimAvr1)=1,DimAvr1+3,DimAvr1+10)</f>
        <v>43200</v>
      </c>
      <c r="H130" s="22"/>
      <c r="I130" s="21">
        <f ca="1">IF(DAY(DimAvr1)=1,DimAvr1+4,DimAvr1+11)</f>
        <v>43201</v>
      </c>
      <c r="J130" s="22"/>
      <c r="K130" s="21">
        <f ca="1">IF(DAY(DimAvr1)=1,DimAvr1+5,DimAvr1+12)</f>
        <v>43202</v>
      </c>
      <c r="L130" s="22"/>
      <c r="M130" s="21">
        <f ca="1">IF(DAY(DimAvr1)=1,DimAvr1+6,DimAvr1+13)</f>
        <v>43203</v>
      </c>
      <c r="N130" s="22"/>
      <c r="O130" s="21">
        <f ca="1">IF(DAY(DimAvr1)=1,DimAvr1+7,DimAvr1+14)</f>
        <v>43204</v>
      </c>
    </row>
    <row r="131" spans="1:15" ht="55.5" customHeight="1" x14ac:dyDescent="0.25">
      <c r="A131" s="7"/>
      <c r="B131" s="56"/>
      <c r="C131" s="57"/>
      <c r="D131" s="57"/>
      <c r="E131" s="57"/>
      <c r="F131" s="57" t="s">
        <v>7</v>
      </c>
      <c r="G131" s="57"/>
      <c r="H131" s="57"/>
      <c r="I131" s="57"/>
      <c r="J131" s="57"/>
      <c r="K131" s="57"/>
      <c r="L131" s="53"/>
      <c r="M131" s="53"/>
      <c r="N131" s="53"/>
      <c r="O131" s="53"/>
    </row>
    <row r="132" spans="1:15" ht="8.25" customHeight="1" x14ac:dyDescent="0.25">
      <c r="A132" s="7"/>
      <c r="B132" s="54"/>
      <c r="C132" s="54"/>
      <c r="D132" s="54"/>
      <c r="E132" s="54"/>
      <c r="F132" s="54"/>
      <c r="G132" s="54"/>
      <c r="H132" s="54"/>
      <c r="I132" s="54"/>
      <c r="J132" s="54"/>
      <c r="K132" s="54"/>
      <c r="L132" s="55"/>
      <c r="M132" s="55"/>
      <c r="N132" s="55"/>
      <c r="O132" s="55"/>
    </row>
    <row r="133" spans="1:15" s="14" customFormat="1" ht="16.5" customHeight="1" x14ac:dyDescent="0.25">
      <c r="A133" s="10"/>
      <c r="B133" s="23"/>
      <c r="C133" s="21">
        <f ca="1">IF(DAY(DimAvr1)=1,DimAvr1+8,DimAvr1+15)</f>
        <v>43205</v>
      </c>
      <c r="D133" s="22"/>
      <c r="E133" s="21">
        <f ca="1">IF(DAY(DimAvr1)=1,DimAvr1+9,DimAvr1+16)</f>
        <v>43206</v>
      </c>
      <c r="F133" s="22"/>
      <c r="G133" s="21">
        <f ca="1">IF(DAY(DimAvr1)=1,DimAvr1+10,DimAvr1+17)</f>
        <v>43207</v>
      </c>
      <c r="H133" s="22"/>
      <c r="I133" s="21">
        <f ca="1">IF(DAY(DimAvr1)=1,DimAvr1+11,DimAvr1+18)</f>
        <v>43208</v>
      </c>
      <c r="J133" s="22"/>
      <c r="K133" s="21">
        <f ca="1">IF(DAY(DimAvr1)=1,DimAvr1+12,DimAvr1+19)</f>
        <v>43209</v>
      </c>
      <c r="L133" s="22"/>
      <c r="M133" s="21">
        <f ca="1">IF(DAY(DimAvr1)=1,DimAvr1+13,DimAvr1+20)</f>
        <v>43210</v>
      </c>
      <c r="N133" s="22"/>
      <c r="O133" s="21">
        <f ca="1">IF(DAY(DimAvr1)=1,DimAvr1+14,DimAvr1+21)</f>
        <v>43211</v>
      </c>
    </row>
    <row r="134" spans="1:15" ht="55.5" customHeight="1" x14ac:dyDescent="0.25">
      <c r="A134" s="7"/>
      <c r="B134" s="56"/>
      <c r="C134" s="57"/>
      <c r="D134" s="57"/>
      <c r="E134" s="57"/>
      <c r="F134" s="57"/>
      <c r="G134" s="57"/>
      <c r="H134" s="57"/>
      <c r="I134" s="57"/>
      <c r="J134" s="57"/>
      <c r="K134" s="57"/>
      <c r="L134" s="53"/>
      <c r="M134" s="53"/>
      <c r="N134" s="53"/>
      <c r="O134" s="53"/>
    </row>
    <row r="135" spans="1:15" ht="8.25" customHeight="1" x14ac:dyDescent="0.25">
      <c r="A135" s="7"/>
      <c r="B135" s="54"/>
      <c r="C135" s="54"/>
      <c r="D135" s="54"/>
      <c r="E135" s="54"/>
      <c r="F135" s="54"/>
      <c r="G135" s="54"/>
      <c r="H135" s="54"/>
      <c r="I135" s="54"/>
      <c r="J135" s="54"/>
      <c r="K135" s="54"/>
      <c r="L135" s="55"/>
      <c r="M135" s="55"/>
      <c r="N135" s="55"/>
      <c r="O135" s="55"/>
    </row>
    <row r="136" spans="1:15" s="14" customFormat="1" ht="16.5" customHeight="1" x14ac:dyDescent="0.25">
      <c r="A136" s="10"/>
      <c r="B136" s="23"/>
      <c r="C136" s="21">
        <f ca="1">IF(DAY(DimAvr1)=1,DimAvr1+15,DimAvr1+22)</f>
        <v>43212</v>
      </c>
      <c r="D136" s="22"/>
      <c r="E136" s="21">
        <f ca="1">IF(DAY(DimAvr1)=1,DimAvr1+16,DimAvr1+23)</f>
        <v>43213</v>
      </c>
      <c r="F136" s="22"/>
      <c r="G136" s="21">
        <f ca="1">IF(DAY(DimAvr1)=1,DimAvr1+17,DimAvr1+24)</f>
        <v>43214</v>
      </c>
      <c r="H136" s="22"/>
      <c r="I136" s="21">
        <f ca="1">IF(DAY(DimAvr1)=1,DimAvr1+18,DimAvr1+25)</f>
        <v>43215</v>
      </c>
      <c r="J136" s="22"/>
      <c r="K136" s="21">
        <f ca="1">IF(DAY(DimAvr1)=1,DimAvr1+19,DimAvr1+26)</f>
        <v>43216</v>
      </c>
      <c r="L136" s="22"/>
      <c r="M136" s="21">
        <f ca="1">IF(DAY(DimAvr1)=1,DimAvr1+20,DimAvr1+27)</f>
        <v>43217</v>
      </c>
      <c r="N136" s="22"/>
      <c r="O136" s="21">
        <f ca="1">IF(DAY(DimAvr1)=1,DimAvr1+21,DimAvr1+28)</f>
        <v>43218</v>
      </c>
    </row>
    <row r="137" spans="1:15" ht="55.5" customHeight="1" x14ac:dyDescent="0.25">
      <c r="A137" s="7"/>
      <c r="B137" s="56"/>
      <c r="C137" s="57"/>
      <c r="D137" s="57"/>
      <c r="E137" s="57"/>
      <c r="F137" s="57"/>
      <c r="G137" s="57"/>
      <c r="H137" s="57"/>
      <c r="I137" s="57"/>
      <c r="J137" s="57"/>
      <c r="K137" s="57"/>
      <c r="L137" s="53"/>
      <c r="M137" s="53"/>
      <c r="N137" s="53"/>
      <c r="O137" s="53"/>
    </row>
    <row r="138" spans="1:15" ht="8.25" customHeight="1" x14ac:dyDescent="0.25">
      <c r="A138" s="7"/>
      <c r="B138" s="54"/>
      <c r="C138" s="54"/>
      <c r="D138" s="54"/>
      <c r="E138" s="54"/>
      <c r="F138" s="54"/>
      <c r="G138" s="54"/>
      <c r="H138" s="54"/>
      <c r="I138" s="54"/>
      <c r="J138" s="54"/>
      <c r="K138" s="54"/>
      <c r="L138" s="55"/>
      <c r="M138" s="55"/>
      <c r="N138" s="55"/>
      <c r="O138" s="55"/>
    </row>
    <row r="139" spans="1:15" s="14" customFormat="1" ht="16.5" customHeight="1" x14ac:dyDescent="0.25">
      <c r="A139" s="10"/>
      <c r="B139" s="23"/>
      <c r="C139" s="21">
        <f ca="1">IF(DAY(DimAvr1)=1,DimAvr1+22,DimAvr1+29)</f>
        <v>43219</v>
      </c>
      <c r="D139" s="22"/>
      <c r="E139" s="21">
        <f ca="1">IF(DAY(DimAvr1)=1,DimAvr1+23,DimAvr1+30)</f>
        <v>43220</v>
      </c>
      <c r="F139" s="22"/>
      <c r="G139" s="21">
        <f ca="1">IF(DAY(DimAvr1)=1,DimAvr1+24,DimAvr1+31)</f>
        <v>43221</v>
      </c>
      <c r="H139" s="22"/>
      <c r="I139" s="21">
        <f ca="1">IF(DAY(DimAvr1)=1,DimAvr1+25,DimAvr1+32)</f>
        <v>43222</v>
      </c>
      <c r="J139" s="22"/>
      <c r="K139" s="21">
        <f ca="1">IF(DAY(DimAvr1)=1,DimAvr1+26,DimAvr1+33)</f>
        <v>43223</v>
      </c>
      <c r="L139" s="22"/>
      <c r="M139" s="21">
        <f ca="1">IF(DAY(DimAvr1)=1,DimAvr1+27,DimAvr1+34)</f>
        <v>43224</v>
      </c>
      <c r="N139" s="22"/>
      <c r="O139" s="21">
        <f ca="1">IF(DAY(DimAvr1)=1,DimAvr1+28,DimAvr1+35)</f>
        <v>43225</v>
      </c>
    </row>
    <row r="140" spans="1:15" ht="55.5" customHeight="1" x14ac:dyDescent="0.25">
      <c r="A140" s="7"/>
      <c r="B140" s="56"/>
      <c r="C140" s="57"/>
      <c r="D140" s="57"/>
      <c r="E140" s="57"/>
      <c r="F140" s="57"/>
      <c r="G140" s="57"/>
      <c r="H140" s="57"/>
      <c r="I140" s="57"/>
      <c r="J140" s="57"/>
      <c r="K140" s="57"/>
      <c r="L140" s="53"/>
      <c r="M140" s="53"/>
      <c r="N140" s="53"/>
      <c r="O140" s="53"/>
    </row>
    <row r="141" spans="1:15" ht="8.25" customHeight="1" x14ac:dyDescent="0.25">
      <c r="A141" s="7"/>
      <c r="B141" s="54"/>
      <c r="C141" s="54"/>
      <c r="D141" s="54"/>
      <c r="E141" s="54"/>
      <c r="F141" s="54"/>
      <c r="G141" s="54"/>
      <c r="H141" s="54"/>
      <c r="I141" s="54"/>
      <c r="J141" s="54"/>
      <c r="K141" s="54"/>
      <c r="L141" s="55"/>
      <c r="M141" s="55"/>
      <c r="N141" s="55"/>
      <c r="O141" s="55"/>
    </row>
    <row r="142" spans="1:15" s="14" customFormat="1" ht="16.5" customHeight="1" x14ac:dyDescent="0.25">
      <c r="A142" s="10"/>
      <c r="B142" s="23"/>
      <c r="C142" s="21">
        <f ca="1">IF(DAY(DimAvr1)=1,DimAvr1+29,DimAvr1+36)</f>
        <v>43226</v>
      </c>
      <c r="D142" s="22"/>
      <c r="E142" s="21">
        <f ca="1">IF(DAY(DimAvr1)=1,DimAvr1+30,DimAvr1+37)</f>
        <v>43227</v>
      </c>
      <c r="F142" s="22"/>
      <c r="G142" s="21">
        <f ca="1">IF(DAY(DimAvr1)=1,DimAvr1+31,DimAvr1+38)</f>
        <v>43228</v>
      </c>
      <c r="H142" s="22"/>
      <c r="I142" s="21">
        <f ca="1">IF(DAY(DimAvr1)=1,DimAvr1+32,DimAvr1+39)</f>
        <v>43229</v>
      </c>
      <c r="J142" s="22"/>
      <c r="K142" s="21">
        <f ca="1">IF(DAY(DimAvr1)=1,DimAvr1+33,DimAvr1+40)</f>
        <v>43230</v>
      </c>
      <c r="L142" s="22"/>
      <c r="M142" s="21">
        <f ca="1">IF(DAY(DimAvr1)=1,DimAvr1+34,DimAvr1+41)</f>
        <v>43231</v>
      </c>
      <c r="N142" s="22"/>
      <c r="O142" s="21">
        <f ca="1">IF(DAY(DimAvr1)=1,DimAvr1+35,DimAvr1+42)</f>
        <v>43232</v>
      </c>
    </row>
    <row r="143" spans="1:15" ht="55.5" customHeight="1" x14ac:dyDescent="0.25">
      <c r="A143" s="7"/>
      <c r="B143" s="56"/>
      <c r="C143" s="57"/>
      <c r="D143" s="57"/>
      <c r="E143" s="57"/>
      <c r="F143" s="58"/>
      <c r="G143" s="58"/>
      <c r="H143" s="58"/>
      <c r="I143" s="58"/>
      <c r="J143" s="58"/>
      <c r="K143" s="58"/>
      <c r="L143" s="58"/>
      <c r="M143" s="58"/>
      <c r="N143" s="58"/>
      <c r="O143" s="58"/>
    </row>
    <row r="144" spans="1:15" ht="7.5" customHeight="1" x14ac:dyDescent="0.2"/>
    <row r="145" spans="1:16" ht="14.25" customHeight="1" x14ac:dyDescent="0.2"/>
    <row r="146" spans="1:16" ht="54" customHeight="1" x14ac:dyDescent="0.2">
      <c r="A146" s="52" t="str">
        <f ca="1">TEXT(DATE(AnnéeCalendrier,5,1),"mmmm")</f>
        <v>May</v>
      </c>
      <c r="B146" s="52"/>
      <c r="C146" s="52"/>
      <c r="D146" s="52"/>
      <c r="E146" s="52"/>
      <c r="F146" s="52"/>
      <c r="G146" s="52"/>
      <c r="H146" s="2"/>
      <c r="I146" s="3"/>
      <c r="J146" s="3"/>
      <c r="L146" s="50">
        <f ca="1">AnnéeCalendrier</f>
        <v>2018</v>
      </c>
      <c r="M146" s="50"/>
      <c r="N146" s="50"/>
      <c r="O146" s="50"/>
      <c r="P146" s="50"/>
    </row>
    <row r="147" spans="1:16" ht="18.95" customHeight="1" x14ac:dyDescent="0.35">
      <c r="A147" s="4"/>
      <c r="B147" s="5"/>
      <c r="C147" s="5"/>
      <c r="D147" s="5"/>
      <c r="E147" s="6"/>
      <c r="F147" s="6"/>
      <c r="G147" s="6"/>
      <c r="H147" s="3"/>
      <c r="I147" s="3"/>
      <c r="J147" s="3"/>
    </row>
    <row r="148" spans="1:16" ht="18.95" customHeight="1" x14ac:dyDescent="0.35">
      <c r="A148" s="4"/>
      <c r="B148" s="5"/>
      <c r="C148" s="5"/>
      <c r="D148" s="5"/>
      <c r="E148" s="6"/>
      <c r="F148" s="6"/>
      <c r="G148" s="6"/>
      <c r="H148" s="3"/>
      <c r="I148" s="3"/>
      <c r="J148" s="3"/>
    </row>
    <row r="149" spans="1:16" ht="18.95" customHeight="1" x14ac:dyDescent="0.35">
      <c r="A149" s="4"/>
      <c r="B149" s="5"/>
      <c r="C149" s="5"/>
      <c r="D149" s="5"/>
      <c r="E149" s="6"/>
      <c r="F149" s="6"/>
      <c r="G149" s="6"/>
      <c r="H149" s="3"/>
      <c r="I149" s="3"/>
      <c r="J149" s="3"/>
    </row>
    <row r="150" spans="1:16" ht="18.95" customHeight="1" x14ac:dyDescent="0.35">
      <c r="A150" s="4"/>
      <c r="B150" s="5"/>
      <c r="C150" s="5"/>
      <c r="D150" s="5"/>
      <c r="E150" s="6"/>
      <c r="F150" s="6"/>
      <c r="G150" s="6"/>
      <c r="H150" s="3"/>
      <c r="I150" s="3"/>
      <c r="J150" s="3"/>
    </row>
    <row r="151" spans="1:16" ht="18.95" customHeight="1" x14ac:dyDescent="0.35">
      <c r="A151" s="4"/>
      <c r="B151" s="5"/>
      <c r="C151" s="5"/>
      <c r="D151" s="5"/>
      <c r="E151" s="6"/>
      <c r="F151" s="6"/>
      <c r="G151" s="6"/>
      <c r="H151" s="3"/>
      <c r="I151" s="3"/>
      <c r="J151" s="3"/>
    </row>
    <row r="152" spans="1:16" ht="18.95" customHeight="1" x14ac:dyDescent="0.35">
      <c r="A152" s="4"/>
      <c r="B152" s="5"/>
      <c r="C152" s="5"/>
      <c r="D152" s="5"/>
      <c r="E152" s="6"/>
      <c r="F152" s="6"/>
      <c r="G152" s="6"/>
      <c r="H152" s="3"/>
      <c r="I152" s="3"/>
      <c r="J152" s="3"/>
    </row>
    <row r="153" spans="1:16" ht="18.95" customHeight="1" x14ac:dyDescent="0.35">
      <c r="A153" s="4"/>
      <c r="B153" s="5"/>
      <c r="C153" s="5"/>
      <c r="D153" s="5"/>
      <c r="E153" s="6"/>
      <c r="F153" s="6"/>
      <c r="G153" s="6"/>
      <c r="H153" s="3"/>
      <c r="I153" s="3"/>
      <c r="J153" s="3"/>
    </row>
    <row r="154" spans="1:16" ht="18.95" customHeight="1" x14ac:dyDescent="0.35">
      <c r="A154" s="4"/>
      <c r="B154" s="5"/>
      <c r="C154" s="5"/>
      <c r="D154" s="5"/>
      <c r="E154" s="6"/>
      <c r="F154" s="6"/>
      <c r="G154" s="6"/>
      <c r="H154" s="3"/>
      <c r="I154" s="3"/>
      <c r="J154" s="3"/>
    </row>
    <row r="155" spans="1:16" ht="18.95" customHeight="1" x14ac:dyDescent="0.35">
      <c r="A155" s="4"/>
      <c r="B155" s="5"/>
      <c r="C155" s="5"/>
      <c r="D155" s="5"/>
      <c r="E155" s="6"/>
      <c r="F155" s="6"/>
      <c r="G155" s="6"/>
      <c r="H155" s="3"/>
      <c r="I155" s="3"/>
      <c r="J155" s="3"/>
    </row>
    <row r="156" spans="1:16" ht="18.95" customHeight="1" x14ac:dyDescent="0.35">
      <c r="A156" s="4"/>
      <c r="B156" s="5"/>
      <c r="C156" s="5"/>
      <c r="D156" s="5"/>
      <c r="E156" s="6"/>
      <c r="F156" s="6"/>
      <c r="G156" s="6"/>
      <c r="H156" s="3"/>
      <c r="I156" s="3"/>
      <c r="J156" s="3"/>
    </row>
    <row r="157" spans="1:16" ht="18.95" customHeight="1" x14ac:dyDescent="0.35">
      <c r="A157" s="4"/>
      <c r="B157" s="5"/>
      <c r="C157" s="5"/>
      <c r="D157" s="5"/>
      <c r="E157" s="6"/>
      <c r="F157" s="6"/>
      <c r="G157" s="6"/>
      <c r="H157" s="3"/>
      <c r="I157" s="3"/>
      <c r="J157" s="3"/>
    </row>
    <row r="158" spans="1:16" ht="18.95" customHeight="1" x14ac:dyDescent="0.35">
      <c r="A158" s="4"/>
      <c r="B158" s="5"/>
      <c r="C158" s="5"/>
      <c r="D158" s="5"/>
      <c r="E158" s="6"/>
      <c r="F158" s="6"/>
      <c r="G158" s="6"/>
      <c r="H158" s="3"/>
      <c r="I158" s="3"/>
      <c r="J158" s="3"/>
    </row>
    <row r="159" spans="1:16" ht="18.95" customHeight="1" x14ac:dyDescent="0.35">
      <c r="A159" s="4"/>
      <c r="B159" s="5"/>
      <c r="C159" s="5"/>
      <c r="D159" s="5"/>
      <c r="E159" s="6"/>
      <c r="F159" s="6"/>
      <c r="G159" s="6"/>
      <c r="H159" s="3"/>
      <c r="I159" s="3"/>
      <c r="J159" s="3"/>
    </row>
    <row r="160" spans="1:16" ht="18.95" customHeight="1" x14ac:dyDescent="0.35">
      <c r="A160" s="4"/>
      <c r="B160" s="5"/>
      <c r="C160" s="5"/>
      <c r="D160" s="5"/>
      <c r="E160" s="6"/>
      <c r="F160" s="6"/>
      <c r="G160" s="6"/>
      <c r="H160" s="3"/>
      <c r="I160" s="3"/>
      <c r="J160" s="3"/>
    </row>
    <row r="161" spans="1:22" ht="18.95" customHeight="1" x14ac:dyDescent="0.25">
      <c r="A161" s="7"/>
      <c r="B161" s="8"/>
      <c r="C161" s="8"/>
      <c r="D161" s="8"/>
      <c r="E161" s="8"/>
      <c r="F161" s="8"/>
      <c r="G161" s="8"/>
      <c r="H161" s="8"/>
      <c r="I161" s="8"/>
      <c r="J161" s="8"/>
      <c r="K161" s="8"/>
      <c r="L161" s="8"/>
      <c r="M161" s="8"/>
      <c r="N161" s="8"/>
      <c r="O161" s="8"/>
    </row>
    <row r="162" spans="1:22" s="7" customFormat="1" ht="27" customHeight="1" x14ac:dyDescent="0.25">
      <c r="B162" s="51" t="s">
        <v>6</v>
      </c>
      <c r="C162" s="51"/>
      <c r="D162" s="51" t="s">
        <v>0</v>
      </c>
      <c r="E162" s="51"/>
      <c r="F162" s="51" t="s">
        <v>1</v>
      </c>
      <c r="G162" s="51"/>
      <c r="H162" s="51" t="s">
        <v>2</v>
      </c>
      <c r="I162" s="51"/>
      <c r="J162" s="51" t="s">
        <v>3</v>
      </c>
      <c r="K162" s="51"/>
      <c r="L162" s="51" t="s">
        <v>4</v>
      </c>
      <c r="M162" s="51"/>
      <c r="N162" s="51" t="s">
        <v>5</v>
      </c>
      <c r="O162" s="51"/>
      <c r="P162" s="1"/>
      <c r="Q162" s="9"/>
      <c r="U162" s="1"/>
      <c r="V162" s="1"/>
    </row>
    <row r="163" spans="1:22" s="10" customFormat="1" ht="16.5" customHeight="1" x14ac:dyDescent="0.25">
      <c r="B163" s="20"/>
      <c r="C163" s="21">
        <f ca="1">IF(DAY(DimMai1)=1,DimMai1-6,DimMai1+1)</f>
        <v>43219</v>
      </c>
      <c r="D163" s="22"/>
      <c r="E163" s="21">
        <f ca="1">IF(DAY(DimMai1)=1,DimMai1-5,DimMai1+2)</f>
        <v>43220</v>
      </c>
      <c r="F163" s="22"/>
      <c r="G163" s="21">
        <f ca="1">IF(DAY(DimMai1)=1,DimMai1-4,DimMai1+3)</f>
        <v>43221</v>
      </c>
      <c r="H163" s="22"/>
      <c r="I163" s="21">
        <f ca="1">IF(DAY(DimMai1)=1,DimMai1-3,DimMai1+4)</f>
        <v>43222</v>
      </c>
      <c r="J163" s="22"/>
      <c r="K163" s="21">
        <f ca="1">IF(DAY(DimMai1)=1,DimMai1-2,DimMai1+5)</f>
        <v>43223</v>
      </c>
      <c r="L163" s="22"/>
      <c r="M163" s="21">
        <f ca="1">IF(DAY(DimMai1)=1,DimMai1-1,DimMai1+6)</f>
        <v>43224</v>
      </c>
      <c r="N163" s="22"/>
      <c r="O163" s="21">
        <f ca="1">IF(DAY(DimMai1)=1,DimMai1,DimMai1+7)</f>
        <v>43225</v>
      </c>
      <c r="P163" s="14"/>
      <c r="Q163" s="14"/>
      <c r="U163" s="15"/>
      <c r="V163" s="14"/>
    </row>
    <row r="164" spans="1:22" s="16" customFormat="1" ht="55.5" customHeight="1" x14ac:dyDescent="0.25">
      <c r="A164" s="7"/>
      <c r="B164" s="56"/>
      <c r="C164" s="57"/>
      <c r="D164" s="57"/>
      <c r="E164" s="57"/>
      <c r="F164" s="57"/>
      <c r="G164" s="57"/>
      <c r="H164" s="57"/>
      <c r="I164" s="57"/>
      <c r="J164" s="57"/>
      <c r="K164" s="57"/>
      <c r="L164" s="53"/>
      <c r="M164" s="53"/>
      <c r="N164" s="53"/>
      <c r="O164" s="53"/>
    </row>
    <row r="165" spans="1:22" s="16" customFormat="1" ht="8.25" customHeight="1" x14ac:dyDescent="0.25">
      <c r="A165" s="7"/>
      <c r="B165" s="54"/>
      <c r="C165" s="54"/>
      <c r="D165" s="54"/>
      <c r="E165" s="54"/>
      <c r="F165" s="54"/>
      <c r="G165" s="54"/>
      <c r="H165" s="54"/>
      <c r="I165" s="54"/>
      <c r="J165" s="54"/>
      <c r="K165" s="54"/>
      <c r="L165" s="55"/>
      <c r="M165" s="55"/>
      <c r="N165" s="55"/>
      <c r="O165" s="55"/>
    </row>
    <row r="166" spans="1:22" s="14" customFormat="1" ht="16.5" customHeight="1" x14ac:dyDescent="0.25">
      <c r="A166" s="10"/>
      <c r="B166" s="23"/>
      <c r="C166" s="21">
        <f ca="1">IF(DAY(DimMai1)=1,DimMai1+1,DimMai1+8)</f>
        <v>43226</v>
      </c>
      <c r="D166" s="22"/>
      <c r="E166" s="21">
        <f ca="1">IF(DAY(DimMai1)=1,DimMai1+2,DimMai1+9)</f>
        <v>43227</v>
      </c>
      <c r="F166" s="22"/>
      <c r="G166" s="21">
        <f ca="1">IF(DAY(DimMai1)=1,DimMai1+3,DimMai1+10)</f>
        <v>43228</v>
      </c>
      <c r="H166" s="22"/>
      <c r="I166" s="21">
        <f ca="1">IF(DAY(DimMai1)=1,DimMai1+4,DimMai1+11)</f>
        <v>43229</v>
      </c>
      <c r="J166" s="22"/>
      <c r="K166" s="21">
        <f ca="1">IF(DAY(DimMai1)=1,DimMai1+5,DimMai1+12)</f>
        <v>43230</v>
      </c>
      <c r="L166" s="22"/>
      <c r="M166" s="21">
        <f ca="1">IF(DAY(DimMai1)=1,DimMai1+6,DimMai1+13)</f>
        <v>43231</v>
      </c>
      <c r="N166" s="22"/>
      <c r="O166" s="21">
        <f ca="1">IF(DAY(DimMai1)=1,DimMai1+7,DimMai1+14)</f>
        <v>43232</v>
      </c>
    </row>
    <row r="167" spans="1:22" ht="55.5" customHeight="1" x14ac:dyDescent="0.25">
      <c r="A167" s="7"/>
      <c r="B167" s="56"/>
      <c r="C167" s="57"/>
      <c r="D167" s="57"/>
      <c r="E167" s="57"/>
      <c r="F167" s="57" t="s">
        <v>7</v>
      </c>
      <c r="G167" s="57"/>
      <c r="H167" s="57"/>
      <c r="I167" s="57"/>
      <c r="J167" s="57"/>
      <c r="K167" s="57"/>
      <c r="L167" s="53"/>
      <c r="M167" s="53"/>
      <c r="N167" s="53"/>
      <c r="O167" s="53"/>
    </row>
    <row r="168" spans="1:22" ht="8.25" customHeight="1" x14ac:dyDescent="0.25">
      <c r="A168" s="7"/>
      <c r="B168" s="54"/>
      <c r="C168" s="54"/>
      <c r="D168" s="54"/>
      <c r="E168" s="54"/>
      <c r="F168" s="54"/>
      <c r="G168" s="54"/>
      <c r="H168" s="54"/>
      <c r="I168" s="54"/>
      <c r="J168" s="54"/>
      <c r="K168" s="54"/>
      <c r="L168" s="55"/>
      <c r="M168" s="55"/>
      <c r="N168" s="55"/>
      <c r="O168" s="55"/>
    </row>
    <row r="169" spans="1:22" s="14" customFormat="1" ht="16.5" customHeight="1" x14ac:dyDescent="0.25">
      <c r="A169" s="10"/>
      <c r="B169" s="23"/>
      <c r="C169" s="21">
        <f ca="1">IF(DAY(DimMai1)=1,DimMai1+8,DimMai1+15)</f>
        <v>43233</v>
      </c>
      <c r="D169" s="22"/>
      <c r="E169" s="21">
        <f ca="1">IF(DAY(DimMai1)=1,DimMai1+9,DimMai1+16)</f>
        <v>43234</v>
      </c>
      <c r="F169" s="22"/>
      <c r="G169" s="21">
        <f ca="1">IF(DAY(DimMai1)=1,DimMai1+10,DimMai1+17)</f>
        <v>43235</v>
      </c>
      <c r="H169" s="22"/>
      <c r="I169" s="21">
        <f ca="1">IF(DAY(DimMai1)=1,DimMai1+11,DimMai1+18)</f>
        <v>43236</v>
      </c>
      <c r="J169" s="22"/>
      <c r="K169" s="21">
        <f ca="1">IF(DAY(DimMai1)=1,DimMai1+12,DimMai1+19)</f>
        <v>43237</v>
      </c>
      <c r="L169" s="22"/>
      <c r="M169" s="21">
        <f ca="1">IF(DAY(DimMai1)=1,DimMai1+13,DimMai1+20)</f>
        <v>43238</v>
      </c>
      <c r="N169" s="22"/>
      <c r="O169" s="21">
        <f ca="1">IF(DAY(DimMai1)=1,DimMai1+14,DimMai1+21)</f>
        <v>43239</v>
      </c>
    </row>
    <row r="170" spans="1:22" ht="55.5" customHeight="1" x14ac:dyDescent="0.25">
      <c r="A170" s="7"/>
      <c r="B170" s="56"/>
      <c r="C170" s="57"/>
      <c r="D170" s="57"/>
      <c r="E170" s="57"/>
      <c r="F170" s="57"/>
      <c r="G170" s="57"/>
      <c r="H170" s="57"/>
      <c r="I170" s="57"/>
      <c r="J170" s="57"/>
      <c r="K170" s="57"/>
      <c r="L170" s="53"/>
      <c r="M170" s="53"/>
      <c r="N170" s="53"/>
      <c r="O170" s="53"/>
    </row>
    <row r="171" spans="1:22" ht="8.25" customHeight="1" x14ac:dyDescent="0.25">
      <c r="A171" s="7"/>
      <c r="B171" s="54"/>
      <c r="C171" s="54"/>
      <c r="D171" s="54"/>
      <c r="E171" s="54"/>
      <c r="F171" s="54"/>
      <c r="G171" s="54"/>
      <c r="H171" s="54"/>
      <c r="I171" s="54"/>
      <c r="J171" s="54"/>
      <c r="K171" s="54"/>
      <c r="L171" s="55"/>
      <c r="M171" s="55"/>
      <c r="N171" s="55"/>
      <c r="O171" s="55"/>
    </row>
    <row r="172" spans="1:22" s="14" customFormat="1" ht="16.5" customHeight="1" x14ac:dyDescent="0.25">
      <c r="A172" s="10"/>
      <c r="B172" s="23"/>
      <c r="C172" s="21">
        <f ca="1">IF(DAY(DimMai1)=1,DimMai1+15,DimMai1+22)</f>
        <v>43240</v>
      </c>
      <c r="D172" s="22"/>
      <c r="E172" s="21">
        <f ca="1">IF(DAY(DimMai1)=1,DimMai1+16,DimMai1+23)</f>
        <v>43241</v>
      </c>
      <c r="F172" s="22"/>
      <c r="G172" s="21">
        <f ca="1">IF(DAY(DimMai1)=1,DimMai1+17,DimMai1+24)</f>
        <v>43242</v>
      </c>
      <c r="H172" s="22"/>
      <c r="I172" s="21">
        <f ca="1">IF(DAY(DimMai1)=1,DimMai1+18,DimMai1+25)</f>
        <v>43243</v>
      </c>
      <c r="J172" s="22"/>
      <c r="K172" s="21">
        <f ca="1">IF(DAY(DimMai1)=1,DimMai1+19,DimMai1+26)</f>
        <v>43244</v>
      </c>
      <c r="L172" s="22"/>
      <c r="M172" s="21">
        <f ca="1">IF(DAY(DimMai1)=1,DimMai1+20,DimMai1+27)</f>
        <v>43245</v>
      </c>
      <c r="N172" s="22"/>
      <c r="O172" s="21">
        <f ca="1">IF(DAY(DimMai1)=1,DimMai1+21,DimMai1+28)</f>
        <v>43246</v>
      </c>
    </row>
    <row r="173" spans="1:22" ht="55.5" customHeight="1" x14ac:dyDescent="0.25">
      <c r="A173" s="7"/>
      <c r="B173" s="56"/>
      <c r="C173" s="57"/>
      <c r="D173" s="57"/>
      <c r="E173" s="57"/>
      <c r="F173" s="57"/>
      <c r="G173" s="57"/>
      <c r="H173" s="57"/>
      <c r="I173" s="57"/>
      <c r="J173" s="57"/>
      <c r="K173" s="57"/>
      <c r="L173" s="53"/>
      <c r="M173" s="53"/>
      <c r="N173" s="53"/>
      <c r="O173" s="53"/>
    </row>
    <row r="174" spans="1:22" ht="8.25" customHeight="1" x14ac:dyDescent="0.25">
      <c r="A174" s="7"/>
      <c r="B174" s="54"/>
      <c r="C174" s="54"/>
      <c r="D174" s="54"/>
      <c r="E174" s="54"/>
      <c r="F174" s="54"/>
      <c r="G174" s="54"/>
      <c r="H174" s="54"/>
      <c r="I174" s="54"/>
      <c r="J174" s="54"/>
      <c r="K174" s="54"/>
      <c r="L174" s="55"/>
      <c r="M174" s="55"/>
      <c r="N174" s="55"/>
      <c r="O174" s="55"/>
    </row>
    <row r="175" spans="1:22" s="14" customFormat="1" ht="16.5" customHeight="1" x14ac:dyDescent="0.25">
      <c r="A175" s="10"/>
      <c r="B175" s="23"/>
      <c r="C175" s="21">
        <f ca="1">IF(DAY(DimMai1)=1,DimMai1+22,DimMai1+29)</f>
        <v>43247</v>
      </c>
      <c r="D175" s="22"/>
      <c r="E175" s="21">
        <f ca="1">IF(DAY(DimMai1)=1,DimMai1+23,DimMai1+30)</f>
        <v>43248</v>
      </c>
      <c r="F175" s="22"/>
      <c r="G175" s="21">
        <f ca="1">IF(DAY(DimMai1)=1,DimMai1+24,DimMai1+31)</f>
        <v>43249</v>
      </c>
      <c r="H175" s="22"/>
      <c r="I175" s="21">
        <f ca="1">IF(DAY(DimMai1)=1,DimMai1+25,DimMai1+32)</f>
        <v>43250</v>
      </c>
      <c r="J175" s="22"/>
      <c r="K175" s="21">
        <f ca="1">IF(DAY(DimMai1)=1,DimMai1+26,DimMai1+33)</f>
        <v>43251</v>
      </c>
      <c r="L175" s="22"/>
      <c r="M175" s="21">
        <f ca="1">IF(DAY(DimMai1)=1,DimMai1+27,DimMai1+34)</f>
        <v>43252</v>
      </c>
      <c r="N175" s="22"/>
      <c r="O175" s="21">
        <f ca="1">IF(DAY(DimMai1)=1,DimMai1+28,DimMai1+35)</f>
        <v>43253</v>
      </c>
    </row>
    <row r="176" spans="1:22" ht="55.5" customHeight="1" x14ac:dyDescent="0.25">
      <c r="A176" s="7"/>
      <c r="B176" s="56"/>
      <c r="C176" s="57"/>
      <c r="D176" s="57"/>
      <c r="E176" s="57"/>
      <c r="F176" s="57"/>
      <c r="G176" s="57"/>
      <c r="H176" s="57"/>
      <c r="I176" s="57"/>
      <c r="J176" s="57"/>
      <c r="K176" s="57"/>
      <c r="L176" s="53"/>
      <c r="M176" s="53"/>
      <c r="N176" s="53"/>
      <c r="O176" s="53"/>
    </row>
    <row r="177" spans="1:16" ht="8.25" customHeight="1" x14ac:dyDescent="0.25">
      <c r="A177" s="7"/>
      <c r="B177" s="54"/>
      <c r="C177" s="54"/>
      <c r="D177" s="54"/>
      <c r="E177" s="54"/>
      <c r="F177" s="54"/>
      <c r="G177" s="54"/>
      <c r="H177" s="54"/>
      <c r="I177" s="54"/>
      <c r="J177" s="54"/>
      <c r="K177" s="54"/>
      <c r="L177" s="55"/>
      <c r="M177" s="55"/>
      <c r="N177" s="55"/>
      <c r="O177" s="55"/>
    </row>
    <row r="178" spans="1:16" s="14" customFormat="1" ht="16.5" customHeight="1" x14ac:dyDescent="0.25">
      <c r="A178" s="10"/>
      <c r="B178" s="23"/>
      <c r="C178" s="21">
        <f ca="1">IF(DAY(DimMai1)=1,DimMai1+29,DimMai1+36)</f>
        <v>43254</v>
      </c>
      <c r="D178" s="22"/>
      <c r="E178" s="21">
        <f ca="1">IF(DAY(DimMai1)=1,DimMai1+30,DimMai1+37)</f>
        <v>43255</v>
      </c>
      <c r="F178" s="22"/>
      <c r="G178" s="21">
        <f ca="1">IF(DAY(DimMai1)=1,DimMai1+31,DimMai1+38)</f>
        <v>43256</v>
      </c>
      <c r="H178" s="22"/>
      <c r="I178" s="21">
        <f ca="1">IF(DAY(DimMai1)=1,DimMai1+32,DimMai1+39)</f>
        <v>43257</v>
      </c>
      <c r="J178" s="22"/>
      <c r="K178" s="21">
        <f ca="1">IF(DAY(DimMai1)=1,DimMai1+33,DimMai1+40)</f>
        <v>43258</v>
      </c>
      <c r="L178" s="22"/>
      <c r="M178" s="21">
        <f ca="1">IF(DAY(DimMai1)=1,DimMai1+34,DimMai1+41)</f>
        <v>43259</v>
      </c>
      <c r="N178" s="22"/>
      <c r="O178" s="21">
        <f ca="1">IF(DAY(DimMai1)=1,DimMai1+35,DimMai1+42)</f>
        <v>43260</v>
      </c>
    </row>
    <row r="179" spans="1:16" ht="55.5" customHeight="1" x14ac:dyDescent="0.25">
      <c r="A179" s="7"/>
      <c r="B179" s="56"/>
      <c r="C179" s="57"/>
      <c r="D179" s="57"/>
      <c r="E179" s="57"/>
      <c r="F179" s="58"/>
      <c r="G179" s="58"/>
      <c r="H179" s="58"/>
      <c r="I179" s="58"/>
      <c r="J179" s="58"/>
      <c r="K179" s="58"/>
      <c r="L179" s="58"/>
      <c r="M179" s="58"/>
      <c r="N179" s="58"/>
      <c r="O179" s="58"/>
    </row>
    <row r="180" spans="1:16" ht="7.5" customHeight="1" x14ac:dyDescent="0.2">
      <c r="B180" s="24"/>
      <c r="C180" s="24"/>
      <c r="D180" s="24"/>
      <c r="E180" s="24"/>
      <c r="F180" s="24"/>
      <c r="G180" s="24"/>
      <c r="H180" s="24"/>
      <c r="I180" s="24"/>
      <c r="J180" s="24"/>
      <c r="K180" s="24"/>
      <c r="L180" s="24"/>
      <c r="M180" s="24"/>
      <c r="N180" s="24"/>
      <c r="O180" s="24"/>
    </row>
    <row r="181" spans="1:16" ht="14.25" customHeight="1" x14ac:dyDescent="0.2"/>
    <row r="182" spans="1:16" ht="54" customHeight="1" x14ac:dyDescent="0.2">
      <c r="A182" s="61" t="str">
        <f ca="1">TEXT(DATE(AnnéeCalendrier,6,1),"mmmm")</f>
        <v>June</v>
      </c>
      <c r="B182" s="61"/>
      <c r="C182" s="61"/>
      <c r="D182" s="61"/>
      <c r="E182" s="61"/>
      <c r="F182" s="61"/>
      <c r="G182" s="61"/>
      <c r="H182" s="2"/>
      <c r="I182" s="3"/>
      <c r="J182" s="3"/>
      <c r="L182" s="59">
        <f ca="1">AnnéeCalendrier</f>
        <v>2018</v>
      </c>
      <c r="M182" s="59"/>
      <c r="N182" s="59"/>
      <c r="O182" s="59"/>
      <c r="P182" s="59"/>
    </row>
    <row r="183" spans="1:16" ht="18.95" customHeight="1" x14ac:dyDescent="0.35">
      <c r="A183" s="4"/>
      <c r="B183" s="5"/>
      <c r="C183" s="5"/>
      <c r="D183" s="5"/>
      <c r="E183" s="6"/>
      <c r="F183" s="6"/>
      <c r="G183" s="6"/>
      <c r="H183" s="3"/>
      <c r="I183" s="3"/>
      <c r="J183" s="3"/>
    </row>
    <row r="184" spans="1:16" ht="18.95" customHeight="1" x14ac:dyDescent="0.35">
      <c r="A184" s="4"/>
      <c r="B184" s="5"/>
      <c r="C184" s="5"/>
      <c r="D184" s="5"/>
      <c r="E184" s="6"/>
      <c r="F184" s="6"/>
      <c r="G184" s="6"/>
      <c r="H184" s="3"/>
      <c r="I184" s="3"/>
      <c r="J184" s="3"/>
    </row>
    <row r="185" spans="1:16" ht="18.95" customHeight="1" x14ac:dyDescent="0.35">
      <c r="A185" s="4"/>
      <c r="B185" s="5"/>
      <c r="C185" s="5"/>
      <c r="D185" s="5"/>
      <c r="E185" s="6"/>
      <c r="F185" s="6"/>
      <c r="G185" s="6"/>
      <c r="H185" s="3"/>
      <c r="I185" s="3"/>
      <c r="J185" s="3"/>
    </row>
    <row r="186" spans="1:16" ht="18.95" customHeight="1" x14ac:dyDescent="0.35">
      <c r="A186" s="4"/>
      <c r="B186" s="5"/>
      <c r="C186" s="5"/>
      <c r="D186" s="5"/>
      <c r="E186" s="6"/>
      <c r="F186" s="6"/>
      <c r="G186" s="6"/>
      <c r="H186" s="3"/>
      <c r="I186" s="3"/>
      <c r="J186" s="3"/>
    </row>
    <row r="187" spans="1:16" ht="18.95" customHeight="1" x14ac:dyDescent="0.35">
      <c r="A187" s="4"/>
      <c r="B187" s="5"/>
      <c r="C187" s="5"/>
      <c r="D187" s="5"/>
      <c r="E187" s="6"/>
      <c r="F187" s="6"/>
      <c r="G187" s="6"/>
      <c r="H187" s="3"/>
      <c r="I187" s="3"/>
      <c r="J187" s="3"/>
    </row>
    <row r="188" spans="1:16" ht="18.95" customHeight="1" x14ac:dyDescent="0.35">
      <c r="A188" s="4"/>
      <c r="B188" s="5"/>
      <c r="C188" s="5"/>
      <c r="D188" s="5"/>
      <c r="E188" s="6"/>
      <c r="F188" s="6"/>
      <c r="G188" s="6"/>
      <c r="H188" s="3"/>
      <c r="I188" s="3"/>
      <c r="J188" s="3"/>
    </row>
    <row r="189" spans="1:16" ht="18.95" customHeight="1" x14ac:dyDescent="0.35">
      <c r="A189" s="4"/>
      <c r="B189" s="5"/>
      <c r="C189" s="5"/>
      <c r="D189" s="5"/>
      <c r="E189" s="6"/>
      <c r="F189" s="6"/>
      <c r="G189" s="6"/>
      <c r="H189" s="3"/>
      <c r="I189" s="3"/>
      <c r="J189" s="3"/>
    </row>
    <row r="190" spans="1:16" ht="18.95" customHeight="1" x14ac:dyDescent="0.35">
      <c r="A190" s="4"/>
      <c r="B190" s="5"/>
      <c r="C190" s="5"/>
      <c r="D190" s="5"/>
      <c r="E190" s="6"/>
      <c r="F190" s="6"/>
      <c r="G190" s="6"/>
      <c r="H190" s="3"/>
      <c r="I190" s="3"/>
      <c r="J190" s="3"/>
    </row>
    <row r="191" spans="1:16" ht="18.95" customHeight="1" x14ac:dyDescent="0.35">
      <c r="A191" s="4"/>
      <c r="B191" s="5"/>
      <c r="C191" s="5"/>
      <c r="D191" s="5"/>
      <c r="E191" s="6"/>
      <c r="F191" s="6"/>
      <c r="G191" s="6"/>
      <c r="H191" s="3"/>
      <c r="I191" s="3"/>
      <c r="J191" s="3"/>
    </row>
    <row r="192" spans="1:16" ht="18.95" customHeight="1" x14ac:dyDescent="0.35">
      <c r="A192" s="4"/>
      <c r="B192" s="5"/>
      <c r="C192" s="5"/>
      <c r="D192" s="5"/>
      <c r="E192" s="6"/>
      <c r="F192" s="6"/>
      <c r="G192" s="6"/>
      <c r="H192" s="3"/>
      <c r="I192" s="3"/>
      <c r="J192" s="3"/>
    </row>
    <row r="193" spans="1:22" ht="18.95" customHeight="1" x14ac:dyDescent="0.35">
      <c r="A193" s="4"/>
      <c r="B193" s="5"/>
      <c r="C193" s="5"/>
      <c r="D193" s="5"/>
      <c r="E193" s="6"/>
      <c r="F193" s="6"/>
      <c r="G193" s="6"/>
      <c r="H193" s="3"/>
      <c r="I193" s="3"/>
      <c r="J193" s="3"/>
    </row>
    <row r="194" spans="1:22" ht="18.95" customHeight="1" x14ac:dyDescent="0.35">
      <c r="A194" s="4"/>
      <c r="B194" s="5"/>
      <c r="C194" s="5"/>
      <c r="D194" s="5"/>
      <c r="E194" s="6"/>
      <c r="F194" s="6"/>
      <c r="G194" s="6"/>
      <c r="H194" s="3"/>
      <c r="I194" s="3"/>
      <c r="J194" s="3"/>
    </row>
    <row r="195" spans="1:22" ht="18.95" customHeight="1" x14ac:dyDescent="0.35">
      <c r="A195" s="4"/>
      <c r="B195" s="5"/>
      <c r="C195" s="5"/>
      <c r="D195" s="5"/>
      <c r="E195" s="6"/>
      <c r="F195" s="6"/>
      <c r="G195" s="6"/>
      <c r="H195" s="3"/>
      <c r="I195" s="3"/>
      <c r="J195" s="3"/>
    </row>
    <row r="196" spans="1:22" ht="18.95" customHeight="1" x14ac:dyDescent="0.35">
      <c r="A196" s="4"/>
      <c r="B196" s="5"/>
      <c r="C196" s="5"/>
      <c r="D196" s="5"/>
      <c r="E196" s="6"/>
      <c r="F196" s="6"/>
      <c r="G196" s="6"/>
      <c r="H196" s="3"/>
      <c r="I196" s="3"/>
      <c r="J196" s="3"/>
    </row>
    <row r="197" spans="1:22" ht="18.95" customHeight="1" x14ac:dyDescent="0.25">
      <c r="A197" s="7"/>
      <c r="B197" s="8"/>
      <c r="C197" s="8"/>
      <c r="D197" s="8"/>
      <c r="E197" s="8"/>
      <c r="F197" s="8"/>
      <c r="G197" s="8"/>
      <c r="H197" s="8"/>
      <c r="I197" s="8"/>
      <c r="J197" s="8"/>
      <c r="K197" s="8"/>
      <c r="L197" s="8"/>
      <c r="M197" s="8"/>
      <c r="N197" s="8"/>
      <c r="O197" s="8"/>
    </row>
    <row r="198" spans="1:22" s="7" customFormat="1" ht="27" customHeight="1" x14ac:dyDescent="0.25">
      <c r="B198" s="60" t="s">
        <v>6</v>
      </c>
      <c r="C198" s="60"/>
      <c r="D198" s="60" t="s">
        <v>0</v>
      </c>
      <c r="E198" s="60"/>
      <c r="F198" s="60" t="s">
        <v>1</v>
      </c>
      <c r="G198" s="60"/>
      <c r="H198" s="60" t="s">
        <v>2</v>
      </c>
      <c r="I198" s="60"/>
      <c r="J198" s="60" t="s">
        <v>3</v>
      </c>
      <c r="K198" s="60"/>
      <c r="L198" s="60" t="s">
        <v>4</v>
      </c>
      <c r="M198" s="60"/>
      <c r="N198" s="60" t="s">
        <v>5</v>
      </c>
      <c r="O198" s="60"/>
      <c r="P198" s="1"/>
      <c r="Q198" s="9"/>
      <c r="U198" s="1"/>
      <c r="V198" s="1"/>
    </row>
    <row r="199" spans="1:22" s="10" customFormat="1" ht="16.5" customHeight="1" x14ac:dyDescent="0.25">
      <c r="B199" s="25"/>
      <c r="C199" s="26">
        <f ca="1">IF(DAY(DimJun1)=1,DimJun1-6,DimJun1+1)</f>
        <v>43247</v>
      </c>
      <c r="D199" s="27"/>
      <c r="E199" s="26">
        <f ca="1">IF(DAY(DimJun1)=1,DimJun1-5,DimJun1+2)</f>
        <v>43248</v>
      </c>
      <c r="F199" s="27"/>
      <c r="G199" s="26">
        <f ca="1">IF(DAY(DimJun1)=1,DimJun1-4,DimJun1+3)</f>
        <v>43249</v>
      </c>
      <c r="H199" s="27"/>
      <c r="I199" s="26">
        <f ca="1">IF(DAY(DimJun1)=1,DimJun1-3,DimJun1+4)</f>
        <v>43250</v>
      </c>
      <c r="J199" s="27"/>
      <c r="K199" s="26">
        <f ca="1">IF(DAY(DimJun1)=1,DimJun1-2,DimJun1+5)</f>
        <v>43251</v>
      </c>
      <c r="L199" s="27"/>
      <c r="M199" s="26">
        <f ca="1">IF(DAY(DimJun1)=1,DimJun1-1,DimJun1+6)</f>
        <v>43252</v>
      </c>
      <c r="N199" s="27"/>
      <c r="O199" s="26">
        <f ca="1">IF(DAY(DimJun1)=1,DimJun1,DimJun1+7)</f>
        <v>43253</v>
      </c>
      <c r="P199" s="14"/>
      <c r="Q199" s="14"/>
      <c r="U199" s="15"/>
      <c r="V199" s="14"/>
    </row>
    <row r="200" spans="1:22" s="16" customFormat="1" ht="55.5" customHeight="1" x14ac:dyDescent="0.25">
      <c r="A200" s="7"/>
      <c r="B200" s="65"/>
      <c r="C200" s="66"/>
      <c r="D200" s="66"/>
      <c r="E200" s="66"/>
      <c r="F200" s="66"/>
      <c r="G200" s="66"/>
      <c r="H200" s="66"/>
      <c r="I200" s="66"/>
      <c r="J200" s="66"/>
      <c r="K200" s="66"/>
      <c r="L200" s="62"/>
      <c r="M200" s="62"/>
      <c r="N200" s="62"/>
      <c r="O200" s="62"/>
    </row>
    <row r="201" spans="1:22" s="16" customFormat="1" ht="8.25" customHeight="1" x14ac:dyDescent="0.25">
      <c r="A201" s="7"/>
      <c r="B201" s="63"/>
      <c r="C201" s="63"/>
      <c r="D201" s="63"/>
      <c r="E201" s="63"/>
      <c r="F201" s="63"/>
      <c r="G201" s="63"/>
      <c r="H201" s="63"/>
      <c r="I201" s="63"/>
      <c r="J201" s="63"/>
      <c r="K201" s="63"/>
      <c r="L201" s="64"/>
      <c r="M201" s="64"/>
      <c r="N201" s="64"/>
      <c r="O201" s="64"/>
    </row>
    <row r="202" spans="1:22" s="14" customFormat="1" ht="16.5" customHeight="1" x14ac:dyDescent="0.25">
      <c r="A202" s="10"/>
      <c r="B202" s="27"/>
      <c r="C202" s="26">
        <f ca="1">IF(DAY(DimJun1)=1,DimJun1+1,DimJun1+8)</f>
        <v>43254</v>
      </c>
      <c r="D202" s="27"/>
      <c r="E202" s="26">
        <f ca="1">IF(DAY(DimJun1)=1,DimJun1+2,DimJun1+9)</f>
        <v>43255</v>
      </c>
      <c r="F202" s="27"/>
      <c r="G202" s="26">
        <f ca="1">IF(DAY(DimJun1)=1,DimJun1+3,DimJun1+10)</f>
        <v>43256</v>
      </c>
      <c r="H202" s="27"/>
      <c r="I202" s="26">
        <f ca="1">IF(DAY(DimJun1)=1,DimJun1+4,DimJun1+11)</f>
        <v>43257</v>
      </c>
      <c r="J202" s="27"/>
      <c r="K202" s="26">
        <f ca="1">IF(DAY(DimJun1)=1,DimJun1+5,DimJun1+12)</f>
        <v>43258</v>
      </c>
      <c r="L202" s="27"/>
      <c r="M202" s="26">
        <f ca="1">IF(DAY(DimJun1)=1,DimJun1+6,DimJun1+13)</f>
        <v>43259</v>
      </c>
      <c r="N202" s="27"/>
      <c r="O202" s="26">
        <f ca="1">IF(DAY(DimJun1)=1,DimJun1+7,DimJun1+14)</f>
        <v>43260</v>
      </c>
    </row>
    <row r="203" spans="1:22" ht="55.5" customHeight="1" x14ac:dyDescent="0.25">
      <c r="A203" s="7"/>
      <c r="B203" s="65"/>
      <c r="C203" s="66"/>
      <c r="D203" s="66"/>
      <c r="E203" s="66"/>
      <c r="F203" s="66" t="s">
        <v>7</v>
      </c>
      <c r="G203" s="66"/>
      <c r="H203" s="66"/>
      <c r="I203" s="66"/>
      <c r="J203" s="66"/>
      <c r="K203" s="66"/>
      <c r="L203" s="62"/>
      <c r="M203" s="62"/>
      <c r="N203" s="62"/>
      <c r="O203" s="62"/>
    </row>
    <row r="204" spans="1:22" ht="8.25" customHeight="1" x14ac:dyDescent="0.25">
      <c r="A204" s="7"/>
      <c r="B204" s="63"/>
      <c r="C204" s="63"/>
      <c r="D204" s="63"/>
      <c r="E204" s="63"/>
      <c r="F204" s="63"/>
      <c r="G204" s="63"/>
      <c r="H204" s="63"/>
      <c r="I204" s="63"/>
      <c r="J204" s="63"/>
      <c r="K204" s="63"/>
      <c r="L204" s="64"/>
      <c r="M204" s="64"/>
      <c r="N204" s="64"/>
      <c r="O204" s="64"/>
    </row>
    <row r="205" spans="1:22" s="14" customFormat="1" ht="16.5" customHeight="1" x14ac:dyDescent="0.25">
      <c r="A205" s="10"/>
      <c r="B205" s="27"/>
      <c r="C205" s="26">
        <f ca="1">IF(DAY(DimJun1)=1,DimJun1+8,DimJun1+15)</f>
        <v>43261</v>
      </c>
      <c r="D205" s="27"/>
      <c r="E205" s="26">
        <f ca="1">IF(DAY(DimJun1)=1,DimJun1+9,DimJun1+16)</f>
        <v>43262</v>
      </c>
      <c r="F205" s="27"/>
      <c r="G205" s="26">
        <f ca="1">IF(DAY(DimJun1)=1,DimJun1+10,DimJun1+17)</f>
        <v>43263</v>
      </c>
      <c r="H205" s="27"/>
      <c r="I205" s="26">
        <f ca="1">IF(DAY(DimJun1)=1,DimJun1+11,DimJun1+18)</f>
        <v>43264</v>
      </c>
      <c r="J205" s="27"/>
      <c r="K205" s="26">
        <f ca="1">IF(DAY(DimJun1)=1,DimJun1+12,DimJun1+19)</f>
        <v>43265</v>
      </c>
      <c r="L205" s="27"/>
      <c r="M205" s="26">
        <f ca="1">IF(DAY(DimJun1)=1,DimJun1+13,DimJun1+20)</f>
        <v>43266</v>
      </c>
      <c r="N205" s="27"/>
      <c r="O205" s="26">
        <f ca="1">IF(DAY(DimJun1)=1,DimJun1+14,DimJun1+21)</f>
        <v>43267</v>
      </c>
    </row>
    <row r="206" spans="1:22" ht="55.5" customHeight="1" x14ac:dyDescent="0.25">
      <c r="A206" s="7"/>
      <c r="B206" s="65"/>
      <c r="C206" s="66"/>
      <c r="D206" s="66"/>
      <c r="E206" s="66"/>
      <c r="F206" s="66"/>
      <c r="G206" s="66"/>
      <c r="H206" s="66"/>
      <c r="I206" s="66"/>
      <c r="J206" s="66"/>
      <c r="K206" s="66"/>
      <c r="L206" s="62"/>
      <c r="M206" s="62"/>
      <c r="N206" s="62"/>
      <c r="O206" s="62"/>
    </row>
    <row r="207" spans="1:22" ht="8.25" customHeight="1" x14ac:dyDescent="0.25">
      <c r="A207" s="7"/>
      <c r="B207" s="63"/>
      <c r="C207" s="63"/>
      <c r="D207" s="63"/>
      <c r="E207" s="63"/>
      <c r="F207" s="63"/>
      <c r="G207" s="63"/>
      <c r="H207" s="63"/>
      <c r="I207" s="63"/>
      <c r="J207" s="63"/>
      <c r="K207" s="63"/>
      <c r="L207" s="64"/>
      <c r="M207" s="64"/>
      <c r="N207" s="64"/>
      <c r="O207" s="64"/>
    </row>
    <row r="208" spans="1:22" s="14" customFormat="1" ht="16.5" customHeight="1" x14ac:dyDescent="0.25">
      <c r="A208" s="10"/>
      <c r="B208" s="27"/>
      <c r="C208" s="26">
        <f ca="1">IF(DAY(DimJun1)=1,DimJun1+15,DimJun1+22)</f>
        <v>43268</v>
      </c>
      <c r="D208" s="27"/>
      <c r="E208" s="26">
        <f ca="1">IF(DAY(DimJun1)=1,DimJun1+16,DimJun1+23)</f>
        <v>43269</v>
      </c>
      <c r="F208" s="27"/>
      <c r="G208" s="26">
        <f ca="1">IF(DAY(DimJun1)=1,DimJun1+17,DimJun1+24)</f>
        <v>43270</v>
      </c>
      <c r="H208" s="27"/>
      <c r="I208" s="26">
        <f ca="1">IF(DAY(DimJun1)=1,DimJun1+18,DimJun1+25)</f>
        <v>43271</v>
      </c>
      <c r="J208" s="27"/>
      <c r="K208" s="26">
        <f ca="1">IF(DAY(DimJun1)=1,DimJun1+19,DimJun1+26)</f>
        <v>43272</v>
      </c>
      <c r="L208" s="27"/>
      <c r="M208" s="26">
        <f ca="1">IF(DAY(DimJun1)=1,DimJun1+20,DimJun1+27)</f>
        <v>43273</v>
      </c>
      <c r="N208" s="27"/>
      <c r="O208" s="26">
        <f ca="1">IF(DAY(DimJun1)=1,DimJun1+21,DimJun1+28)</f>
        <v>43274</v>
      </c>
    </row>
    <row r="209" spans="1:16" ht="55.5" customHeight="1" x14ac:dyDescent="0.25">
      <c r="A209" s="7"/>
      <c r="B209" s="65"/>
      <c r="C209" s="66"/>
      <c r="D209" s="66"/>
      <c r="E209" s="66"/>
      <c r="F209" s="66"/>
      <c r="G209" s="66"/>
      <c r="H209" s="66"/>
      <c r="I209" s="66"/>
      <c r="J209" s="66"/>
      <c r="K209" s="66"/>
      <c r="L209" s="62"/>
      <c r="M209" s="62"/>
      <c r="N209" s="62"/>
      <c r="O209" s="62"/>
    </row>
    <row r="210" spans="1:16" ht="8.25" customHeight="1" x14ac:dyDescent="0.25">
      <c r="A210" s="7"/>
      <c r="B210" s="63"/>
      <c r="C210" s="63"/>
      <c r="D210" s="63"/>
      <c r="E210" s="63"/>
      <c r="F210" s="63"/>
      <c r="G210" s="63"/>
      <c r="H210" s="63"/>
      <c r="I210" s="63"/>
      <c r="J210" s="63"/>
      <c r="K210" s="63"/>
      <c r="L210" s="64"/>
      <c r="M210" s="64"/>
      <c r="N210" s="64"/>
      <c r="O210" s="64"/>
    </row>
    <row r="211" spans="1:16" s="14" customFormat="1" ht="16.5" customHeight="1" x14ac:dyDescent="0.25">
      <c r="A211" s="10"/>
      <c r="B211" s="27"/>
      <c r="C211" s="26">
        <f ca="1">IF(DAY(DimJun1)=1,DimJun1+22,DimJun1+29)</f>
        <v>43275</v>
      </c>
      <c r="D211" s="27"/>
      <c r="E211" s="26">
        <f ca="1">IF(DAY(DimJun1)=1,DimJun1+23,DimJun1+30)</f>
        <v>43276</v>
      </c>
      <c r="F211" s="27"/>
      <c r="G211" s="26">
        <f ca="1">IF(DAY(DimJun1)=1,DimJun1+24,DimJun1+31)</f>
        <v>43277</v>
      </c>
      <c r="H211" s="27"/>
      <c r="I211" s="26">
        <f ca="1">IF(DAY(DimJun1)=1,DimJun1+25,DimJun1+32)</f>
        <v>43278</v>
      </c>
      <c r="J211" s="27"/>
      <c r="K211" s="26">
        <f ca="1">IF(DAY(DimJun1)=1,DimJun1+26,DimJun1+33)</f>
        <v>43279</v>
      </c>
      <c r="L211" s="27"/>
      <c r="M211" s="26">
        <f ca="1">IF(DAY(DimJun1)=1,DimJun1+27,DimJun1+34)</f>
        <v>43280</v>
      </c>
      <c r="N211" s="27"/>
      <c r="O211" s="26">
        <f ca="1">IF(DAY(DimJun1)=1,DimJun1+28,DimJun1+35)</f>
        <v>43281</v>
      </c>
    </row>
    <row r="212" spans="1:16" ht="55.5" customHeight="1" x14ac:dyDescent="0.25">
      <c r="A212" s="7"/>
      <c r="B212" s="65"/>
      <c r="C212" s="66"/>
      <c r="D212" s="66"/>
      <c r="E212" s="66"/>
      <c r="F212" s="66"/>
      <c r="G212" s="66"/>
      <c r="H212" s="66"/>
      <c r="I212" s="66"/>
      <c r="J212" s="66"/>
      <c r="K212" s="66"/>
      <c r="L212" s="62"/>
      <c r="M212" s="62"/>
      <c r="N212" s="62"/>
      <c r="O212" s="62"/>
    </row>
    <row r="213" spans="1:16" ht="8.25" customHeight="1" x14ac:dyDescent="0.25">
      <c r="A213" s="7"/>
      <c r="B213" s="63"/>
      <c r="C213" s="63"/>
      <c r="D213" s="63"/>
      <c r="E213" s="63"/>
      <c r="F213" s="63"/>
      <c r="G213" s="63"/>
      <c r="H213" s="63"/>
      <c r="I213" s="63"/>
      <c r="J213" s="63"/>
      <c r="K213" s="63"/>
      <c r="L213" s="64"/>
      <c r="M213" s="64"/>
      <c r="N213" s="64"/>
      <c r="O213" s="64"/>
    </row>
    <row r="214" spans="1:16" s="14" customFormat="1" ht="16.5" customHeight="1" x14ac:dyDescent="0.25">
      <c r="A214" s="10"/>
      <c r="B214" s="27"/>
      <c r="C214" s="26">
        <f ca="1">IF(DAY(DimJun1)=1,DimJun1+29,DimJun1+36)</f>
        <v>43282</v>
      </c>
      <c r="D214" s="27"/>
      <c r="E214" s="26">
        <f ca="1">IF(DAY(DimJun1)=1,DimJun1+30,DimJun1+37)</f>
        <v>43283</v>
      </c>
      <c r="F214" s="27"/>
      <c r="G214" s="26">
        <f ca="1">IF(DAY(DimJun1)=1,DimJun1+31,DimJun1+38)</f>
        <v>43284</v>
      </c>
      <c r="H214" s="27"/>
      <c r="I214" s="26">
        <f ca="1">IF(DAY(DimJun1)=1,DimJun1+32,DimJun1+39)</f>
        <v>43285</v>
      </c>
      <c r="J214" s="27"/>
      <c r="K214" s="26">
        <f ca="1">IF(DAY(DimJun1)=1,DimJun1+33,DimJun1+40)</f>
        <v>43286</v>
      </c>
      <c r="L214" s="27"/>
      <c r="M214" s="26">
        <f ca="1">IF(DAY(DimJun1)=1,DimJun1+34,DimJun1+41)</f>
        <v>43287</v>
      </c>
      <c r="N214" s="27"/>
      <c r="O214" s="26">
        <f ca="1">IF(DAY(DimJun1)=1,DimJun1+35,DimJun1+42)</f>
        <v>43288</v>
      </c>
    </row>
    <row r="215" spans="1:16" ht="55.5" customHeight="1" x14ac:dyDescent="0.25">
      <c r="A215" s="7"/>
      <c r="B215" s="65"/>
      <c r="C215" s="66"/>
      <c r="D215" s="66"/>
      <c r="E215" s="66"/>
      <c r="F215" s="67"/>
      <c r="G215" s="67"/>
      <c r="H215" s="67"/>
      <c r="I215" s="67"/>
      <c r="J215" s="67"/>
      <c r="K215" s="67"/>
      <c r="L215" s="67"/>
      <c r="M215" s="67"/>
      <c r="N215" s="67"/>
      <c r="O215" s="67"/>
    </row>
    <row r="216" spans="1:16" ht="7.5" customHeight="1" x14ac:dyDescent="0.2">
      <c r="B216" s="28"/>
      <c r="C216" s="28"/>
      <c r="D216" s="28"/>
      <c r="E216" s="28"/>
      <c r="F216" s="28"/>
      <c r="G216" s="28"/>
      <c r="H216" s="28"/>
      <c r="I216" s="28"/>
      <c r="J216" s="28"/>
      <c r="K216" s="28"/>
      <c r="L216" s="28"/>
      <c r="M216" s="28"/>
      <c r="N216" s="28"/>
      <c r="O216" s="28"/>
    </row>
    <row r="217" spans="1:16" ht="14.25" customHeight="1" x14ac:dyDescent="0.2"/>
    <row r="218" spans="1:16" ht="54" customHeight="1" x14ac:dyDescent="0.2">
      <c r="A218" s="61" t="str">
        <f ca="1">TEXT(DATE(AnnéeCalendrier,7,1),"mmmm")</f>
        <v>July</v>
      </c>
      <c r="B218" s="61"/>
      <c r="C218" s="61"/>
      <c r="D218" s="61"/>
      <c r="E218" s="61"/>
      <c r="F218" s="61"/>
      <c r="G218" s="61"/>
      <c r="H218" s="2"/>
      <c r="I218" s="3"/>
      <c r="J218" s="3"/>
      <c r="L218" s="59">
        <f ca="1">AnnéeCalendrier</f>
        <v>2018</v>
      </c>
      <c r="M218" s="59"/>
      <c r="N218" s="59"/>
      <c r="O218" s="59"/>
      <c r="P218" s="59"/>
    </row>
    <row r="219" spans="1:16" ht="18.95" customHeight="1" x14ac:dyDescent="0.35">
      <c r="A219" s="4"/>
      <c r="B219" s="5"/>
      <c r="C219" s="5"/>
      <c r="D219" s="5"/>
      <c r="E219" s="6"/>
      <c r="F219" s="6"/>
      <c r="G219" s="6"/>
      <c r="H219" s="3"/>
      <c r="I219" s="3"/>
      <c r="J219" s="3"/>
    </row>
    <row r="220" spans="1:16" ht="18.95" customHeight="1" x14ac:dyDescent="0.35">
      <c r="A220" s="4"/>
      <c r="B220" s="5"/>
      <c r="C220" s="5"/>
      <c r="D220" s="5"/>
      <c r="E220" s="6"/>
      <c r="F220" s="6"/>
      <c r="G220" s="6"/>
      <c r="H220" s="3"/>
      <c r="I220" s="3"/>
      <c r="J220" s="3"/>
    </row>
    <row r="221" spans="1:16" ht="18.95" customHeight="1" x14ac:dyDescent="0.35">
      <c r="A221" s="4"/>
      <c r="B221" s="5"/>
      <c r="C221" s="5"/>
      <c r="D221" s="5"/>
      <c r="E221" s="6"/>
      <c r="F221" s="6"/>
      <c r="G221" s="6"/>
      <c r="H221" s="3"/>
      <c r="I221" s="3"/>
      <c r="J221" s="3"/>
    </row>
    <row r="222" spans="1:16" ht="18.95" customHeight="1" x14ac:dyDescent="0.35">
      <c r="A222" s="4"/>
      <c r="B222" s="5"/>
      <c r="C222" s="5"/>
      <c r="D222" s="5"/>
      <c r="E222" s="6"/>
      <c r="F222" s="6"/>
      <c r="G222" s="6"/>
      <c r="H222" s="3"/>
      <c r="I222" s="3"/>
      <c r="J222" s="3"/>
    </row>
    <row r="223" spans="1:16" ht="18.95" customHeight="1" x14ac:dyDescent="0.35">
      <c r="A223" s="4"/>
      <c r="B223" s="5"/>
      <c r="C223" s="5"/>
      <c r="D223" s="5"/>
      <c r="E223" s="6"/>
      <c r="F223" s="6"/>
      <c r="G223" s="6"/>
      <c r="H223" s="3"/>
      <c r="I223" s="3"/>
      <c r="J223" s="3"/>
    </row>
    <row r="224" spans="1:16" ht="18.95" customHeight="1" x14ac:dyDescent="0.35">
      <c r="A224" s="4"/>
      <c r="B224" s="5"/>
      <c r="C224" s="5"/>
      <c r="D224" s="5"/>
      <c r="E224" s="6"/>
      <c r="F224" s="6"/>
      <c r="G224" s="6"/>
      <c r="H224" s="3"/>
      <c r="I224" s="3"/>
      <c r="J224" s="3"/>
    </row>
    <row r="225" spans="1:22" ht="18.95" customHeight="1" x14ac:dyDescent="0.35">
      <c r="A225" s="4"/>
      <c r="B225" s="5"/>
      <c r="C225" s="5"/>
      <c r="D225" s="5"/>
      <c r="E225" s="6"/>
      <c r="F225" s="6"/>
      <c r="G225" s="6"/>
      <c r="H225" s="3"/>
      <c r="I225" s="3"/>
      <c r="J225" s="3"/>
    </row>
    <row r="226" spans="1:22" ht="18.95" customHeight="1" x14ac:dyDescent="0.35">
      <c r="A226" s="4"/>
      <c r="B226" s="5"/>
      <c r="C226" s="5"/>
      <c r="D226" s="5"/>
      <c r="E226" s="6"/>
      <c r="F226" s="6"/>
      <c r="G226" s="6"/>
      <c r="H226" s="3"/>
      <c r="I226" s="3"/>
      <c r="J226" s="3"/>
    </row>
    <row r="227" spans="1:22" ht="18.95" customHeight="1" x14ac:dyDescent="0.35">
      <c r="A227" s="4"/>
      <c r="B227" s="5"/>
      <c r="C227" s="5"/>
      <c r="D227" s="5"/>
      <c r="E227" s="6"/>
      <c r="F227" s="6"/>
      <c r="G227" s="6"/>
      <c r="H227" s="3"/>
      <c r="I227" s="3"/>
      <c r="J227" s="3"/>
    </row>
    <row r="228" spans="1:22" ht="18.95" customHeight="1" x14ac:dyDescent="0.35">
      <c r="A228" s="4"/>
      <c r="B228" s="5"/>
      <c r="C228" s="5"/>
      <c r="D228" s="5"/>
      <c r="E228" s="6"/>
      <c r="F228" s="6"/>
      <c r="G228" s="6"/>
      <c r="H228" s="3"/>
      <c r="I228" s="3"/>
      <c r="J228" s="3"/>
    </row>
    <row r="229" spans="1:22" ht="18.95" customHeight="1" x14ac:dyDescent="0.35">
      <c r="A229" s="4"/>
      <c r="B229" s="5"/>
      <c r="C229" s="5"/>
      <c r="D229" s="5"/>
      <c r="E229" s="6"/>
      <c r="F229" s="6"/>
      <c r="G229" s="6"/>
      <c r="H229" s="3"/>
      <c r="I229" s="3"/>
      <c r="J229" s="3"/>
    </row>
    <row r="230" spans="1:22" ht="18.95" customHeight="1" x14ac:dyDescent="0.35">
      <c r="A230" s="4"/>
      <c r="B230" s="5"/>
      <c r="C230" s="5"/>
      <c r="D230" s="5"/>
      <c r="E230" s="6"/>
      <c r="F230" s="6"/>
      <c r="G230" s="6"/>
      <c r="H230" s="3"/>
      <c r="I230" s="3"/>
      <c r="J230" s="3"/>
    </row>
    <row r="231" spans="1:22" ht="18.95" customHeight="1" x14ac:dyDescent="0.35">
      <c r="A231" s="4"/>
      <c r="B231" s="5"/>
      <c r="C231" s="5"/>
      <c r="D231" s="5"/>
      <c r="E231" s="6"/>
      <c r="F231" s="6"/>
      <c r="G231" s="6"/>
      <c r="H231" s="3"/>
      <c r="I231" s="3"/>
      <c r="J231" s="3"/>
    </row>
    <row r="232" spans="1:22" ht="18.95" customHeight="1" x14ac:dyDescent="0.35">
      <c r="A232" s="4"/>
      <c r="B232" s="5"/>
      <c r="C232" s="5"/>
      <c r="D232" s="5"/>
      <c r="E232" s="6"/>
      <c r="F232" s="6"/>
      <c r="G232" s="6"/>
      <c r="H232" s="3"/>
      <c r="I232" s="3"/>
      <c r="J232" s="3"/>
    </row>
    <row r="233" spans="1:22" ht="18.95" customHeight="1" x14ac:dyDescent="0.25">
      <c r="A233" s="7"/>
      <c r="B233" s="8"/>
      <c r="C233" s="8"/>
      <c r="D233" s="8"/>
      <c r="E233" s="8"/>
      <c r="F233" s="8"/>
      <c r="G233" s="8"/>
      <c r="H233" s="8"/>
      <c r="I233" s="8"/>
      <c r="J233" s="8"/>
      <c r="K233" s="8"/>
      <c r="L233" s="8"/>
      <c r="M233" s="8"/>
      <c r="N233" s="8"/>
      <c r="O233" s="8"/>
    </row>
    <row r="234" spans="1:22" s="7" customFormat="1" ht="27" customHeight="1" x14ac:dyDescent="0.25">
      <c r="B234" s="60" t="s">
        <v>6</v>
      </c>
      <c r="C234" s="60"/>
      <c r="D234" s="60" t="s">
        <v>0</v>
      </c>
      <c r="E234" s="60"/>
      <c r="F234" s="60" t="s">
        <v>1</v>
      </c>
      <c r="G234" s="60"/>
      <c r="H234" s="60" t="s">
        <v>2</v>
      </c>
      <c r="I234" s="60"/>
      <c r="J234" s="60" t="s">
        <v>3</v>
      </c>
      <c r="K234" s="60"/>
      <c r="L234" s="60" t="s">
        <v>4</v>
      </c>
      <c r="M234" s="60"/>
      <c r="N234" s="60" t="s">
        <v>5</v>
      </c>
      <c r="O234" s="60"/>
      <c r="P234" s="1"/>
      <c r="Q234" s="9"/>
      <c r="U234" s="1"/>
      <c r="V234" s="1"/>
    </row>
    <row r="235" spans="1:22" s="10" customFormat="1" ht="16.5" customHeight="1" x14ac:dyDescent="0.25">
      <c r="B235" s="25"/>
      <c r="C235" s="26">
        <f ca="1">IF(DAY(DimJul1)=1,DimJul1-6,DimJul1+1)</f>
        <v>43282</v>
      </c>
      <c r="D235" s="27"/>
      <c r="E235" s="26">
        <f ca="1">IF(DAY(DimJul1)=1,DimJul1-5,DimJul1+2)</f>
        <v>43283</v>
      </c>
      <c r="F235" s="27"/>
      <c r="G235" s="26">
        <f ca="1">IF(DAY(DimJul1)=1,DimJul1-4,DimJul1+3)</f>
        <v>43284</v>
      </c>
      <c r="H235" s="27"/>
      <c r="I235" s="26">
        <f ca="1">IF(DAY(DimJul1)=1,DimJul1-3,DimJul1+4)</f>
        <v>43285</v>
      </c>
      <c r="J235" s="27"/>
      <c r="K235" s="26">
        <f ca="1">IF(DAY(DimJul1)=1,DimJul1-2,DimJul1+5)</f>
        <v>43286</v>
      </c>
      <c r="L235" s="27"/>
      <c r="M235" s="26">
        <f ca="1">IF(DAY(DimJul1)=1,DimJul1-1,DimJul1+6)</f>
        <v>43287</v>
      </c>
      <c r="N235" s="27"/>
      <c r="O235" s="26">
        <f ca="1">IF(DAY(DimJul1)=1,DimJul1,DimJul1+7)</f>
        <v>43288</v>
      </c>
      <c r="P235" s="14"/>
      <c r="Q235" s="14"/>
      <c r="U235" s="15"/>
      <c r="V235" s="14"/>
    </row>
    <row r="236" spans="1:22" s="16" customFormat="1" ht="55.5" customHeight="1" x14ac:dyDescent="0.25">
      <c r="A236" s="7"/>
      <c r="B236" s="65"/>
      <c r="C236" s="66"/>
      <c r="D236" s="66"/>
      <c r="E236" s="66"/>
      <c r="F236" s="66"/>
      <c r="G236" s="66"/>
      <c r="H236" s="66"/>
      <c r="I236" s="66"/>
      <c r="J236" s="66"/>
      <c r="K236" s="66"/>
      <c r="L236" s="62"/>
      <c r="M236" s="62"/>
      <c r="N236" s="62"/>
      <c r="O236" s="62"/>
    </row>
    <row r="237" spans="1:22" s="16" customFormat="1" ht="8.25" customHeight="1" x14ac:dyDescent="0.25">
      <c r="A237" s="7"/>
      <c r="B237" s="63"/>
      <c r="C237" s="63"/>
      <c r="D237" s="63"/>
      <c r="E237" s="63"/>
      <c r="F237" s="63"/>
      <c r="G237" s="63"/>
      <c r="H237" s="63"/>
      <c r="I237" s="63"/>
      <c r="J237" s="63"/>
      <c r="K237" s="63"/>
      <c r="L237" s="64"/>
      <c r="M237" s="64"/>
      <c r="N237" s="64"/>
      <c r="O237" s="64"/>
    </row>
    <row r="238" spans="1:22" s="14" customFormat="1" ht="16.5" customHeight="1" x14ac:dyDescent="0.25">
      <c r="A238" s="10"/>
      <c r="B238" s="27"/>
      <c r="C238" s="26">
        <f ca="1">IF(DAY(DimJul1)=1,DimJul1+1,DimJul1+8)</f>
        <v>43289</v>
      </c>
      <c r="D238" s="27"/>
      <c r="E238" s="26">
        <f ca="1">IF(DAY(DimJul1)=1,DimJul1+2,DimJul1+9)</f>
        <v>43290</v>
      </c>
      <c r="F238" s="27"/>
      <c r="G238" s="26">
        <f ca="1">IF(DAY(DimJul1)=1,DimJul1+3,DimJul1+10)</f>
        <v>43291</v>
      </c>
      <c r="H238" s="27"/>
      <c r="I238" s="26">
        <f ca="1">IF(DAY(DimJul1)=1,DimJul1+4,DimJul1+11)</f>
        <v>43292</v>
      </c>
      <c r="J238" s="27"/>
      <c r="K238" s="26">
        <f ca="1">IF(DAY(DimJul1)=1,DimJul1+5,DimJul1+12)</f>
        <v>43293</v>
      </c>
      <c r="L238" s="27"/>
      <c r="M238" s="26">
        <f ca="1">IF(DAY(DimJul1)=1,DimJul1+6,DimJul1+13)</f>
        <v>43294</v>
      </c>
      <c r="N238" s="27"/>
      <c r="O238" s="26">
        <f ca="1">IF(DAY(DimJul1)=1,DimJul1+7,DimJul1+14)</f>
        <v>43295</v>
      </c>
    </row>
    <row r="239" spans="1:22" ht="55.5" customHeight="1" x14ac:dyDescent="0.25">
      <c r="A239" s="7"/>
      <c r="B239" s="65"/>
      <c r="C239" s="66"/>
      <c r="D239" s="66"/>
      <c r="E239" s="66"/>
      <c r="F239" s="66" t="s">
        <v>7</v>
      </c>
      <c r="G239" s="66"/>
      <c r="H239" s="66"/>
      <c r="I239" s="66"/>
      <c r="J239" s="66"/>
      <c r="K239" s="66"/>
      <c r="L239" s="62"/>
      <c r="M239" s="62"/>
      <c r="N239" s="62"/>
      <c r="O239" s="62"/>
    </row>
    <row r="240" spans="1:22" ht="8.25" customHeight="1" x14ac:dyDescent="0.25">
      <c r="A240" s="7"/>
      <c r="B240" s="63"/>
      <c r="C240" s="63"/>
      <c r="D240" s="63"/>
      <c r="E240" s="63"/>
      <c r="F240" s="63"/>
      <c r="G240" s="63"/>
      <c r="H240" s="63"/>
      <c r="I240" s="63"/>
      <c r="J240" s="63"/>
      <c r="K240" s="63"/>
      <c r="L240" s="64"/>
      <c r="M240" s="64"/>
      <c r="N240" s="64"/>
      <c r="O240" s="64"/>
    </row>
    <row r="241" spans="1:16" s="14" customFormat="1" ht="16.5" customHeight="1" x14ac:dyDescent="0.25">
      <c r="A241" s="10"/>
      <c r="B241" s="27"/>
      <c r="C241" s="26">
        <f ca="1">IF(DAY(DimJul1)=1,DimJul1+8,DimJul1+15)</f>
        <v>43296</v>
      </c>
      <c r="D241" s="27"/>
      <c r="E241" s="26">
        <f ca="1">IF(DAY(DimJul1)=1,DimJul1+9,DimJul1+16)</f>
        <v>43297</v>
      </c>
      <c r="F241" s="27"/>
      <c r="G241" s="26">
        <f ca="1">IF(DAY(DimJul1)=1,DimJul1+10,DimJul1+17)</f>
        <v>43298</v>
      </c>
      <c r="H241" s="27"/>
      <c r="I241" s="26">
        <f ca="1">IF(DAY(DimJul1)=1,DimJul1+11,DimJul1+18)</f>
        <v>43299</v>
      </c>
      <c r="J241" s="27"/>
      <c r="K241" s="26">
        <f ca="1">IF(DAY(DimJul1)=1,DimJul1+12,DimJul1+19)</f>
        <v>43300</v>
      </c>
      <c r="L241" s="27"/>
      <c r="M241" s="26">
        <f ca="1">IF(DAY(DimJul1)=1,DimJul1+13,DimJul1+20)</f>
        <v>43301</v>
      </c>
      <c r="N241" s="27"/>
      <c r="O241" s="26">
        <f ca="1">IF(DAY(DimJul1)=1,DimJul1+14,DimJul1+21)</f>
        <v>43302</v>
      </c>
    </row>
    <row r="242" spans="1:16" ht="55.5" customHeight="1" x14ac:dyDescent="0.25">
      <c r="A242" s="7"/>
      <c r="B242" s="65"/>
      <c r="C242" s="66"/>
      <c r="D242" s="66"/>
      <c r="E242" s="66"/>
      <c r="F242" s="66"/>
      <c r="G242" s="66"/>
      <c r="H242" s="66"/>
      <c r="I242" s="66"/>
      <c r="J242" s="66"/>
      <c r="K242" s="66"/>
      <c r="L242" s="62"/>
      <c r="M242" s="62"/>
      <c r="N242" s="62"/>
      <c r="O242" s="62"/>
    </row>
    <row r="243" spans="1:16" ht="8.25" customHeight="1" x14ac:dyDescent="0.25">
      <c r="A243" s="7"/>
      <c r="B243" s="63"/>
      <c r="C243" s="63"/>
      <c r="D243" s="63"/>
      <c r="E243" s="63"/>
      <c r="F243" s="63"/>
      <c r="G243" s="63"/>
      <c r="H243" s="63"/>
      <c r="I243" s="63"/>
      <c r="J243" s="63"/>
      <c r="K243" s="63"/>
      <c r="L243" s="64"/>
      <c r="M243" s="64"/>
      <c r="N243" s="64"/>
      <c r="O243" s="64"/>
    </row>
    <row r="244" spans="1:16" s="14" customFormat="1" ht="16.5" customHeight="1" x14ac:dyDescent="0.25">
      <c r="A244" s="10"/>
      <c r="B244" s="27"/>
      <c r="C244" s="26">
        <f ca="1">IF(DAY(DimJul1)=1,DimJul1+15,DimJul1+22)</f>
        <v>43303</v>
      </c>
      <c r="D244" s="27"/>
      <c r="E244" s="26">
        <f ca="1">IF(DAY(DimJul1)=1,DimJul1+16,DimJul1+23)</f>
        <v>43304</v>
      </c>
      <c r="F244" s="27"/>
      <c r="G244" s="26">
        <f ca="1">IF(DAY(DimJul1)=1,DimJul1+17,DimJul1+24)</f>
        <v>43305</v>
      </c>
      <c r="H244" s="27"/>
      <c r="I244" s="26">
        <f ca="1">IF(DAY(DimJul1)=1,DimJul1+18,DimJul1+25)</f>
        <v>43306</v>
      </c>
      <c r="J244" s="27"/>
      <c r="K244" s="26">
        <f ca="1">IF(DAY(DimJul1)=1,DimJul1+19,DimJul1+26)</f>
        <v>43307</v>
      </c>
      <c r="L244" s="27"/>
      <c r="M244" s="26">
        <f ca="1">IF(DAY(DimJul1)=1,DimJul1+20,DimJul1+27)</f>
        <v>43308</v>
      </c>
      <c r="N244" s="27"/>
      <c r="O244" s="26">
        <f ca="1">IF(DAY(DimJul1)=1,DimJul1+21,DimJul1+28)</f>
        <v>43309</v>
      </c>
    </row>
    <row r="245" spans="1:16" ht="55.5" customHeight="1" x14ac:dyDescent="0.25">
      <c r="A245" s="7"/>
      <c r="B245" s="65"/>
      <c r="C245" s="66"/>
      <c r="D245" s="66"/>
      <c r="E245" s="66"/>
      <c r="F245" s="66"/>
      <c r="G245" s="66"/>
      <c r="H245" s="66"/>
      <c r="I245" s="66"/>
      <c r="J245" s="66"/>
      <c r="K245" s="66"/>
      <c r="L245" s="62"/>
      <c r="M245" s="62"/>
      <c r="N245" s="62"/>
      <c r="O245" s="62"/>
    </row>
    <row r="246" spans="1:16" ht="8.25" customHeight="1" x14ac:dyDescent="0.25">
      <c r="A246" s="7"/>
      <c r="B246" s="63"/>
      <c r="C246" s="63"/>
      <c r="D246" s="63"/>
      <c r="E246" s="63"/>
      <c r="F246" s="63"/>
      <c r="G246" s="63"/>
      <c r="H246" s="63"/>
      <c r="I246" s="63"/>
      <c r="J246" s="63"/>
      <c r="K246" s="63"/>
      <c r="L246" s="64"/>
      <c r="M246" s="64"/>
      <c r="N246" s="64"/>
      <c r="O246" s="64"/>
    </row>
    <row r="247" spans="1:16" s="14" customFormat="1" ht="16.5" customHeight="1" x14ac:dyDescent="0.25">
      <c r="A247" s="10"/>
      <c r="B247" s="27"/>
      <c r="C247" s="26">
        <f ca="1">IF(DAY(DimJul1)=1,DimJul1+22,DimJul1+29)</f>
        <v>43310</v>
      </c>
      <c r="D247" s="27"/>
      <c r="E247" s="26">
        <f ca="1">IF(DAY(DimJul1)=1,DimJul1+23,DimJul1+30)</f>
        <v>43311</v>
      </c>
      <c r="F247" s="27"/>
      <c r="G247" s="26">
        <f ca="1">IF(DAY(DimJul1)=1,DimJul1+24,DimJul1+31)</f>
        <v>43312</v>
      </c>
      <c r="H247" s="27"/>
      <c r="I247" s="26">
        <f ca="1">IF(DAY(DimJul1)=1,DimJul1+25,DimJul1+32)</f>
        <v>43313</v>
      </c>
      <c r="J247" s="27"/>
      <c r="K247" s="26">
        <f ca="1">IF(DAY(DimJul1)=1,DimJul1+26,DimJul1+33)</f>
        <v>43314</v>
      </c>
      <c r="L247" s="27"/>
      <c r="M247" s="26">
        <f ca="1">IF(DAY(DimJul1)=1,DimJul1+27,DimJul1+34)</f>
        <v>43315</v>
      </c>
      <c r="N247" s="27"/>
      <c r="O247" s="26">
        <f ca="1">IF(DAY(DimJul1)=1,DimJul1+28,DimJul1+35)</f>
        <v>43316</v>
      </c>
    </row>
    <row r="248" spans="1:16" ht="55.5" customHeight="1" x14ac:dyDescent="0.25">
      <c r="A248" s="7"/>
      <c r="B248" s="65"/>
      <c r="C248" s="66"/>
      <c r="D248" s="66"/>
      <c r="E248" s="66"/>
      <c r="F248" s="66"/>
      <c r="G248" s="66"/>
      <c r="H248" s="66"/>
      <c r="I248" s="66"/>
      <c r="J248" s="66"/>
      <c r="K248" s="66"/>
      <c r="L248" s="62"/>
      <c r="M248" s="62"/>
      <c r="N248" s="62"/>
      <c r="O248" s="62"/>
    </row>
    <row r="249" spans="1:16" ht="8.25" customHeight="1" x14ac:dyDescent="0.25">
      <c r="A249" s="7"/>
      <c r="B249" s="63"/>
      <c r="C249" s="63"/>
      <c r="D249" s="63"/>
      <c r="E249" s="63"/>
      <c r="F249" s="63"/>
      <c r="G249" s="63"/>
      <c r="H249" s="63"/>
      <c r="I249" s="63"/>
      <c r="J249" s="63"/>
      <c r="K249" s="63"/>
      <c r="L249" s="64"/>
      <c r="M249" s="64"/>
      <c r="N249" s="64"/>
      <c r="O249" s="64"/>
    </row>
    <row r="250" spans="1:16" s="14" customFormat="1" ht="16.5" customHeight="1" x14ac:dyDescent="0.25">
      <c r="A250" s="10"/>
      <c r="B250" s="27"/>
      <c r="C250" s="26">
        <f ca="1">IF(DAY(DimJul1)=1,DimJul1+29,DimJul1+36)</f>
        <v>43317</v>
      </c>
      <c r="D250" s="27"/>
      <c r="E250" s="26">
        <f ca="1">IF(DAY(DimJul1)=1,DimJul1+30,DimJul1+37)</f>
        <v>43318</v>
      </c>
      <c r="F250" s="27"/>
      <c r="G250" s="26">
        <f ca="1">IF(DAY(DimJul1)=1,DimJul1+31,DimJul1+38)</f>
        <v>43319</v>
      </c>
      <c r="H250" s="27"/>
      <c r="I250" s="26">
        <f ca="1">IF(DAY(DimJul1)=1,DimJul1+32,DimJul1+39)</f>
        <v>43320</v>
      </c>
      <c r="J250" s="27"/>
      <c r="K250" s="26">
        <f ca="1">IF(DAY(DimJul1)=1,DimJul1+33,DimJul1+40)</f>
        <v>43321</v>
      </c>
      <c r="L250" s="27"/>
      <c r="M250" s="26">
        <f ca="1">IF(DAY(DimJul1)=1,DimJul1+34,DimJul1+41)</f>
        <v>43322</v>
      </c>
      <c r="N250" s="27"/>
      <c r="O250" s="26">
        <f ca="1">IF(DAY(DimJul1)=1,DimJul1+35,DimJul1+42)</f>
        <v>43323</v>
      </c>
    </row>
    <row r="251" spans="1:16" ht="55.5" customHeight="1" x14ac:dyDescent="0.25">
      <c r="A251" s="7"/>
      <c r="B251" s="65"/>
      <c r="C251" s="66"/>
      <c r="D251" s="66"/>
      <c r="E251" s="66"/>
      <c r="F251" s="67"/>
      <c r="G251" s="67"/>
      <c r="H251" s="67"/>
      <c r="I251" s="67"/>
      <c r="J251" s="67"/>
      <c r="K251" s="67"/>
      <c r="L251" s="67"/>
      <c r="M251" s="67"/>
      <c r="N251" s="67"/>
      <c r="O251" s="67"/>
    </row>
    <row r="252" spans="1:16" ht="7.5" customHeight="1" x14ac:dyDescent="0.2">
      <c r="B252" s="29"/>
      <c r="C252" s="29"/>
      <c r="D252" s="29"/>
      <c r="E252" s="29"/>
      <c r="F252" s="29"/>
      <c r="G252" s="29"/>
      <c r="H252" s="29"/>
      <c r="I252" s="29"/>
      <c r="J252" s="29"/>
      <c r="K252" s="29"/>
      <c r="L252" s="29"/>
      <c r="M252" s="29"/>
      <c r="N252" s="29"/>
      <c r="O252" s="29"/>
    </row>
    <row r="253" spans="1:16" ht="14.25" customHeight="1" x14ac:dyDescent="0.2">
      <c r="B253" s="29"/>
      <c r="C253" s="29"/>
      <c r="D253" s="29"/>
      <c r="E253" s="29"/>
      <c r="F253" s="29"/>
      <c r="G253" s="29"/>
      <c r="H253" s="29"/>
      <c r="I253" s="29"/>
      <c r="J253" s="29"/>
      <c r="K253" s="29"/>
      <c r="L253" s="29"/>
      <c r="M253" s="29"/>
      <c r="N253" s="29"/>
      <c r="O253" s="29"/>
    </row>
    <row r="254" spans="1:16" ht="54" customHeight="1" x14ac:dyDescent="0.2">
      <c r="A254" s="61" t="str">
        <f ca="1">TEXT(DATE(AnnéeCalendrier,8,1),"mmmm")</f>
        <v>August</v>
      </c>
      <c r="B254" s="61"/>
      <c r="C254" s="61"/>
      <c r="D254" s="61"/>
      <c r="E254" s="61"/>
      <c r="F254" s="61"/>
      <c r="G254" s="61"/>
      <c r="H254" s="30"/>
      <c r="I254" s="31"/>
      <c r="J254" s="31"/>
      <c r="K254" s="32"/>
      <c r="L254" s="59">
        <f ca="1">AnnéeCalendrier</f>
        <v>2018</v>
      </c>
      <c r="M254" s="59"/>
      <c r="N254" s="59"/>
      <c r="O254" s="59"/>
      <c r="P254" s="59"/>
    </row>
    <row r="255" spans="1:16" ht="18.95" customHeight="1" x14ac:dyDescent="0.35">
      <c r="A255" s="4"/>
      <c r="B255" s="5"/>
      <c r="C255" s="5"/>
      <c r="D255" s="5"/>
      <c r="E255" s="6"/>
      <c r="F255" s="6"/>
      <c r="G255" s="6"/>
      <c r="H255" s="3"/>
      <c r="I255" s="3"/>
      <c r="J255" s="3"/>
    </row>
    <row r="256" spans="1:16" ht="18.95" customHeight="1" x14ac:dyDescent="0.35">
      <c r="A256" s="4"/>
      <c r="B256" s="5"/>
      <c r="C256" s="5"/>
      <c r="D256" s="5"/>
      <c r="E256" s="6"/>
      <c r="F256" s="6"/>
      <c r="G256" s="6"/>
      <c r="H256" s="3"/>
      <c r="I256" s="3"/>
      <c r="J256" s="3"/>
    </row>
    <row r="257" spans="1:22" ht="18.95" customHeight="1" x14ac:dyDescent="0.35">
      <c r="A257" s="4"/>
      <c r="B257" s="5"/>
      <c r="C257" s="5"/>
      <c r="D257" s="5"/>
      <c r="E257" s="6"/>
      <c r="F257" s="6"/>
      <c r="G257" s="6"/>
      <c r="H257" s="3"/>
      <c r="I257" s="3"/>
      <c r="J257" s="3"/>
    </row>
    <row r="258" spans="1:22" ht="18.95" customHeight="1" x14ac:dyDescent="0.35">
      <c r="A258" s="4"/>
      <c r="B258" s="5"/>
      <c r="C258" s="5"/>
      <c r="D258" s="5"/>
      <c r="E258" s="6"/>
      <c r="F258" s="6"/>
      <c r="G258" s="6"/>
      <c r="H258" s="3"/>
      <c r="I258" s="3"/>
      <c r="J258" s="3"/>
    </row>
    <row r="259" spans="1:22" ht="18.95" customHeight="1" x14ac:dyDescent="0.35">
      <c r="A259" s="4"/>
      <c r="B259" s="5"/>
      <c r="C259" s="5"/>
      <c r="D259" s="5"/>
      <c r="E259" s="6"/>
      <c r="F259" s="6"/>
      <c r="G259" s="6"/>
      <c r="H259" s="3"/>
      <c r="I259" s="3"/>
      <c r="J259" s="3"/>
    </row>
    <row r="260" spans="1:22" ht="18.95" customHeight="1" x14ac:dyDescent="0.35">
      <c r="A260" s="4"/>
      <c r="B260" s="5"/>
      <c r="C260" s="5"/>
      <c r="D260" s="5"/>
      <c r="E260" s="6"/>
      <c r="F260" s="6"/>
      <c r="G260" s="6"/>
      <c r="H260" s="3"/>
      <c r="I260" s="3"/>
      <c r="J260" s="3"/>
    </row>
    <row r="261" spans="1:22" ht="18.95" customHeight="1" x14ac:dyDescent="0.35">
      <c r="A261" s="4"/>
      <c r="B261" s="5"/>
      <c r="C261" s="5"/>
      <c r="D261" s="5"/>
      <c r="E261" s="6"/>
      <c r="F261" s="6"/>
      <c r="G261" s="6"/>
      <c r="H261" s="3"/>
      <c r="I261" s="3"/>
      <c r="J261" s="3"/>
    </row>
    <row r="262" spans="1:22" ht="18.95" customHeight="1" x14ac:dyDescent="0.35">
      <c r="A262" s="4"/>
      <c r="B262" s="5"/>
      <c r="C262" s="5"/>
      <c r="D262" s="5"/>
      <c r="E262" s="6"/>
      <c r="F262" s="6"/>
      <c r="G262" s="6"/>
      <c r="H262" s="3"/>
      <c r="I262" s="3"/>
      <c r="J262" s="3"/>
    </row>
    <row r="263" spans="1:22" ht="18.95" customHeight="1" x14ac:dyDescent="0.35">
      <c r="A263" s="4"/>
      <c r="B263" s="5"/>
      <c r="C263" s="5"/>
      <c r="D263" s="5"/>
      <c r="E263" s="6"/>
      <c r="F263" s="6"/>
      <c r="G263" s="6"/>
      <c r="H263" s="3"/>
      <c r="I263" s="3"/>
      <c r="J263" s="3"/>
    </row>
    <row r="264" spans="1:22" ht="18.95" customHeight="1" x14ac:dyDescent="0.35">
      <c r="A264" s="4"/>
      <c r="B264" s="5"/>
      <c r="C264" s="5"/>
      <c r="D264" s="5"/>
      <c r="E264" s="6"/>
      <c r="F264" s="6"/>
      <c r="G264" s="6"/>
      <c r="H264" s="3"/>
      <c r="I264" s="3"/>
      <c r="J264" s="3"/>
    </row>
    <row r="265" spans="1:22" ht="18.95" customHeight="1" x14ac:dyDescent="0.35">
      <c r="A265" s="4"/>
      <c r="B265" s="5"/>
      <c r="C265" s="5"/>
      <c r="D265" s="5"/>
      <c r="E265" s="6"/>
      <c r="F265" s="6"/>
      <c r="G265" s="6"/>
      <c r="H265" s="3"/>
      <c r="I265" s="3"/>
      <c r="J265" s="3"/>
    </row>
    <row r="266" spans="1:22" ht="18.95" customHeight="1" x14ac:dyDescent="0.35">
      <c r="A266" s="4"/>
      <c r="B266" s="5"/>
      <c r="C266" s="5"/>
      <c r="D266" s="5"/>
      <c r="E266" s="6"/>
      <c r="F266" s="6"/>
      <c r="G266" s="6"/>
      <c r="H266" s="3"/>
      <c r="I266" s="3"/>
      <c r="J266" s="3"/>
    </row>
    <row r="267" spans="1:22" ht="18.95" customHeight="1" x14ac:dyDescent="0.35">
      <c r="A267" s="4"/>
      <c r="B267" s="5"/>
      <c r="C267" s="5"/>
      <c r="D267" s="5"/>
      <c r="E267" s="6"/>
      <c r="F267" s="6"/>
      <c r="G267" s="6"/>
      <c r="H267" s="3"/>
      <c r="I267" s="3"/>
      <c r="J267" s="3"/>
    </row>
    <row r="268" spans="1:22" ht="18.95" customHeight="1" x14ac:dyDescent="0.35">
      <c r="A268" s="4"/>
      <c r="B268" s="5"/>
      <c r="C268" s="5"/>
      <c r="D268" s="5"/>
      <c r="E268" s="6"/>
      <c r="F268" s="6"/>
      <c r="G268" s="6"/>
      <c r="H268" s="3"/>
      <c r="I268" s="3"/>
      <c r="J268" s="3"/>
    </row>
    <row r="269" spans="1:22" ht="18.95" customHeight="1" x14ac:dyDescent="0.25">
      <c r="A269" s="7"/>
      <c r="B269" s="8"/>
      <c r="C269" s="8"/>
      <c r="D269" s="8"/>
      <c r="E269" s="8"/>
      <c r="F269" s="8"/>
      <c r="G269" s="8"/>
      <c r="H269" s="8"/>
      <c r="I269" s="8"/>
      <c r="J269" s="8"/>
      <c r="K269" s="8"/>
      <c r="L269" s="8"/>
      <c r="M269" s="8"/>
      <c r="N269" s="8"/>
      <c r="O269" s="8"/>
    </row>
    <row r="270" spans="1:22" s="7" customFormat="1" ht="27" customHeight="1" x14ac:dyDescent="0.25">
      <c r="B270" s="60" t="s">
        <v>6</v>
      </c>
      <c r="C270" s="60"/>
      <c r="D270" s="60" t="s">
        <v>0</v>
      </c>
      <c r="E270" s="60"/>
      <c r="F270" s="60" t="s">
        <v>1</v>
      </c>
      <c r="G270" s="60"/>
      <c r="H270" s="60" t="s">
        <v>2</v>
      </c>
      <c r="I270" s="60"/>
      <c r="J270" s="60" t="s">
        <v>3</v>
      </c>
      <c r="K270" s="60"/>
      <c r="L270" s="60" t="s">
        <v>4</v>
      </c>
      <c r="M270" s="60"/>
      <c r="N270" s="60" t="s">
        <v>5</v>
      </c>
      <c r="O270" s="60"/>
      <c r="P270" s="1"/>
      <c r="Q270" s="9"/>
      <c r="U270" s="1"/>
      <c r="V270" s="1"/>
    </row>
    <row r="271" spans="1:22" s="10" customFormat="1" ht="16.5" customHeight="1" x14ac:dyDescent="0.25">
      <c r="B271" s="25"/>
      <c r="C271" s="26">
        <f ca="1">IF(DAY(DimAoû1)=1,DimAoû1-6,DimAoû1+1)</f>
        <v>43310</v>
      </c>
      <c r="D271" s="27"/>
      <c r="E271" s="26">
        <f ca="1">IF(DAY(DimAoû1)=1,DimAoû1-5,DimAoû1+2)</f>
        <v>43311</v>
      </c>
      <c r="F271" s="27"/>
      <c r="G271" s="26">
        <f ca="1">IF(DAY(DimAoû1)=1,DimAoû1-4,DimAoû1+3)</f>
        <v>43312</v>
      </c>
      <c r="H271" s="27"/>
      <c r="I271" s="26">
        <f ca="1">IF(DAY(DimAoû1)=1,DimAoû1-3,DimAoû1+4)</f>
        <v>43313</v>
      </c>
      <c r="J271" s="27"/>
      <c r="K271" s="26">
        <f ca="1">IF(DAY(DimAoû1)=1,DimAoû1-2,DimAoû1+5)</f>
        <v>43314</v>
      </c>
      <c r="L271" s="27"/>
      <c r="M271" s="26">
        <f ca="1">IF(DAY(DimAoû1)=1,DimAoû1-1,DimAoû1+6)</f>
        <v>43315</v>
      </c>
      <c r="N271" s="27"/>
      <c r="O271" s="26">
        <f ca="1">IF(DAY(DimAoû1)=1,DimAoû1,DimAoû1+7)</f>
        <v>43316</v>
      </c>
      <c r="P271" s="14"/>
      <c r="Q271" s="14"/>
      <c r="U271" s="15"/>
      <c r="V271" s="14"/>
    </row>
    <row r="272" spans="1:22" s="16" customFormat="1" ht="55.5" customHeight="1" x14ac:dyDescent="0.25">
      <c r="A272" s="7"/>
      <c r="B272" s="65"/>
      <c r="C272" s="66"/>
      <c r="D272" s="66"/>
      <c r="E272" s="66"/>
      <c r="F272" s="66"/>
      <c r="G272" s="66"/>
      <c r="H272" s="66"/>
      <c r="I272" s="66"/>
      <c r="J272" s="66"/>
      <c r="K272" s="66"/>
      <c r="L272" s="62"/>
      <c r="M272" s="62"/>
      <c r="N272" s="62"/>
      <c r="O272" s="62"/>
    </row>
    <row r="273" spans="1:15" s="16" customFormat="1" ht="8.25" customHeight="1" x14ac:dyDescent="0.25">
      <c r="A273" s="7"/>
      <c r="B273" s="63"/>
      <c r="C273" s="63"/>
      <c r="D273" s="63"/>
      <c r="E273" s="63"/>
      <c r="F273" s="63"/>
      <c r="G273" s="63"/>
      <c r="H273" s="63"/>
      <c r="I273" s="63"/>
      <c r="J273" s="63"/>
      <c r="K273" s="63"/>
      <c r="L273" s="64"/>
      <c r="M273" s="64"/>
      <c r="N273" s="64"/>
      <c r="O273" s="64"/>
    </row>
    <row r="274" spans="1:15" s="14" customFormat="1" ht="16.5" customHeight="1" x14ac:dyDescent="0.25">
      <c r="A274" s="10"/>
      <c r="B274" s="27"/>
      <c r="C274" s="26">
        <f ca="1">IF(DAY(DimAoû1)=1,DimAoû1+1,DimAoû1+8)</f>
        <v>43317</v>
      </c>
      <c r="D274" s="27"/>
      <c r="E274" s="26">
        <f ca="1">IF(DAY(DimAoû1)=1,DimAoû1+2,DimAoû1+9)</f>
        <v>43318</v>
      </c>
      <c r="F274" s="27"/>
      <c r="G274" s="26">
        <f ca="1">IF(DAY(DimAoû1)=1,DimAoû1+3,DimAoû1+10)</f>
        <v>43319</v>
      </c>
      <c r="H274" s="27"/>
      <c r="I274" s="26">
        <f ca="1">IF(DAY(DimAoû1)=1,DimAoû1+4,DimAoû1+11)</f>
        <v>43320</v>
      </c>
      <c r="J274" s="27"/>
      <c r="K274" s="26">
        <f ca="1">IF(DAY(DimAoû1)=1,DimAoû1+5,DimAoû1+12)</f>
        <v>43321</v>
      </c>
      <c r="L274" s="27"/>
      <c r="M274" s="26">
        <f ca="1">IF(DAY(DimAoû1)=1,DimAoû1+6,DimAoû1+13)</f>
        <v>43322</v>
      </c>
      <c r="N274" s="27"/>
      <c r="O274" s="26">
        <f ca="1">IF(DAY(DimAoû1)=1,DimAoû1+7,DimAoû1+14)</f>
        <v>43323</v>
      </c>
    </row>
    <row r="275" spans="1:15" ht="55.5" customHeight="1" x14ac:dyDescent="0.25">
      <c r="A275" s="7"/>
      <c r="B275" s="65"/>
      <c r="C275" s="66"/>
      <c r="D275" s="66"/>
      <c r="E275" s="66"/>
      <c r="F275" s="66" t="s">
        <v>7</v>
      </c>
      <c r="G275" s="66"/>
      <c r="H275" s="66"/>
      <c r="I275" s="66"/>
      <c r="J275" s="66"/>
      <c r="K275" s="66"/>
      <c r="L275" s="62"/>
      <c r="M275" s="62"/>
      <c r="N275" s="62"/>
      <c r="O275" s="62"/>
    </row>
    <row r="276" spans="1:15" ht="8.25" customHeight="1" x14ac:dyDescent="0.25">
      <c r="A276" s="7"/>
      <c r="B276" s="63"/>
      <c r="C276" s="63"/>
      <c r="D276" s="63"/>
      <c r="E276" s="63"/>
      <c r="F276" s="63"/>
      <c r="G276" s="63"/>
      <c r="H276" s="63"/>
      <c r="I276" s="63"/>
      <c r="J276" s="63"/>
      <c r="K276" s="63"/>
      <c r="L276" s="64"/>
      <c r="M276" s="64"/>
      <c r="N276" s="64"/>
      <c r="O276" s="64"/>
    </row>
    <row r="277" spans="1:15" s="14" customFormat="1" ht="16.5" customHeight="1" x14ac:dyDescent="0.25">
      <c r="A277" s="10"/>
      <c r="B277" s="27"/>
      <c r="C277" s="26">
        <f ca="1">IF(DAY(DimAoû1)=1,DimAoû1+8,DimAoû1+15)</f>
        <v>43324</v>
      </c>
      <c r="D277" s="27"/>
      <c r="E277" s="26">
        <f ca="1">IF(DAY(DimAoû1)=1,DimAoû1+9,DimAoû1+16)</f>
        <v>43325</v>
      </c>
      <c r="F277" s="27"/>
      <c r="G277" s="26">
        <f ca="1">IF(DAY(DimAoû1)=1,DimAoû1+10,DimAoû1+17)</f>
        <v>43326</v>
      </c>
      <c r="H277" s="27"/>
      <c r="I277" s="26">
        <f ca="1">IF(DAY(DimAoû1)=1,DimAoû1+11,DimAoû1+18)</f>
        <v>43327</v>
      </c>
      <c r="J277" s="27"/>
      <c r="K277" s="26">
        <f ca="1">IF(DAY(DimAoû1)=1,DimAoû1+12,DimAoû1+19)</f>
        <v>43328</v>
      </c>
      <c r="L277" s="27"/>
      <c r="M277" s="26">
        <f ca="1">IF(DAY(DimAoû1)=1,DimAoû1+13,DimAoû1+20)</f>
        <v>43329</v>
      </c>
      <c r="N277" s="27"/>
      <c r="O277" s="26">
        <f ca="1">IF(DAY(DimAoû1)=1,DimAoû1+14,DimAoû1+21)</f>
        <v>43330</v>
      </c>
    </row>
    <row r="278" spans="1:15" ht="55.5" customHeight="1" x14ac:dyDescent="0.25">
      <c r="A278" s="7"/>
      <c r="B278" s="65"/>
      <c r="C278" s="66"/>
      <c r="D278" s="66"/>
      <c r="E278" s="66"/>
      <c r="F278" s="66"/>
      <c r="G278" s="66"/>
      <c r="H278" s="66"/>
      <c r="I278" s="66"/>
      <c r="J278" s="66"/>
      <c r="K278" s="66"/>
      <c r="L278" s="62"/>
      <c r="M278" s="62"/>
      <c r="N278" s="62"/>
      <c r="O278" s="62"/>
    </row>
    <row r="279" spans="1:15" ht="8.25" customHeight="1" x14ac:dyDescent="0.25">
      <c r="A279" s="7"/>
      <c r="B279" s="63"/>
      <c r="C279" s="63"/>
      <c r="D279" s="63"/>
      <c r="E279" s="63"/>
      <c r="F279" s="63"/>
      <c r="G279" s="63"/>
      <c r="H279" s="63"/>
      <c r="I279" s="63"/>
      <c r="J279" s="63"/>
      <c r="K279" s="63"/>
      <c r="L279" s="64"/>
      <c r="M279" s="64"/>
      <c r="N279" s="64"/>
      <c r="O279" s="64"/>
    </row>
    <row r="280" spans="1:15" s="14" customFormat="1" ht="16.5" customHeight="1" x14ac:dyDescent="0.25">
      <c r="A280" s="10"/>
      <c r="B280" s="27"/>
      <c r="C280" s="26">
        <f ca="1">IF(DAY(DimAoû1)=1,DimAoû1+15,DimAoû1+22)</f>
        <v>43331</v>
      </c>
      <c r="D280" s="27"/>
      <c r="E280" s="26">
        <f ca="1">IF(DAY(DimAoû1)=1,DimAoû1+16,DimAoû1+23)</f>
        <v>43332</v>
      </c>
      <c r="F280" s="27"/>
      <c r="G280" s="26">
        <f ca="1">IF(DAY(DimAoû1)=1,DimAoû1+17,DimAoû1+24)</f>
        <v>43333</v>
      </c>
      <c r="H280" s="27"/>
      <c r="I280" s="26">
        <f ca="1">IF(DAY(DimAoû1)=1,DimAoû1+18,DimAoû1+25)</f>
        <v>43334</v>
      </c>
      <c r="J280" s="27"/>
      <c r="K280" s="26">
        <f ca="1">IF(DAY(DimAoû1)=1,DimAoû1+19,DimAoû1+26)</f>
        <v>43335</v>
      </c>
      <c r="L280" s="27"/>
      <c r="M280" s="26">
        <f ca="1">IF(DAY(DimAoû1)=1,DimAoû1+20,DimAoû1+27)</f>
        <v>43336</v>
      </c>
      <c r="N280" s="27"/>
      <c r="O280" s="26">
        <f ca="1">IF(DAY(DimAoû1)=1,DimAoû1+21,DimAoû1+28)</f>
        <v>43337</v>
      </c>
    </row>
    <row r="281" spans="1:15" ht="55.5" customHeight="1" x14ac:dyDescent="0.25">
      <c r="A281" s="7"/>
      <c r="B281" s="65"/>
      <c r="C281" s="66"/>
      <c r="D281" s="66"/>
      <c r="E281" s="66"/>
      <c r="F281" s="66"/>
      <c r="G281" s="66"/>
      <c r="H281" s="66"/>
      <c r="I281" s="66"/>
      <c r="J281" s="66"/>
      <c r="K281" s="66"/>
      <c r="L281" s="62"/>
      <c r="M281" s="62"/>
      <c r="N281" s="62"/>
      <c r="O281" s="62"/>
    </row>
    <row r="282" spans="1:15" ht="8.25" customHeight="1" x14ac:dyDescent="0.25">
      <c r="A282" s="7"/>
      <c r="B282" s="63"/>
      <c r="C282" s="63"/>
      <c r="D282" s="63"/>
      <c r="E282" s="63"/>
      <c r="F282" s="63"/>
      <c r="G282" s="63"/>
      <c r="H282" s="63"/>
      <c r="I282" s="63"/>
      <c r="J282" s="63"/>
      <c r="K282" s="63"/>
      <c r="L282" s="64"/>
      <c r="M282" s="64"/>
      <c r="N282" s="64"/>
      <c r="O282" s="64"/>
    </row>
    <row r="283" spans="1:15" s="14" customFormat="1" ht="16.5" customHeight="1" x14ac:dyDescent="0.25">
      <c r="A283" s="10"/>
      <c r="B283" s="27"/>
      <c r="C283" s="26">
        <f ca="1">IF(DAY(DimAoû1)=1,DimAoû1+22,DimAoû1+29)</f>
        <v>43338</v>
      </c>
      <c r="D283" s="27"/>
      <c r="E283" s="26">
        <f ca="1">IF(DAY(DimAoû1)=1,DimAoû1+23,DimAoû1+30)</f>
        <v>43339</v>
      </c>
      <c r="F283" s="27"/>
      <c r="G283" s="26">
        <f ca="1">IF(DAY(DimAoû1)=1,DimAoû1+24,DimAoû1+31)</f>
        <v>43340</v>
      </c>
      <c r="H283" s="27"/>
      <c r="I283" s="26">
        <f ca="1">IF(DAY(DimAoû1)=1,DimAoû1+25,DimAoû1+32)</f>
        <v>43341</v>
      </c>
      <c r="J283" s="27"/>
      <c r="K283" s="26">
        <f ca="1">IF(DAY(DimAoû1)=1,DimAoû1+26,DimAoû1+33)</f>
        <v>43342</v>
      </c>
      <c r="L283" s="27"/>
      <c r="M283" s="26">
        <f ca="1">IF(DAY(DimAoû1)=1,DimAoû1+27,DimAoû1+34)</f>
        <v>43343</v>
      </c>
      <c r="N283" s="27"/>
      <c r="O283" s="26">
        <f ca="1">IF(DAY(DimAoû1)=1,DimAoû1+28,DimAoû1+35)</f>
        <v>43344</v>
      </c>
    </row>
    <row r="284" spans="1:15" ht="55.5" customHeight="1" x14ac:dyDescent="0.25">
      <c r="A284" s="7"/>
      <c r="B284" s="65"/>
      <c r="C284" s="66"/>
      <c r="D284" s="66"/>
      <c r="E284" s="66"/>
      <c r="F284" s="66"/>
      <c r="G284" s="66"/>
      <c r="H284" s="66"/>
      <c r="I284" s="66"/>
      <c r="J284" s="66"/>
      <c r="K284" s="66"/>
      <c r="L284" s="62"/>
      <c r="M284" s="62"/>
      <c r="N284" s="62"/>
      <c r="O284" s="62"/>
    </row>
    <row r="285" spans="1:15" ht="8.25" customHeight="1" x14ac:dyDescent="0.25">
      <c r="A285" s="7"/>
      <c r="B285" s="63"/>
      <c r="C285" s="63"/>
      <c r="D285" s="63"/>
      <c r="E285" s="63"/>
      <c r="F285" s="63"/>
      <c r="G285" s="63"/>
      <c r="H285" s="63"/>
      <c r="I285" s="63"/>
      <c r="J285" s="63"/>
      <c r="K285" s="63"/>
      <c r="L285" s="64"/>
      <c r="M285" s="64"/>
      <c r="N285" s="64"/>
      <c r="O285" s="64"/>
    </row>
    <row r="286" spans="1:15" s="14" customFormat="1" ht="16.5" customHeight="1" x14ac:dyDescent="0.25">
      <c r="A286" s="10"/>
      <c r="B286" s="27"/>
      <c r="C286" s="26">
        <f ca="1">IF(DAY(DimAoû1)=1,DimAoû1+29,DimAoû1+36)</f>
        <v>43345</v>
      </c>
      <c r="D286" s="27"/>
      <c r="E286" s="26">
        <f ca="1">IF(DAY(DimAoû1)=1,DimAoû1+30,DimAoû1+37)</f>
        <v>43346</v>
      </c>
      <c r="F286" s="27"/>
      <c r="G286" s="26">
        <f ca="1">IF(DAY(DimAoû1)=1,DimAoû1+31,DimAoû1+38)</f>
        <v>43347</v>
      </c>
      <c r="H286" s="27"/>
      <c r="I286" s="26">
        <f ca="1">IF(DAY(DimAoû1)=1,DimAoû1+32,DimAoû1+39)</f>
        <v>43348</v>
      </c>
      <c r="J286" s="27"/>
      <c r="K286" s="26">
        <f ca="1">IF(DAY(DimAoû1)=1,DimAoû1+33,DimAoû1+40)</f>
        <v>43349</v>
      </c>
      <c r="L286" s="27"/>
      <c r="M286" s="26">
        <f ca="1">IF(DAY(DimAoû1)=1,DimAoû1+34,DimAoû1+41)</f>
        <v>43350</v>
      </c>
      <c r="N286" s="27"/>
      <c r="O286" s="26">
        <f ca="1">IF(DAY(DimAoû1)=1,DimAoû1+35,DimAoû1+42)</f>
        <v>43351</v>
      </c>
    </row>
    <row r="287" spans="1:15" ht="55.5" customHeight="1" x14ac:dyDescent="0.25">
      <c r="A287" s="7"/>
      <c r="B287" s="65"/>
      <c r="C287" s="66"/>
      <c r="D287" s="66"/>
      <c r="E287" s="66"/>
      <c r="F287" s="67"/>
      <c r="G287" s="67"/>
      <c r="H287" s="67"/>
      <c r="I287" s="67"/>
      <c r="J287" s="67"/>
      <c r="K287" s="67"/>
      <c r="L287" s="67"/>
      <c r="M287" s="67"/>
      <c r="N287" s="67"/>
      <c r="O287" s="67"/>
    </row>
    <row r="288" spans="1:15" ht="7.5" customHeight="1" x14ac:dyDescent="0.2">
      <c r="B288" s="29"/>
      <c r="C288" s="29"/>
      <c r="D288" s="29"/>
      <c r="E288" s="29"/>
      <c r="F288" s="29"/>
      <c r="G288" s="29"/>
      <c r="H288" s="29"/>
      <c r="I288" s="29"/>
      <c r="J288" s="29"/>
      <c r="K288" s="29"/>
      <c r="L288" s="29"/>
      <c r="M288" s="29"/>
      <c r="N288" s="29"/>
      <c r="O288" s="29"/>
    </row>
    <row r="290" spans="1:16" ht="54" customHeight="1" x14ac:dyDescent="0.2">
      <c r="A290" s="70" t="str">
        <f ca="1">TEXT(DATE(AnnéeCalendrier,9,1),"mmmm")</f>
        <v>September</v>
      </c>
      <c r="B290" s="70"/>
      <c r="C290" s="70"/>
      <c r="D290" s="70"/>
      <c r="E290" s="70"/>
      <c r="F290" s="70"/>
      <c r="G290" s="70"/>
      <c r="H290" s="2"/>
      <c r="I290" s="3"/>
      <c r="J290" s="3"/>
      <c r="L290" s="68">
        <f ca="1">AnnéeCalendrier</f>
        <v>2018</v>
      </c>
      <c r="M290" s="68"/>
      <c r="N290" s="68"/>
      <c r="O290" s="68"/>
      <c r="P290" s="68"/>
    </row>
    <row r="291" spans="1:16" ht="18.95" customHeight="1" x14ac:dyDescent="0.35">
      <c r="A291" s="4"/>
      <c r="B291" s="5"/>
      <c r="C291" s="5"/>
      <c r="D291" s="5"/>
      <c r="E291" s="6"/>
      <c r="F291" s="6"/>
      <c r="G291" s="6"/>
      <c r="H291" s="3"/>
      <c r="I291" s="3"/>
      <c r="J291" s="3"/>
    </row>
    <row r="292" spans="1:16" ht="18.95" customHeight="1" x14ac:dyDescent="0.35">
      <c r="A292" s="4"/>
      <c r="B292" s="5"/>
      <c r="C292" s="5"/>
      <c r="D292" s="5"/>
      <c r="E292" s="6"/>
      <c r="F292" s="6"/>
      <c r="G292" s="6"/>
      <c r="H292" s="3"/>
      <c r="I292" s="3"/>
      <c r="J292" s="3"/>
    </row>
    <row r="293" spans="1:16" ht="18.95" customHeight="1" x14ac:dyDescent="0.35">
      <c r="A293" s="4"/>
      <c r="B293" s="5"/>
      <c r="C293" s="5"/>
      <c r="D293" s="5"/>
      <c r="E293" s="6"/>
      <c r="F293" s="6"/>
      <c r="G293" s="6"/>
      <c r="H293" s="3"/>
      <c r="I293" s="3"/>
      <c r="J293" s="3"/>
    </row>
    <row r="294" spans="1:16" ht="18.95" customHeight="1" x14ac:dyDescent="0.35">
      <c r="A294" s="4"/>
      <c r="B294" s="5"/>
      <c r="C294" s="5"/>
      <c r="D294" s="5"/>
      <c r="E294" s="6"/>
      <c r="F294" s="6"/>
      <c r="G294" s="6"/>
      <c r="H294" s="3"/>
      <c r="I294" s="3"/>
      <c r="J294" s="3"/>
    </row>
    <row r="295" spans="1:16" ht="18.95" customHeight="1" x14ac:dyDescent="0.35">
      <c r="A295" s="4"/>
      <c r="B295" s="5"/>
      <c r="C295" s="5"/>
      <c r="D295" s="5"/>
      <c r="E295" s="6"/>
      <c r="F295" s="6"/>
      <c r="G295" s="6"/>
      <c r="H295" s="3"/>
      <c r="I295" s="3"/>
      <c r="J295" s="3"/>
    </row>
    <row r="296" spans="1:16" ht="18.95" customHeight="1" x14ac:dyDescent="0.35">
      <c r="A296" s="4"/>
      <c r="B296" s="5"/>
      <c r="C296" s="5"/>
      <c r="D296" s="5"/>
      <c r="E296" s="6"/>
      <c r="F296" s="6"/>
      <c r="G296" s="6"/>
      <c r="H296" s="3"/>
      <c r="I296" s="3"/>
      <c r="J296" s="3"/>
    </row>
    <row r="297" spans="1:16" ht="18.95" customHeight="1" x14ac:dyDescent="0.35">
      <c r="A297" s="4"/>
      <c r="B297" s="5"/>
      <c r="C297" s="5"/>
      <c r="D297" s="5"/>
      <c r="E297" s="6"/>
      <c r="F297" s="6"/>
      <c r="G297" s="6"/>
      <c r="H297" s="3"/>
      <c r="I297" s="3"/>
      <c r="J297" s="3"/>
    </row>
    <row r="298" spans="1:16" ht="18.95" customHeight="1" x14ac:dyDescent="0.35">
      <c r="A298" s="4"/>
      <c r="B298" s="5"/>
      <c r="C298" s="5"/>
      <c r="D298" s="5"/>
      <c r="E298" s="6"/>
      <c r="F298" s="6"/>
      <c r="G298" s="6"/>
      <c r="H298" s="3"/>
      <c r="I298" s="3"/>
      <c r="J298" s="3"/>
    </row>
    <row r="299" spans="1:16" ht="18.95" customHeight="1" x14ac:dyDescent="0.35">
      <c r="A299" s="4"/>
      <c r="B299" s="5"/>
      <c r="C299" s="5"/>
      <c r="D299" s="5"/>
      <c r="E299" s="6"/>
      <c r="F299" s="6"/>
      <c r="G299" s="6"/>
      <c r="H299" s="3"/>
      <c r="I299" s="3"/>
      <c r="J299" s="3"/>
    </row>
    <row r="300" spans="1:16" ht="18.95" customHeight="1" x14ac:dyDescent="0.35">
      <c r="A300" s="4"/>
      <c r="B300" s="5"/>
      <c r="C300" s="5"/>
      <c r="D300" s="5"/>
      <c r="E300" s="6"/>
      <c r="F300" s="6"/>
      <c r="G300" s="6"/>
      <c r="H300" s="3"/>
      <c r="I300" s="3"/>
      <c r="J300" s="3"/>
    </row>
    <row r="301" spans="1:16" ht="18.95" customHeight="1" x14ac:dyDescent="0.35">
      <c r="A301" s="4"/>
      <c r="B301" s="5"/>
      <c r="C301" s="5"/>
      <c r="D301" s="5"/>
      <c r="E301" s="6"/>
      <c r="F301" s="6"/>
      <c r="G301" s="6"/>
      <c r="H301" s="3"/>
      <c r="I301" s="3"/>
      <c r="J301" s="3"/>
    </row>
    <row r="302" spans="1:16" ht="18.95" customHeight="1" x14ac:dyDescent="0.35">
      <c r="A302" s="4"/>
      <c r="B302" s="5"/>
      <c r="C302" s="5"/>
      <c r="D302" s="5"/>
      <c r="E302" s="6"/>
      <c r="F302" s="6"/>
      <c r="G302" s="6"/>
      <c r="H302" s="3"/>
      <c r="I302" s="3"/>
      <c r="J302" s="3"/>
    </row>
    <row r="303" spans="1:16" ht="18.95" customHeight="1" x14ac:dyDescent="0.35">
      <c r="A303" s="4"/>
      <c r="B303" s="5"/>
      <c r="C303" s="5"/>
      <c r="D303" s="5"/>
      <c r="E303" s="6"/>
      <c r="F303" s="6"/>
      <c r="G303" s="6"/>
      <c r="H303" s="3"/>
      <c r="I303" s="3"/>
      <c r="J303" s="3"/>
    </row>
    <row r="304" spans="1:16" ht="18.95" customHeight="1" x14ac:dyDescent="0.35">
      <c r="A304" s="4"/>
      <c r="B304" s="5"/>
      <c r="C304" s="5"/>
      <c r="D304" s="5"/>
      <c r="E304" s="6"/>
      <c r="F304" s="6"/>
      <c r="G304" s="6"/>
      <c r="H304" s="3"/>
      <c r="I304" s="3"/>
      <c r="J304" s="3"/>
    </row>
    <row r="305" spans="1:22" ht="18.95" customHeight="1" x14ac:dyDescent="0.25">
      <c r="A305" s="7"/>
      <c r="B305" s="8"/>
      <c r="C305" s="8"/>
      <c r="D305" s="8"/>
      <c r="E305" s="8"/>
      <c r="F305" s="8"/>
      <c r="G305" s="8"/>
      <c r="H305" s="8"/>
      <c r="I305" s="8"/>
      <c r="J305" s="8"/>
      <c r="K305" s="8"/>
      <c r="L305" s="8"/>
      <c r="M305" s="8"/>
      <c r="N305" s="8"/>
      <c r="O305" s="8"/>
    </row>
    <row r="306" spans="1:22" s="7" customFormat="1" ht="27" customHeight="1" x14ac:dyDescent="0.25">
      <c r="B306" s="69" t="s">
        <v>6</v>
      </c>
      <c r="C306" s="69"/>
      <c r="D306" s="69" t="s">
        <v>0</v>
      </c>
      <c r="E306" s="69"/>
      <c r="F306" s="69" t="s">
        <v>1</v>
      </c>
      <c r="G306" s="69"/>
      <c r="H306" s="69" t="s">
        <v>2</v>
      </c>
      <c r="I306" s="69"/>
      <c r="J306" s="69" t="s">
        <v>3</v>
      </c>
      <c r="K306" s="69"/>
      <c r="L306" s="69" t="s">
        <v>4</v>
      </c>
      <c r="M306" s="69"/>
      <c r="N306" s="69" t="s">
        <v>5</v>
      </c>
      <c r="O306" s="69"/>
      <c r="P306" s="1"/>
      <c r="Q306" s="9"/>
      <c r="U306" s="1"/>
      <c r="V306" s="1"/>
    </row>
    <row r="307" spans="1:22" s="10" customFormat="1" ht="16.5" customHeight="1" x14ac:dyDescent="0.25">
      <c r="B307" s="33"/>
      <c r="C307" s="34">
        <f ca="1">IF(DAY(DimSep1)=1,DimSep1-6,DimSep1+1)</f>
        <v>43338</v>
      </c>
      <c r="D307" s="35"/>
      <c r="E307" s="34">
        <f ca="1">IF(DAY(DimSep1)=1,DimSep1-5,DimSep1+2)</f>
        <v>43339</v>
      </c>
      <c r="F307" s="35"/>
      <c r="G307" s="34">
        <f ca="1">IF(DAY(DimSep1)=1,DimSep1-4,DimSep1+3)</f>
        <v>43340</v>
      </c>
      <c r="H307" s="35"/>
      <c r="I307" s="34">
        <f ca="1">IF(DAY(DimSep1)=1,DimSep1-3,DimSep1+4)</f>
        <v>43341</v>
      </c>
      <c r="J307" s="35"/>
      <c r="K307" s="34">
        <f ca="1">IF(DAY(DimSep1)=1,DimSep1-2,DimSep1+5)</f>
        <v>43342</v>
      </c>
      <c r="L307" s="35"/>
      <c r="M307" s="34">
        <f ca="1">IF(DAY(DimSep1)=1,DimSep1-1,DimSep1+6)</f>
        <v>43343</v>
      </c>
      <c r="N307" s="35"/>
      <c r="O307" s="34">
        <f ca="1">IF(DAY(DimSep1)=1,DimSep1,DimSep1+7)</f>
        <v>43344</v>
      </c>
      <c r="P307" s="14"/>
      <c r="Q307" s="14"/>
      <c r="U307" s="15"/>
      <c r="V307" s="14"/>
    </row>
    <row r="308" spans="1:22" s="16" customFormat="1" ht="55.5" customHeight="1" x14ac:dyDescent="0.25">
      <c r="A308" s="7"/>
      <c r="B308" s="74"/>
      <c r="C308" s="75"/>
      <c r="D308" s="75"/>
      <c r="E308" s="75"/>
      <c r="F308" s="75"/>
      <c r="G308" s="75"/>
      <c r="H308" s="75"/>
      <c r="I308" s="75"/>
      <c r="J308" s="75"/>
      <c r="K308" s="75"/>
      <c r="L308" s="71"/>
      <c r="M308" s="71"/>
      <c r="N308" s="71"/>
      <c r="O308" s="71"/>
    </row>
    <row r="309" spans="1:22" s="16" customFormat="1" ht="8.25" customHeight="1" x14ac:dyDescent="0.25">
      <c r="A309" s="7"/>
      <c r="B309" s="72"/>
      <c r="C309" s="72"/>
      <c r="D309" s="72"/>
      <c r="E309" s="72"/>
      <c r="F309" s="72"/>
      <c r="G309" s="72"/>
      <c r="H309" s="72"/>
      <c r="I309" s="72"/>
      <c r="J309" s="72"/>
      <c r="K309" s="72"/>
      <c r="L309" s="73"/>
      <c r="M309" s="73"/>
      <c r="N309" s="73"/>
      <c r="O309" s="73"/>
    </row>
    <row r="310" spans="1:22" s="14" customFormat="1" ht="16.5" customHeight="1" x14ac:dyDescent="0.25">
      <c r="A310" s="10"/>
      <c r="B310" s="35"/>
      <c r="C310" s="34">
        <f ca="1">IF(DAY(DimSep1)=1,DimSep1+1,DimSep1+8)</f>
        <v>43345</v>
      </c>
      <c r="D310" s="35"/>
      <c r="E310" s="34">
        <f ca="1">IF(DAY(DimSep1)=1,DimSep1+2,DimSep1+9)</f>
        <v>43346</v>
      </c>
      <c r="F310" s="35"/>
      <c r="G310" s="34">
        <f ca="1">IF(DAY(DimSep1)=1,DimSep1+3,DimSep1+10)</f>
        <v>43347</v>
      </c>
      <c r="H310" s="35"/>
      <c r="I310" s="34">
        <f ca="1">IF(DAY(DimSep1)=1,DimSep1+4,DimSep1+11)</f>
        <v>43348</v>
      </c>
      <c r="J310" s="35"/>
      <c r="K310" s="34">
        <f ca="1">IF(DAY(DimSep1)=1,DimSep1+5,DimSep1+12)</f>
        <v>43349</v>
      </c>
      <c r="L310" s="35"/>
      <c r="M310" s="34">
        <f ca="1">IF(DAY(DimSep1)=1,DimSep1+6,DimSep1+13)</f>
        <v>43350</v>
      </c>
      <c r="N310" s="35"/>
      <c r="O310" s="34">
        <f ca="1">IF(DAY(DimSep1)=1,DimSep1+7,DimSep1+14)</f>
        <v>43351</v>
      </c>
    </row>
    <row r="311" spans="1:22" ht="55.5" customHeight="1" x14ac:dyDescent="0.25">
      <c r="A311" s="7"/>
      <c r="B311" s="74"/>
      <c r="C311" s="75"/>
      <c r="D311" s="75"/>
      <c r="E311" s="75"/>
      <c r="F311" s="75" t="s">
        <v>7</v>
      </c>
      <c r="G311" s="75"/>
      <c r="H311" s="75"/>
      <c r="I311" s="75"/>
      <c r="J311" s="75"/>
      <c r="K311" s="75"/>
      <c r="L311" s="71"/>
      <c r="M311" s="71"/>
      <c r="N311" s="71"/>
      <c r="O311" s="71"/>
    </row>
    <row r="312" spans="1:22" ht="8.25" customHeight="1" x14ac:dyDescent="0.25">
      <c r="A312" s="7"/>
      <c r="B312" s="72"/>
      <c r="C312" s="72"/>
      <c r="D312" s="72"/>
      <c r="E312" s="72"/>
      <c r="F312" s="72"/>
      <c r="G312" s="72"/>
      <c r="H312" s="72"/>
      <c r="I312" s="72"/>
      <c r="J312" s="72"/>
      <c r="K312" s="72"/>
      <c r="L312" s="73"/>
      <c r="M312" s="73"/>
      <c r="N312" s="73"/>
      <c r="O312" s="73"/>
    </row>
    <row r="313" spans="1:22" s="14" customFormat="1" ht="16.5" customHeight="1" x14ac:dyDescent="0.25">
      <c r="A313" s="10"/>
      <c r="B313" s="35"/>
      <c r="C313" s="34">
        <f ca="1">IF(DAY(DimSep1)=1,DimSep1+8,DimSep1+15)</f>
        <v>43352</v>
      </c>
      <c r="D313" s="35"/>
      <c r="E313" s="34">
        <f ca="1">IF(DAY(DimSep1)=1,DimSep1+9,DimSep1+16)</f>
        <v>43353</v>
      </c>
      <c r="F313" s="35"/>
      <c r="G313" s="34">
        <f ca="1">IF(DAY(DimSep1)=1,DimSep1+10,DimSep1+17)</f>
        <v>43354</v>
      </c>
      <c r="H313" s="35"/>
      <c r="I313" s="34">
        <f ca="1">IF(DAY(DimSep1)=1,DimSep1+11,DimSep1+18)</f>
        <v>43355</v>
      </c>
      <c r="J313" s="35"/>
      <c r="K313" s="34">
        <f ca="1">IF(DAY(DimSep1)=1,DimSep1+12,DimSep1+19)</f>
        <v>43356</v>
      </c>
      <c r="L313" s="35"/>
      <c r="M313" s="34">
        <f ca="1">IF(DAY(DimSep1)=1,DimSep1+13,DimSep1+20)</f>
        <v>43357</v>
      </c>
      <c r="N313" s="35"/>
      <c r="O313" s="34">
        <f ca="1">IF(DAY(DimSep1)=1,DimSep1+14,DimSep1+21)</f>
        <v>43358</v>
      </c>
    </row>
    <row r="314" spans="1:22" ht="55.5" customHeight="1" x14ac:dyDescent="0.25">
      <c r="A314" s="7"/>
      <c r="B314" s="74"/>
      <c r="C314" s="75"/>
      <c r="D314" s="75"/>
      <c r="E314" s="75"/>
      <c r="F314" s="75"/>
      <c r="G314" s="75"/>
      <c r="H314" s="75"/>
      <c r="I314" s="75"/>
      <c r="J314" s="74"/>
      <c r="K314" s="75"/>
      <c r="L314" s="71"/>
      <c r="M314" s="71"/>
      <c r="N314" s="71"/>
      <c r="O314" s="71"/>
    </row>
    <row r="315" spans="1:22" ht="8.25" customHeight="1" x14ac:dyDescent="0.25">
      <c r="A315" s="7"/>
      <c r="B315" s="72"/>
      <c r="C315" s="72"/>
      <c r="D315" s="72"/>
      <c r="E315" s="72"/>
      <c r="F315" s="72"/>
      <c r="G315" s="72"/>
      <c r="H315" s="72"/>
      <c r="I315" s="72"/>
      <c r="J315" s="72"/>
      <c r="K315" s="72"/>
      <c r="L315" s="73"/>
      <c r="M315" s="73"/>
      <c r="N315" s="73"/>
      <c r="O315" s="73"/>
    </row>
    <row r="316" spans="1:22" s="14" customFormat="1" ht="16.5" customHeight="1" x14ac:dyDescent="0.25">
      <c r="A316" s="10"/>
      <c r="B316" s="35"/>
      <c r="C316" s="34">
        <f ca="1">IF(DAY(DimSep1)=1,DimSep1+15,DimSep1+22)</f>
        <v>43359</v>
      </c>
      <c r="D316" s="35"/>
      <c r="E316" s="34">
        <f ca="1">IF(DAY(DimSep1)=1,DimSep1+16,DimSep1+23)</f>
        <v>43360</v>
      </c>
      <c r="F316" s="35"/>
      <c r="G316" s="34">
        <f ca="1">IF(DAY(DimSep1)=1,DimSep1+17,DimSep1+24)</f>
        <v>43361</v>
      </c>
      <c r="H316" s="35"/>
      <c r="I316" s="34">
        <f ca="1">IF(DAY(DimSep1)=1,DimSep1+18,DimSep1+25)</f>
        <v>43362</v>
      </c>
      <c r="J316" s="35"/>
      <c r="K316" s="34">
        <f ca="1">IF(DAY(DimSep1)=1,DimSep1+19,DimSep1+26)</f>
        <v>43363</v>
      </c>
      <c r="L316" s="35"/>
      <c r="M316" s="34">
        <f ca="1">IF(DAY(DimSep1)=1,DimSep1+20,DimSep1+27)</f>
        <v>43364</v>
      </c>
      <c r="N316" s="35"/>
      <c r="O316" s="34">
        <f ca="1">IF(DAY(DimSep1)=1,DimSep1+21,DimSep1+28)</f>
        <v>43365</v>
      </c>
    </row>
    <row r="317" spans="1:22" ht="55.5" customHeight="1" x14ac:dyDescent="0.25">
      <c r="A317" s="7"/>
      <c r="B317" s="74"/>
      <c r="C317" s="75"/>
      <c r="D317" s="75"/>
      <c r="E317" s="75"/>
      <c r="F317" s="75"/>
      <c r="G317" s="75"/>
      <c r="H317" s="75"/>
      <c r="I317" s="75"/>
      <c r="J317" s="75"/>
      <c r="K317" s="75"/>
      <c r="L317" s="71"/>
      <c r="M317" s="71"/>
      <c r="N317" s="71"/>
      <c r="O317" s="71"/>
    </row>
    <row r="318" spans="1:22" ht="8.25" customHeight="1" x14ac:dyDescent="0.25">
      <c r="A318" s="7"/>
      <c r="B318" s="72"/>
      <c r="C318" s="72"/>
      <c r="D318" s="72"/>
      <c r="E318" s="72"/>
      <c r="F318" s="72"/>
      <c r="G318" s="72"/>
      <c r="H318" s="72"/>
      <c r="I318" s="72"/>
      <c r="J318" s="72"/>
      <c r="K318" s="72"/>
      <c r="L318" s="73"/>
      <c r="M318" s="73"/>
      <c r="N318" s="73"/>
      <c r="O318" s="73"/>
    </row>
    <row r="319" spans="1:22" s="14" customFormat="1" ht="16.5" customHeight="1" x14ac:dyDescent="0.25">
      <c r="A319" s="10"/>
      <c r="B319" s="35"/>
      <c r="C319" s="34">
        <f ca="1">IF(DAY(DimSep1)=1,DimSep1+22,DimSep1+29)</f>
        <v>43366</v>
      </c>
      <c r="D319" s="35"/>
      <c r="E319" s="34">
        <f ca="1">IF(DAY(DimSep1)=1,DimSep1+23,DimSep1+30)</f>
        <v>43367</v>
      </c>
      <c r="F319" s="35"/>
      <c r="G319" s="34">
        <f ca="1">IF(DAY(DimSep1)=1,DimSep1+24,DimSep1+31)</f>
        <v>43368</v>
      </c>
      <c r="H319" s="35"/>
      <c r="I319" s="34">
        <f ca="1">IF(DAY(DimSep1)=1,DimSep1+25,DimSep1+32)</f>
        <v>43369</v>
      </c>
      <c r="J319" s="35"/>
      <c r="K319" s="34">
        <f ca="1">IF(DAY(DimSep1)=1,DimSep1+26,DimSep1+33)</f>
        <v>43370</v>
      </c>
      <c r="L319" s="35"/>
      <c r="M319" s="34">
        <f ca="1">IF(DAY(DimSep1)=1,DimSep1+27,DimSep1+34)</f>
        <v>43371</v>
      </c>
      <c r="N319" s="35"/>
      <c r="O319" s="34">
        <f ca="1">IF(DAY(DimSep1)=1,DimSep1+28,DimSep1+35)</f>
        <v>43372</v>
      </c>
    </row>
    <row r="320" spans="1:22" ht="55.5" customHeight="1" x14ac:dyDescent="0.25">
      <c r="A320" s="7"/>
      <c r="B320" s="74"/>
      <c r="C320" s="75"/>
      <c r="D320" s="75"/>
      <c r="E320" s="75"/>
      <c r="F320" s="75"/>
      <c r="G320" s="75"/>
      <c r="H320" s="75"/>
      <c r="I320" s="75"/>
      <c r="J320" s="75"/>
      <c r="K320" s="75"/>
      <c r="L320" s="71"/>
      <c r="M320" s="71"/>
      <c r="N320" s="71"/>
      <c r="O320" s="71"/>
    </row>
    <row r="321" spans="1:16" ht="8.25" customHeight="1" x14ac:dyDescent="0.25">
      <c r="A321" s="7"/>
      <c r="B321" s="72"/>
      <c r="C321" s="72"/>
      <c r="D321" s="72"/>
      <c r="E321" s="72"/>
      <c r="F321" s="72"/>
      <c r="G321" s="72"/>
      <c r="H321" s="72"/>
      <c r="I321" s="72"/>
      <c r="J321" s="72"/>
      <c r="K321" s="72"/>
      <c r="L321" s="73"/>
      <c r="M321" s="73"/>
      <c r="N321" s="73"/>
      <c r="O321" s="73"/>
    </row>
    <row r="322" spans="1:16" s="14" customFormat="1" ht="16.5" customHeight="1" x14ac:dyDescent="0.25">
      <c r="A322" s="10"/>
      <c r="B322" s="35"/>
      <c r="C322" s="34">
        <f ca="1">IF(DAY(DimSep1)=1,DimSep1+29,DimSep1+36)</f>
        <v>43373</v>
      </c>
      <c r="D322" s="35"/>
      <c r="E322" s="34">
        <f ca="1">IF(DAY(DimSep1)=1,DimSep1+30,DimSep1+37)</f>
        <v>43374</v>
      </c>
      <c r="F322" s="35"/>
      <c r="G322" s="34">
        <f ca="1">IF(DAY(DimSep1)=1,DimSep1+31,DimSep1+38)</f>
        <v>43375</v>
      </c>
      <c r="H322" s="35"/>
      <c r="I322" s="34">
        <f ca="1">IF(DAY(DimSep1)=1,DimSep1+32,DimSep1+39)</f>
        <v>43376</v>
      </c>
      <c r="J322" s="35"/>
      <c r="K322" s="34">
        <f ca="1">IF(DAY(DimSep1)=1,DimSep1+33,DimSep1+40)</f>
        <v>43377</v>
      </c>
      <c r="L322" s="35"/>
      <c r="M322" s="34">
        <f ca="1">IF(DAY(DimSep1)=1,DimSep1+34,DimSep1+41)</f>
        <v>43378</v>
      </c>
      <c r="N322" s="35"/>
      <c r="O322" s="34">
        <f ca="1">IF(DAY(DimSep1)=1,DimSep1+35,DimSep1+42)</f>
        <v>43379</v>
      </c>
    </row>
    <row r="323" spans="1:16" ht="55.5" customHeight="1" x14ac:dyDescent="0.25">
      <c r="A323" s="7"/>
      <c r="B323" s="74"/>
      <c r="C323" s="75"/>
      <c r="D323" s="75"/>
      <c r="E323" s="75"/>
      <c r="F323" s="76"/>
      <c r="G323" s="76"/>
      <c r="H323" s="76"/>
      <c r="I323" s="76"/>
      <c r="J323" s="76"/>
      <c r="K323" s="76"/>
      <c r="L323" s="76"/>
      <c r="M323" s="76"/>
      <c r="N323" s="76"/>
      <c r="O323" s="76"/>
    </row>
    <row r="324" spans="1:16" ht="7.5" customHeight="1" x14ac:dyDescent="0.2">
      <c r="B324" s="29"/>
      <c r="C324" s="29"/>
      <c r="D324" s="29"/>
      <c r="E324" s="29"/>
      <c r="F324" s="29"/>
      <c r="G324" s="29"/>
      <c r="H324" s="29"/>
      <c r="I324" s="29"/>
      <c r="J324" s="29"/>
      <c r="K324" s="29"/>
      <c r="L324" s="29"/>
      <c r="M324" s="29"/>
      <c r="N324" s="29"/>
      <c r="O324" s="29"/>
    </row>
    <row r="326" spans="1:16" ht="54" customHeight="1" x14ac:dyDescent="0.2">
      <c r="A326" s="70" t="str">
        <f ca="1">TEXT(DATE(AnnéeCalendrier,10,1),"mmmm")</f>
        <v>October</v>
      </c>
      <c r="B326" s="70"/>
      <c r="C326" s="70"/>
      <c r="D326" s="70"/>
      <c r="E326" s="70"/>
      <c r="F326" s="70"/>
      <c r="G326" s="70"/>
      <c r="H326" s="2"/>
      <c r="I326" s="3"/>
      <c r="J326" s="3"/>
      <c r="L326" s="68">
        <f ca="1">AnnéeCalendrier</f>
        <v>2018</v>
      </c>
      <c r="M326" s="68"/>
      <c r="N326" s="68"/>
      <c r="O326" s="68"/>
      <c r="P326" s="68"/>
    </row>
    <row r="327" spans="1:16" ht="18.95" customHeight="1" x14ac:dyDescent="0.35">
      <c r="A327" s="4"/>
      <c r="B327" s="5"/>
      <c r="C327" s="5"/>
      <c r="D327" s="5"/>
      <c r="E327" s="6"/>
      <c r="F327" s="6"/>
      <c r="G327" s="6"/>
      <c r="H327" s="3"/>
      <c r="I327" s="3"/>
      <c r="J327" s="3"/>
    </row>
    <row r="328" spans="1:16" ht="18.95" customHeight="1" x14ac:dyDescent="0.35">
      <c r="A328" s="4"/>
      <c r="B328" s="5"/>
      <c r="C328" s="5"/>
      <c r="D328" s="5"/>
      <c r="E328" s="6"/>
      <c r="F328" s="6"/>
      <c r="G328" s="6"/>
      <c r="H328" s="3"/>
      <c r="I328" s="3"/>
      <c r="J328" s="3"/>
    </row>
    <row r="329" spans="1:16" ht="18.95" customHeight="1" x14ac:dyDescent="0.35">
      <c r="A329" s="4"/>
      <c r="B329" s="5"/>
      <c r="C329" s="5"/>
      <c r="D329" s="5"/>
      <c r="E329" s="6"/>
      <c r="F329" s="6"/>
      <c r="G329" s="6"/>
      <c r="H329" s="3"/>
      <c r="I329" s="3"/>
      <c r="J329" s="3"/>
    </row>
    <row r="330" spans="1:16" ht="18.95" customHeight="1" x14ac:dyDescent="0.35">
      <c r="A330" s="4"/>
      <c r="B330" s="5"/>
      <c r="C330" s="5"/>
      <c r="D330" s="5"/>
      <c r="E330" s="6"/>
      <c r="F330" s="6"/>
      <c r="G330" s="6"/>
      <c r="H330" s="3"/>
      <c r="I330" s="3"/>
      <c r="J330" s="3"/>
    </row>
    <row r="331" spans="1:16" ht="18.95" customHeight="1" x14ac:dyDescent="0.35">
      <c r="A331" s="4"/>
      <c r="B331" s="5"/>
      <c r="C331" s="5"/>
      <c r="D331" s="5"/>
      <c r="E331" s="6"/>
      <c r="F331" s="6"/>
      <c r="G331" s="6"/>
      <c r="H331" s="3"/>
      <c r="I331" s="3"/>
      <c r="J331" s="3"/>
    </row>
    <row r="332" spans="1:16" ht="18.95" customHeight="1" x14ac:dyDescent="0.35">
      <c r="A332" s="4"/>
      <c r="B332" s="5"/>
      <c r="C332" s="5"/>
      <c r="D332" s="5"/>
      <c r="E332" s="6"/>
      <c r="F332" s="6"/>
      <c r="G332" s="6"/>
      <c r="H332" s="3"/>
      <c r="I332" s="3"/>
      <c r="J332" s="3"/>
    </row>
    <row r="333" spans="1:16" ht="18.95" customHeight="1" x14ac:dyDescent="0.35">
      <c r="A333" s="4"/>
      <c r="B333" s="5"/>
      <c r="C333" s="5"/>
      <c r="D333" s="5"/>
      <c r="E333" s="6"/>
      <c r="F333" s="6"/>
      <c r="G333" s="6"/>
      <c r="H333" s="3"/>
      <c r="I333" s="3"/>
      <c r="J333" s="3"/>
    </row>
    <row r="334" spans="1:16" ht="18.95" customHeight="1" x14ac:dyDescent="0.35">
      <c r="A334" s="4"/>
      <c r="B334" s="5"/>
      <c r="C334" s="5"/>
      <c r="D334" s="5"/>
      <c r="E334" s="6"/>
      <c r="F334" s="6"/>
      <c r="G334" s="6"/>
      <c r="H334" s="3"/>
      <c r="I334" s="3"/>
      <c r="J334" s="3"/>
    </row>
    <row r="335" spans="1:16" ht="18.95" customHeight="1" x14ac:dyDescent="0.35">
      <c r="A335" s="4"/>
      <c r="B335" s="5"/>
      <c r="C335" s="5"/>
      <c r="D335" s="5"/>
      <c r="E335" s="6"/>
      <c r="F335" s="6"/>
      <c r="G335" s="6"/>
      <c r="H335" s="3"/>
      <c r="I335" s="3"/>
      <c r="J335" s="3"/>
    </row>
    <row r="336" spans="1:16" ht="18.95" customHeight="1" x14ac:dyDescent="0.35">
      <c r="A336" s="4"/>
      <c r="B336" s="5"/>
      <c r="C336" s="5"/>
      <c r="D336" s="5"/>
      <c r="E336" s="6"/>
      <c r="F336" s="6"/>
      <c r="G336" s="6"/>
      <c r="H336" s="3"/>
      <c r="I336" s="3"/>
      <c r="J336" s="3"/>
    </row>
    <row r="337" spans="1:22" ht="18.95" customHeight="1" x14ac:dyDescent="0.35">
      <c r="A337" s="4"/>
      <c r="B337" s="5"/>
      <c r="C337" s="5"/>
      <c r="D337" s="5"/>
      <c r="E337" s="6"/>
      <c r="F337" s="6"/>
      <c r="G337" s="6"/>
      <c r="H337" s="3"/>
      <c r="I337" s="3"/>
      <c r="J337" s="3"/>
    </row>
    <row r="338" spans="1:22" ht="18.95" customHeight="1" x14ac:dyDescent="0.35">
      <c r="A338" s="4"/>
      <c r="B338" s="5"/>
      <c r="C338" s="5"/>
      <c r="D338" s="5"/>
      <c r="E338" s="6"/>
      <c r="F338" s="6"/>
      <c r="G338" s="6"/>
      <c r="H338" s="3"/>
      <c r="I338" s="3"/>
      <c r="J338" s="3"/>
    </row>
    <row r="339" spans="1:22" ht="18.95" customHeight="1" x14ac:dyDescent="0.35">
      <c r="A339" s="4"/>
      <c r="B339" s="5"/>
      <c r="C339" s="5"/>
      <c r="D339" s="5"/>
      <c r="E339" s="6"/>
      <c r="F339" s="6"/>
      <c r="G339" s="6"/>
      <c r="H339" s="3"/>
      <c r="I339" s="3"/>
      <c r="J339" s="3"/>
    </row>
    <row r="340" spans="1:22" ht="18.95" customHeight="1" x14ac:dyDescent="0.35">
      <c r="A340" s="4"/>
      <c r="B340" s="5"/>
      <c r="C340" s="5"/>
      <c r="D340" s="5"/>
      <c r="E340" s="6"/>
      <c r="F340" s="6"/>
      <c r="G340" s="6"/>
      <c r="H340" s="3"/>
      <c r="I340" s="3"/>
      <c r="J340" s="3"/>
    </row>
    <row r="341" spans="1:22" ht="18.95" customHeight="1" x14ac:dyDescent="0.25">
      <c r="A341" s="7"/>
      <c r="B341" s="8"/>
      <c r="C341" s="8"/>
      <c r="D341" s="8"/>
      <c r="E341" s="8"/>
      <c r="F341" s="8"/>
      <c r="G341" s="8"/>
      <c r="H341" s="8"/>
      <c r="I341" s="8"/>
      <c r="J341" s="8"/>
      <c r="K341" s="8"/>
      <c r="L341" s="8"/>
      <c r="M341" s="8"/>
      <c r="N341" s="8"/>
      <c r="O341" s="8"/>
    </row>
    <row r="342" spans="1:22" s="7" customFormat="1" ht="27" customHeight="1" x14ac:dyDescent="0.25">
      <c r="B342" s="69" t="s">
        <v>6</v>
      </c>
      <c r="C342" s="69"/>
      <c r="D342" s="69" t="s">
        <v>0</v>
      </c>
      <c r="E342" s="69"/>
      <c r="F342" s="69" t="s">
        <v>1</v>
      </c>
      <c r="G342" s="69"/>
      <c r="H342" s="69" t="s">
        <v>2</v>
      </c>
      <c r="I342" s="69"/>
      <c r="J342" s="69" t="s">
        <v>3</v>
      </c>
      <c r="K342" s="69"/>
      <c r="L342" s="69" t="s">
        <v>4</v>
      </c>
      <c r="M342" s="69"/>
      <c r="N342" s="69" t="s">
        <v>5</v>
      </c>
      <c r="O342" s="69"/>
      <c r="P342" s="1"/>
      <c r="Q342" s="9"/>
      <c r="U342" s="1"/>
      <c r="V342" s="1"/>
    </row>
    <row r="343" spans="1:22" s="10" customFormat="1" ht="16.5" customHeight="1" x14ac:dyDescent="0.25">
      <c r="B343" s="33"/>
      <c r="C343" s="34">
        <f ca="1">IF(DAY(DimOct1)=1,DimOct1-6,DimOct1+1)</f>
        <v>43373</v>
      </c>
      <c r="D343" s="35"/>
      <c r="E343" s="34">
        <f ca="1">IF(DAY(DimOct1)=1,DimOct1-5,DimOct1+2)</f>
        <v>43374</v>
      </c>
      <c r="F343" s="35"/>
      <c r="G343" s="34">
        <f ca="1">IF(DAY(DimOct1)=1,DimOct1-4,DimOct1+3)</f>
        <v>43375</v>
      </c>
      <c r="H343" s="35"/>
      <c r="I343" s="34">
        <f ca="1">IF(DAY(DimOct1)=1,DimOct1-3,DimOct1+4)</f>
        <v>43376</v>
      </c>
      <c r="J343" s="35"/>
      <c r="K343" s="34">
        <f ca="1">IF(DAY(DimOct1)=1,DimOct1-2,DimOct1+5)</f>
        <v>43377</v>
      </c>
      <c r="L343" s="35"/>
      <c r="M343" s="34">
        <f ca="1">IF(DAY(DimOct1)=1,DimOct1-1,DimOct1+6)</f>
        <v>43378</v>
      </c>
      <c r="N343" s="35"/>
      <c r="O343" s="34">
        <f ca="1">IF(DAY(DimOct1)=1,DimOct1,DimOct1+7)</f>
        <v>43379</v>
      </c>
      <c r="P343" s="14"/>
      <c r="Q343" s="14"/>
      <c r="U343" s="15"/>
      <c r="V343" s="14"/>
    </row>
    <row r="344" spans="1:22" s="16" customFormat="1" ht="55.5" customHeight="1" x14ac:dyDescent="0.25">
      <c r="A344" s="7"/>
      <c r="B344" s="74"/>
      <c r="C344" s="75"/>
      <c r="D344" s="75"/>
      <c r="E344" s="75"/>
      <c r="F344" s="75"/>
      <c r="G344" s="75"/>
      <c r="H344" s="75"/>
      <c r="I344" s="75"/>
      <c r="J344" s="75"/>
      <c r="K344" s="75"/>
      <c r="L344" s="71"/>
      <c r="M344" s="71"/>
      <c r="N344" s="71"/>
      <c r="O344" s="71"/>
    </row>
    <row r="345" spans="1:22" s="16" customFormat="1" ht="8.25" customHeight="1" x14ac:dyDescent="0.25">
      <c r="A345" s="7"/>
      <c r="B345" s="72"/>
      <c r="C345" s="72"/>
      <c r="D345" s="72"/>
      <c r="E345" s="72"/>
      <c r="F345" s="72"/>
      <c r="G345" s="72"/>
      <c r="H345" s="72"/>
      <c r="I345" s="72"/>
      <c r="J345" s="72"/>
      <c r="K345" s="72"/>
      <c r="L345" s="73"/>
      <c r="M345" s="73"/>
      <c r="N345" s="73"/>
      <c r="O345" s="73"/>
    </row>
    <row r="346" spans="1:22" s="14" customFormat="1" ht="16.5" customHeight="1" x14ac:dyDescent="0.25">
      <c r="A346" s="10"/>
      <c r="B346" s="35"/>
      <c r="C346" s="34">
        <f ca="1">IF(DAY(DimOct1)=1,DimOct1+1,DimOct1+8)</f>
        <v>43380</v>
      </c>
      <c r="D346" s="35"/>
      <c r="E346" s="34">
        <f ca="1">IF(DAY(DimOct1)=1,DimOct1+2,DimOct1+9)</f>
        <v>43381</v>
      </c>
      <c r="F346" s="35"/>
      <c r="G346" s="34">
        <f ca="1">IF(DAY(DimOct1)=1,DimOct1+3,DimOct1+10)</f>
        <v>43382</v>
      </c>
      <c r="H346" s="35"/>
      <c r="I346" s="34">
        <f ca="1">IF(DAY(DimOct1)=1,DimOct1+4,DimOct1+11)</f>
        <v>43383</v>
      </c>
      <c r="J346" s="35"/>
      <c r="K346" s="34">
        <f ca="1">IF(DAY(DimOct1)=1,DimOct1+5,DimOct1+12)</f>
        <v>43384</v>
      </c>
      <c r="L346" s="35"/>
      <c r="M346" s="34">
        <f ca="1">IF(DAY(DimOct1)=1,DimOct1+6,DimOct1+13)</f>
        <v>43385</v>
      </c>
      <c r="N346" s="35"/>
      <c r="O346" s="34">
        <f ca="1">IF(DAY(DimOct1)=1,DimOct1+7,DimOct1+14)</f>
        <v>43386</v>
      </c>
    </row>
    <row r="347" spans="1:22" ht="55.5" customHeight="1" x14ac:dyDescent="0.25">
      <c r="A347" s="7"/>
      <c r="B347" s="74"/>
      <c r="C347" s="75"/>
      <c r="D347" s="75"/>
      <c r="E347" s="75"/>
      <c r="F347" s="75" t="s">
        <v>7</v>
      </c>
      <c r="G347" s="75"/>
      <c r="H347" s="75"/>
      <c r="I347" s="75"/>
      <c r="J347" s="75"/>
      <c r="K347" s="75"/>
      <c r="L347" s="71"/>
      <c r="M347" s="71"/>
      <c r="N347" s="71"/>
      <c r="O347" s="71"/>
    </row>
    <row r="348" spans="1:22" ht="8.25" customHeight="1" x14ac:dyDescent="0.25">
      <c r="A348" s="7"/>
      <c r="B348" s="72"/>
      <c r="C348" s="72"/>
      <c r="D348" s="72"/>
      <c r="E348" s="72"/>
      <c r="F348" s="72"/>
      <c r="G348" s="72"/>
      <c r="H348" s="72"/>
      <c r="I348" s="72"/>
      <c r="J348" s="72"/>
      <c r="K348" s="72"/>
      <c r="L348" s="73"/>
      <c r="M348" s="73"/>
      <c r="N348" s="73"/>
      <c r="O348" s="73"/>
    </row>
    <row r="349" spans="1:22" s="14" customFormat="1" ht="16.5" customHeight="1" x14ac:dyDescent="0.25">
      <c r="A349" s="10"/>
      <c r="B349" s="35"/>
      <c r="C349" s="34">
        <f ca="1">IF(DAY(DimOct1)=1,DimOct1+8,DimOct1+15)</f>
        <v>43387</v>
      </c>
      <c r="D349" s="35"/>
      <c r="E349" s="34">
        <f ca="1">IF(DAY(DimOct1)=1,DimOct1+9,DimOct1+16)</f>
        <v>43388</v>
      </c>
      <c r="F349" s="35"/>
      <c r="G349" s="34">
        <f ca="1">IF(DAY(DimOct1)=1,DimOct1+10,DimOct1+17)</f>
        <v>43389</v>
      </c>
      <c r="H349" s="35"/>
      <c r="I349" s="34">
        <f ca="1">IF(DAY(DimOct1)=1,DimOct1+11,DimOct1+18)</f>
        <v>43390</v>
      </c>
      <c r="J349" s="35"/>
      <c r="K349" s="34">
        <f ca="1">IF(DAY(DimOct1)=1,DimOct1+12,DimOct1+19)</f>
        <v>43391</v>
      </c>
      <c r="L349" s="35"/>
      <c r="M349" s="34">
        <f ca="1">IF(DAY(DimOct1)=1,DimOct1+13,DimOct1+20)</f>
        <v>43392</v>
      </c>
      <c r="N349" s="35"/>
      <c r="O349" s="34">
        <f ca="1">IF(DAY(DimOct1)=1,DimOct1+14,DimOct1+21)</f>
        <v>43393</v>
      </c>
    </row>
    <row r="350" spans="1:22" ht="55.5" customHeight="1" x14ac:dyDescent="0.25">
      <c r="A350" s="7"/>
      <c r="B350" s="74"/>
      <c r="C350" s="75"/>
      <c r="D350" s="75"/>
      <c r="E350" s="75"/>
      <c r="F350" s="75"/>
      <c r="G350" s="75"/>
      <c r="H350" s="75"/>
      <c r="I350" s="75"/>
      <c r="J350" s="74"/>
      <c r="K350" s="75"/>
      <c r="L350" s="71"/>
      <c r="M350" s="71"/>
      <c r="N350" s="71"/>
      <c r="O350" s="71"/>
    </row>
    <row r="351" spans="1:22" ht="8.25" customHeight="1" x14ac:dyDescent="0.25">
      <c r="A351" s="7"/>
      <c r="B351" s="72"/>
      <c r="C351" s="72"/>
      <c r="D351" s="72"/>
      <c r="E351" s="72"/>
      <c r="F351" s="72"/>
      <c r="G351" s="72"/>
      <c r="H351" s="72"/>
      <c r="I351" s="72"/>
      <c r="J351" s="72"/>
      <c r="K351" s="72"/>
      <c r="L351" s="73"/>
      <c r="M351" s="73"/>
      <c r="N351" s="73"/>
      <c r="O351" s="73"/>
    </row>
    <row r="352" spans="1:22" s="14" customFormat="1" ht="16.5" customHeight="1" x14ac:dyDescent="0.25">
      <c r="A352" s="10"/>
      <c r="B352" s="35"/>
      <c r="C352" s="34">
        <f ca="1">IF(DAY(DimOct1)=1,DimOct1+15,DimOct1+22)</f>
        <v>43394</v>
      </c>
      <c r="D352" s="35"/>
      <c r="E352" s="34">
        <f ca="1">IF(DAY(DimOct1)=1,DimOct1+16,DimOct1+23)</f>
        <v>43395</v>
      </c>
      <c r="F352" s="35"/>
      <c r="G352" s="34">
        <f ca="1">IF(DAY(DimOct1)=1,DimOct1+17,DimOct1+24)</f>
        <v>43396</v>
      </c>
      <c r="H352" s="35"/>
      <c r="I352" s="34">
        <f ca="1">IF(DAY(DimOct1)=1,DimOct1+18,DimOct1+25)</f>
        <v>43397</v>
      </c>
      <c r="J352" s="35"/>
      <c r="K352" s="34">
        <f ca="1">IF(DAY(DimOct1)=1,DimOct1+19,DimOct1+26)</f>
        <v>43398</v>
      </c>
      <c r="L352" s="35"/>
      <c r="M352" s="34">
        <f ca="1">IF(DAY(DimOct1)=1,DimOct1+20,DimOct1+27)</f>
        <v>43399</v>
      </c>
      <c r="N352" s="35"/>
      <c r="O352" s="34">
        <f ca="1">IF(DAY(DimOct1)=1,DimOct1+21,DimOct1+28)</f>
        <v>43400</v>
      </c>
    </row>
    <row r="353" spans="1:16" ht="55.5" customHeight="1" x14ac:dyDescent="0.25">
      <c r="A353" s="7"/>
      <c r="B353" s="74"/>
      <c r="C353" s="75"/>
      <c r="D353" s="75"/>
      <c r="E353" s="75"/>
      <c r="F353" s="75"/>
      <c r="G353" s="75"/>
      <c r="H353" s="75"/>
      <c r="I353" s="75"/>
      <c r="J353" s="75"/>
      <c r="K353" s="75"/>
      <c r="L353" s="71"/>
      <c r="M353" s="71"/>
      <c r="N353" s="71"/>
      <c r="O353" s="71"/>
    </row>
    <row r="354" spans="1:16" ht="8.25" customHeight="1" x14ac:dyDescent="0.25">
      <c r="A354" s="7"/>
      <c r="B354" s="72"/>
      <c r="C354" s="72"/>
      <c r="D354" s="72"/>
      <c r="E354" s="72"/>
      <c r="F354" s="72"/>
      <c r="G354" s="72"/>
      <c r="H354" s="72"/>
      <c r="I354" s="72"/>
      <c r="J354" s="72"/>
      <c r="K354" s="72"/>
      <c r="L354" s="73"/>
      <c r="M354" s="73"/>
      <c r="N354" s="73"/>
      <c r="O354" s="73"/>
    </row>
    <row r="355" spans="1:16" s="14" customFormat="1" ht="16.5" customHeight="1" x14ac:dyDescent="0.25">
      <c r="A355" s="10"/>
      <c r="B355" s="35"/>
      <c r="C355" s="34">
        <f ca="1">IF(DAY(DimOct1)=1,DimOct1+22,DimOct1+29)</f>
        <v>43401</v>
      </c>
      <c r="D355" s="35"/>
      <c r="E355" s="34">
        <f ca="1">IF(DAY(DimOct1)=1,DimOct1+23,DimOct1+30)</f>
        <v>43402</v>
      </c>
      <c r="F355" s="35"/>
      <c r="G355" s="34">
        <f ca="1">IF(DAY(DimOct1)=1,DimOct1+24,DimOct1+31)</f>
        <v>43403</v>
      </c>
      <c r="H355" s="35"/>
      <c r="I355" s="34">
        <f ca="1">IF(DAY(DimOct1)=1,DimOct1+25,DimOct1+32)</f>
        <v>43404</v>
      </c>
      <c r="J355" s="35"/>
      <c r="K355" s="34">
        <f ca="1">IF(DAY(DimOct1)=1,DimOct1+26,DimOct1+33)</f>
        <v>43405</v>
      </c>
      <c r="L355" s="35"/>
      <c r="M355" s="34">
        <f ca="1">IF(DAY(DimOct1)=1,DimOct1+27,DimOct1+34)</f>
        <v>43406</v>
      </c>
      <c r="N355" s="35"/>
      <c r="O355" s="34">
        <f ca="1">IF(DAY(DimOct1)=1,DimOct1+28,DimOct1+35)</f>
        <v>43407</v>
      </c>
    </row>
    <row r="356" spans="1:16" ht="55.5" customHeight="1" x14ac:dyDescent="0.25">
      <c r="A356" s="7"/>
      <c r="B356" s="74"/>
      <c r="C356" s="75"/>
      <c r="D356" s="75"/>
      <c r="E356" s="75"/>
      <c r="F356" s="75"/>
      <c r="G356" s="75"/>
      <c r="H356" s="75"/>
      <c r="I356" s="75"/>
      <c r="J356" s="75"/>
      <c r="K356" s="75"/>
      <c r="L356" s="71"/>
      <c r="M356" s="71"/>
      <c r="N356" s="71"/>
      <c r="O356" s="71"/>
    </row>
    <row r="357" spans="1:16" ht="8.25" customHeight="1" x14ac:dyDescent="0.25">
      <c r="A357" s="7"/>
      <c r="B357" s="72"/>
      <c r="C357" s="72"/>
      <c r="D357" s="72"/>
      <c r="E357" s="72"/>
      <c r="F357" s="72"/>
      <c r="G357" s="72"/>
      <c r="H357" s="72"/>
      <c r="I357" s="72"/>
      <c r="J357" s="72"/>
      <c r="K357" s="72"/>
      <c r="L357" s="73"/>
      <c r="M357" s="73"/>
      <c r="N357" s="73"/>
      <c r="O357" s="73"/>
    </row>
    <row r="358" spans="1:16" s="14" customFormat="1" ht="16.5" customHeight="1" x14ac:dyDescent="0.25">
      <c r="A358" s="10"/>
      <c r="B358" s="35"/>
      <c r="C358" s="34">
        <f ca="1">IF(DAY(DimOct1)=1,DimOct1+29,DimOct1+36)</f>
        <v>43408</v>
      </c>
      <c r="D358" s="35"/>
      <c r="E358" s="34">
        <f ca="1">IF(DAY(DimOct1)=1,DimOct1+30,DimOct1+37)</f>
        <v>43409</v>
      </c>
      <c r="F358" s="35"/>
      <c r="G358" s="34">
        <f ca="1">IF(DAY(DimOct1)=1,DimOct1+31,DimOct1+38)</f>
        <v>43410</v>
      </c>
      <c r="H358" s="35"/>
      <c r="I358" s="34">
        <f ca="1">IF(DAY(DimOct1)=1,DimOct1+32,DimOct1+39)</f>
        <v>43411</v>
      </c>
      <c r="J358" s="35"/>
      <c r="K358" s="34">
        <f ca="1">IF(DAY(DimOct1)=1,DimOct1+33,DimOct1+40)</f>
        <v>43412</v>
      </c>
      <c r="L358" s="35"/>
      <c r="M358" s="34">
        <f ca="1">IF(DAY(DimOct1)=1,DimOct1+34,DimOct1+41)</f>
        <v>43413</v>
      </c>
      <c r="N358" s="35"/>
      <c r="O358" s="34">
        <f ca="1">IF(DAY(DimOct1)=1,DimOct1+35,DimOct1+42)</f>
        <v>43414</v>
      </c>
    </row>
    <row r="359" spans="1:16" ht="55.5" customHeight="1" x14ac:dyDescent="0.25">
      <c r="A359" s="7"/>
      <c r="B359" s="74"/>
      <c r="C359" s="75"/>
      <c r="D359" s="75"/>
      <c r="E359" s="75"/>
      <c r="F359" s="76"/>
      <c r="G359" s="76"/>
      <c r="H359" s="76"/>
      <c r="I359" s="76"/>
      <c r="J359" s="76"/>
      <c r="K359" s="76"/>
      <c r="L359" s="76"/>
      <c r="M359" s="76"/>
      <c r="N359" s="76"/>
      <c r="O359" s="76"/>
    </row>
    <row r="360" spans="1:16" ht="7.5" customHeight="1" x14ac:dyDescent="0.2">
      <c r="B360" s="36"/>
      <c r="C360" s="36"/>
      <c r="D360" s="36"/>
      <c r="E360" s="36"/>
      <c r="F360" s="36"/>
      <c r="G360" s="36"/>
      <c r="H360" s="36"/>
      <c r="I360" s="36"/>
      <c r="J360" s="36"/>
      <c r="K360" s="36"/>
      <c r="L360" s="36"/>
      <c r="M360" s="36"/>
      <c r="N360" s="36"/>
      <c r="O360" s="36"/>
    </row>
    <row r="361" spans="1:16" x14ac:dyDescent="0.2">
      <c r="B361" s="37"/>
      <c r="C361" s="37"/>
      <c r="D361" s="37"/>
      <c r="E361" s="37"/>
      <c r="F361" s="37"/>
      <c r="G361" s="37"/>
      <c r="H361" s="37"/>
      <c r="I361" s="37"/>
      <c r="J361" s="37"/>
      <c r="K361" s="37"/>
      <c r="L361" s="37"/>
      <c r="M361" s="37"/>
      <c r="N361" s="37"/>
      <c r="O361" s="37"/>
    </row>
    <row r="362" spans="1:16" ht="54" customHeight="1" x14ac:dyDescent="0.2">
      <c r="A362" s="70" t="str">
        <f ca="1">TEXT(DATE(AnnéeCalendrier,11,1),"mmmm")</f>
        <v>November</v>
      </c>
      <c r="B362" s="70"/>
      <c r="C362" s="70"/>
      <c r="D362" s="70"/>
      <c r="E362" s="70"/>
      <c r="F362" s="70"/>
      <c r="G362" s="70"/>
      <c r="H362" s="2"/>
      <c r="I362" s="3"/>
      <c r="J362" s="3"/>
      <c r="L362" s="68">
        <f ca="1">AnnéeCalendrier</f>
        <v>2018</v>
      </c>
      <c r="M362" s="68"/>
      <c r="N362" s="68"/>
      <c r="O362" s="68"/>
      <c r="P362" s="68"/>
    </row>
    <row r="363" spans="1:16" ht="18.95" customHeight="1" x14ac:dyDescent="0.35">
      <c r="A363" s="4"/>
      <c r="B363" s="5"/>
      <c r="C363" s="5"/>
      <c r="D363" s="5"/>
      <c r="E363" s="6"/>
      <c r="F363" s="6"/>
      <c r="G363" s="6"/>
      <c r="H363" s="3"/>
      <c r="I363" s="3"/>
      <c r="J363" s="3"/>
    </row>
    <row r="364" spans="1:16" ht="18.95" customHeight="1" x14ac:dyDescent="0.35">
      <c r="A364" s="4"/>
      <c r="B364" s="5"/>
      <c r="C364" s="5"/>
      <c r="D364" s="5"/>
      <c r="E364" s="6"/>
      <c r="F364" s="6"/>
      <c r="G364" s="6"/>
      <c r="H364" s="3"/>
      <c r="I364" s="3"/>
      <c r="J364" s="3"/>
    </row>
    <row r="365" spans="1:16" ht="18.95" customHeight="1" x14ac:dyDescent="0.35">
      <c r="A365" s="4"/>
      <c r="B365" s="5"/>
      <c r="C365" s="5"/>
      <c r="D365" s="5"/>
      <c r="E365" s="6"/>
      <c r="F365" s="6"/>
      <c r="G365" s="6"/>
      <c r="H365" s="3"/>
      <c r="I365" s="3"/>
      <c r="J365" s="3"/>
    </row>
    <row r="366" spans="1:16" ht="18.95" customHeight="1" x14ac:dyDescent="0.35">
      <c r="A366" s="4"/>
      <c r="B366" s="5"/>
      <c r="C366" s="5"/>
      <c r="D366" s="5"/>
      <c r="E366" s="6"/>
      <c r="F366" s="6"/>
      <c r="G366" s="6"/>
      <c r="H366" s="3"/>
      <c r="I366" s="3"/>
      <c r="J366" s="3"/>
    </row>
    <row r="367" spans="1:16" ht="18.95" customHeight="1" x14ac:dyDescent="0.35">
      <c r="A367" s="4"/>
      <c r="B367" s="5"/>
      <c r="C367" s="5"/>
      <c r="D367" s="5"/>
      <c r="E367" s="6"/>
      <c r="F367" s="6"/>
      <c r="G367" s="6"/>
      <c r="H367" s="3"/>
      <c r="I367" s="3"/>
      <c r="J367" s="3"/>
    </row>
    <row r="368" spans="1:16" ht="18.95" customHeight="1" x14ac:dyDescent="0.35">
      <c r="A368" s="4"/>
      <c r="B368" s="5"/>
      <c r="C368" s="5"/>
      <c r="D368" s="5"/>
      <c r="E368" s="6"/>
      <c r="F368" s="6"/>
      <c r="G368" s="6"/>
      <c r="H368" s="3"/>
      <c r="I368" s="3"/>
      <c r="J368" s="3"/>
    </row>
    <row r="369" spans="1:22" ht="18.95" customHeight="1" x14ac:dyDescent="0.35">
      <c r="A369" s="4"/>
      <c r="B369" s="5"/>
      <c r="C369" s="5"/>
      <c r="D369" s="5"/>
      <c r="E369" s="6"/>
      <c r="F369" s="6"/>
      <c r="G369" s="6"/>
      <c r="H369" s="3"/>
      <c r="I369" s="3"/>
      <c r="J369" s="3"/>
    </row>
    <row r="370" spans="1:22" ht="18.95" customHeight="1" x14ac:dyDescent="0.35">
      <c r="A370" s="4"/>
      <c r="B370" s="5"/>
      <c r="C370" s="5"/>
      <c r="D370" s="5"/>
      <c r="E370" s="6"/>
      <c r="F370" s="6"/>
      <c r="G370" s="6"/>
      <c r="H370" s="3"/>
      <c r="I370" s="3"/>
      <c r="J370" s="3"/>
    </row>
    <row r="371" spans="1:22" ht="18.95" customHeight="1" x14ac:dyDescent="0.35">
      <c r="A371" s="4"/>
      <c r="B371" s="5"/>
      <c r="C371" s="5"/>
      <c r="D371" s="5"/>
      <c r="E371" s="6"/>
      <c r="F371" s="6"/>
      <c r="G371" s="6"/>
      <c r="H371" s="3"/>
      <c r="I371" s="3"/>
      <c r="J371" s="3"/>
    </row>
    <row r="372" spans="1:22" ht="18.95" customHeight="1" x14ac:dyDescent="0.35">
      <c r="A372" s="4"/>
      <c r="B372" s="5"/>
      <c r="C372" s="5"/>
      <c r="D372" s="5"/>
      <c r="E372" s="6"/>
      <c r="F372" s="6"/>
      <c r="G372" s="6"/>
      <c r="H372" s="3"/>
      <c r="I372" s="3"/>
      <c r="J372" s="3"/>
    </row>
    <row r="373" spans="1:22" ht="18.95" customHeight="1" x14ac:dyDescent="0.35">
      <c r="A373" s="4"/>
      <c r="B373" s="5"/>
      <c r="C373" s="5"/>
      <c r="D373" s="5"/>
      <c r="E373" s="6"/>
      <c r="F373" s="6"/>
      <c r="G373" s="6"/>
      <c r="H373" s="3"/>
      <c r="I373" s="3"/>
      <c r="J373" s="3"/>
    </row>
    <row r="374" spans="1:22" ht="18.95" customHeight="1" x14ac:dyDescent="0.35">
      <c r="A374" s="4"/>
      <c r="B374" s="5"/>
      <c r="C374" s="5"/>
      <c r="D374" s="5"/>
      <c r="E374" s="6"/>
      <c r="F374" s="6"/>
      <c r="G374" s="6"/>
      <c r="H374" s="3"/>
      <c r="I374" s="3"/>
      <c r="J374" s="3"/>
    </row>
    <row r="375" spans="1:22" ht="18.95" customHeight="1" x14ac:dyDescent="0.35">
      <c r="A375" s="4"/>
      <c r="B375" s="5"/>
      <c r="C375" s="5"/>
      <c r="D375" s="5"/>
      <c r="E375" s="6"/>
      <c r="F375" s="6"/>
      <c r="G375" s="6"/>
      <c r="H375" s="3"/>
      <c r="I375" s="3"/>
      <c r="J375" s="3"/>
    </row>
    <row r="376" spans="1:22" ht="18.95" customHeight="1" x14ac:dyDescent="0.35">
      <c r="A376" s="4"/>
      <c r="B376" s="5"/>
      <c r="C376" s="5"/>
      <c r="D376" s="5"/>
      <c r="E376" s="6"/>
      <c r="F376" s="6"/>
      <c r="G376" s="6"/>
      <c r="H376" s="3"/>
      <c r="I376" s="3"/>
      <c r="J376" s="3"/>
    </row>
    <row r="377" spans="1:22" ht="18.95" customHeight="1" x14ac:dyDescent="0.25">
      <c r="A377" s="7"/>
      <c r="B377" s="8"/>
      <c r="C377" s="8"/>
      <c r="D377" s="8"/>
      <c r="E377" s="8"/>
      <c r="F377" s="8"/>
      <c r="G377" s="8"/>
      <c r="H377" s="8"/>
      <c r="I377" s="8"/>
      <c r="J377" s="8"/>
      <c r="K377" s="8"/>
      <c r="L377" s="8"/>
      <c r="M377" s="8"/>
      <c r="N377" s="8"/>
      <c r="O377" s="8"/>
    </row>
    <row r="378" spans="1:22" s="7" customFormat="1" ht="27" customHeight="1" x14ac:dyDescent="0.25">
      <c r="B378" s="69" t="s">
        <v>6</v>
      </c>
      <c r="C378" s="69"/>
      <c r="D378" s="69" t="s">
        <v>0</v>
      </c>
      <c r="E378" s="69"/>
      <c r="F378" s="69" t="s">
        <v>1</v>
      </c>
      <c r="G378" s="69"/>
      <c r="H378" s="69" t="s">
        <v>2</v>
      </c>
      <c r="I378" s="69"/>
      <c r="J378" s="69" t="s">
        <v>3</v>
      </c>
      <c r="K378" s="69"/>
      <c r="L378" s="69" t="s">
        <v>4</v>
      </c>
      <c r="M378" s="69"/>
      <c r="N378" s="69" t="s">
        <v>5</v>
      </c>
      <c r="O378" s="69"/>
      <c r="P378" s="1"/>
      <c r="Q378" s="9"/>
      <c r="U378" s="1"/>
      <c r="V378" s="1"/>
    </row>
    <row r="379" spans="1:22" s="10" customFormat="1" ht="16.5" customHeight="1" x14ac:dyDescent="0.25">
      <c r="B379" s="33"/>
      <c r="C379" s="34">
        <f ca="1">IF(DAY(DimNov1)=1,DimNov1-6,DimNov1+1)</f>
        <v>43401</v>
      </c>
      <c r="D379" s="35"/>
      <c r="E379" s="34">
        <f ca="1">IF(DAY(DimNov1)=1,DimNov1-5,DimNov1+2)</f>
        <v>43402</v>
      </c>
      <c r="F379" s="35"/>
      <c r="G379" s="34">
        <f ca="1">IF(DAY(DimNov1)=1,DimNov1-4,DimNov1+3)</f>
        <v>43403</v>
      </c>
      <c r="H379" s="35"/>
      <c r="I379" s="34">
        <f ca="1">IF(DAY(DimNov1)=1,DimNov1-3,DimNov1+4)</f>
        <v>43404</v>
      </c>
      <c r="J379" s="35"/>
      <c r="K379" s="34">
        <f ca="1">IF(DAY(DimNov1)=1,DimNov1-2,DimNov1+5)</f>
        <v>43405</v>
      </c>
      <c r="L379" s="35"/>
      <c r="M379" s="34">
        <f ca="1">IF(DAY(DimNov1)=1,DimNov1-1,DimNov1+6)</f>
        <v>43406</v>
      </c>
      <c r="N379" s="35"/>
      <c r="O379" s="34">
        <f ca="1">IF(DAY(DimNov1)=1,DimNov1,DimNov1+7)</f>
        <v>43407</v>
      </c>
      <c r="P379" s="14"/>
      <c r="Q379" s="14"/>
      <c r="U379" s="15"/>
      <c r="V379" s="14"/>
    </row>
    <row r="380" spans="1:22" s="16" customFormat="1" ht="55.5" customHeight="1" x14ac:dyDescent="0.25">
      <c r="A380" s="7"/>
      <c r="B380" s="74"/>
      <c r="C380" s="75"/>
      <c r="D380" s="75"/>
      <c r="E380" s="75"/>
      <c r="F380" s="75"/>
      <c r="G380" s="75"/>
      <c r="H380" s="75"/>
      <c r="I380" s="75"/>
      <c r="J380" s="75"/>
      <c r="K380" s="75"/>
      <c r="L380" s="71"/>
      <c r="M380" s="71"/>
      <c r="N380" s="71"/>
      <c r="O380" s="71"/>
    </row>
    <row r="381" spans="1:22" s="16" customFormat="1" ht="8.25" customHeight="1" x14ac:dyDescent="0.25">
      <c r="A381" s="7"/>
      <c r="B381" s="72"/>
      <c r="C381" s="72"/>
      <c r="D381" s="72"/>
      <c r="E381" s="72"/>
      <c r="F381" s="72"/>
      <c r="G381" s="72"/>
      <c r="H381" s="72"/>
      <c r="I381" s="72"/>
      <c r="J381" s="72"/>
      <c r="K381" s="72"/>
      <c r="L381" s="73"/>
      <c r="M381" s="73"/>
      <c r="N381" s="73"/>
      <c r="O381" s="73"/>
    </row>
    <row r="382" spans="1:22" s="14" customFormat="1" ht="16.5" customHeight="1" x14ac:dyDescent="0.25">
      <c r="A382" s="10"/>
      <c r="B382" s="35"/>
      <c r="C382" s="34">
        <f ca="1">IF(DAY(DimNov1)=1,DimNov1+1,DimNov1+8)</f>
        <v>43408</v>
      </c>
      <c r="D382" s="35"/>
      <c r="E382" s="34">
        <f ca="1">IF(DAY(DimNov1)=1,DimNov1+2,DimNov1+9)</f>
        <v>43409</v>
      </c>
      <c r="F382" s="35"/>
      <c r="G382" s="34">
        <f ca="1">IF(DAY(DimNov1)=1,DimNov1+3,DimNov1+10)</f>
        <v>43410</v>
      </c>
      <c r="H382" s="35"/>
      <c r="I382" s="34">
        <f ca="1">IF(DAY(DimNov1)=1,DimNov1+4,DimNov1+11)</f>
        <v>43411</v>
      </c>
      <c r="J382" s="35"/>
      <c r="K382" s="34">
        <f ca="1">IF(DAY(DimNov1)=1,DimNov1+5,DimNov1+12)</f>
        <v>43412</v>
      </c>
      <c r="L382" s="35"/>
      <c r="M382" s="34">
        <f ca="1">IF(DAY(DimNov1)=1,DimNov1+6,DimNov1+13)</f>
        <v>43413</v>
      </c>
      <c r="N382" s="35"/>
      <c r="O382" s="34">
        <f ca="1">IF(DAY(DimNov1)=1,DimNov1+7,DimNov1+14)</f>
        <v>43414</v>
      </c>
    </row>
    <row r="383" spans="1:22" ht="55.5" customHeight="1" x14ac:dyDescent="0.25">
      <c r="A383" s="7"/>
      <c r="B383" s="74"/>
      <c r="C383" s="75"/>
      <c r="D383" s="75"/>
      <c r="E383" s="75"/>
      <c r="F383" s="75" t="s">
        <v>7</v>
      </c>
      <c r="G383" s="75"/>
      <c r="H383" s="75"/>
      <c r="I383" s="75"/>
      <c r="J383" s="75"/>
      <c r="K383" s="75"/>
      <c r="L383" s="71"/>
      <c r="M383" s="71"/>
      <c r="N383" s="71"/>
      <c r="O383" s="71"/>
    </row>
    <row r="384" spans="1:22" ht="8.25" customHeight="1" x14ac:dyDescent="0.25">
      <c r="A384" s="7"/>
      <c r="B384" s="72"/>
      <c r="C384" s="72"/>
      <c r="D384" s="72"/>
      <c r="E384" s="72"/>
      <c r="F384" s="72"/>
      <c r="G384" s="72"/>
      <c r="H384" s="72"/>
      <c r="I384" s="72"/>
      <c r="J384" s="72"/>
      <c r="K384" s="72"/>
      <c r="L384" s="73"/>
      <c r="M384" s="73"/>
      <c r="N384" s="73"/>
      <c r="O384" s="73"/>
    </row>
    <row r="385" spans="1:16" s="14" customFormat="1" ht="16.5" customHeight="1" x14ac:dyDescent="0.25">
      <c r="A385" s="10"/>
      <c r="B385" s="35"/>
      <c r="C385" s="34">
        <f ca="1">IF(DAY(DimNov1)=1,DimNov1+8,DimNov1+15)</f>
        <v>43415</v>
      </c>
      <c r="D385" s="35"/>
      <c r="E385" s="34">
        <f ca="1">IF(DAY(DimNov1)=1,DimNov1+9,DimNov1+16)</f>
        <v>43416</v>
      </c>
      <c r="F385" s="35"/>
      <c r="G385" s="34">
        <f ca="1">IF(DAY(DimNov1)=1,DimNov1+10,DimNov1+17)</f>
        <v>43417</v>
      </c>
      <c r="H385" s="35"/>
      <c r="I385" s="34">
        <f ca="1">IF(DAY(DimNov1)=1,DimNov1+11,DimNov1+18)</f>
        <v>43418</v>
      </c>
      <c r="J385" s="35"/>
      <c r="K385" s="34">
        <f ca="1">IF(DAY(DimNov1)=1,DimNov1+12,DimNov1+19)</f>
        <v>43419</v>
      </c>
      <c r="L385" s="35"/>
      <c r="M385" s="34">
        <f ca="1">IF(DAY(DimNov1)=1,DimNov1+13,DimNov1+20)</f>
        <v>43420</v>
      </c>
      <c r="N385" s="35"/>
      <c r="O385" s="34">
        <f ca="1">IF(DAY(DimNov1)=1,DimNov1+14,DimNov1+21)</f>
        <v>43421</v>
      </c>
    </row>
    <row r="386" spans="1:16" ht="55.5" customHeight="1" x14ac:dyDescent="0.25">
      <c r="A386" s="7"/>
      <c r="B386" s="74"/>
      <c r="C386" s="75"/>
      <c r="D386" s="75"/>
      <c r="E386" s="75"/>
      <c r="F386" s="75"/>
      <c r="G386" s="75"/>
      <c r="H386" s="75"/>
      <c r="I386" s="75"/>
      <c r="J386" s="74"/>
      <c r="K386" s="75"/>
      <c r="L386" s="71"/>
      <c r="M386" s="71"/>
      <c r="N386" s="71"/>
      <c r="O386" s="71"/>
    </row>
    <row r="387" spans="1:16" ht="8.25" customHeight="1" x14ac:dyDescent="0.25">
      <c r="A387" s="7"/>
      <c r="B387" s="72"/>
      <c r="C387" s="72"/>
      <c r="D387" s="72"/>
      <c r="E387" s="72"/>
      <c r="F387" s="72"/>
      <c r="G387" s="72"/>
      <c r="H387" s="72"/>
      <c r="I387" s="72"/>
      <c r="J387" s="72"/>
      <c r="K387" s="72"/>
      <c r="L387" s="73"/>
      <c r="M387" s="73"/>
      <c r="N387" s="73"/>
      <c r="O387" s="73"/>
    </row>
    <row r="388" spans="1:16" s="14" customFormat="1" ht="16.5" customHeight="1" x14ac:dyDescent="0.25">
      <c r="A388" s="10"/>
      <c r="B388" s="35"/>
      <c r="C388" s="34">
        <f ca="1">IF(DAY(DimNov1)=1,DimNov1+15,DimNov1+22)</f>
        <v>43422</v>
      </c>
      <c r="D388" s="35"/>
      <c r="E388" s="34">
        <f ca="1">IF(DAY(DimNov1)=1,DimNov1+16,DimNov1+23)</f>
        <v>43423</v>
      </c>
      <c r="F388" s="35"/>
      <c r="G388" s="34">
        <f ca="1">IF(DAY(DimNov1)=1,DimNov1+17,DimNov1+24)</f>
        <v>43424</v>
      </c>
      <c r="H388" s="35"/>
      <c r="I388" s="34">
        <f ca="1">IF(DAY(DimNov1)=1,DimNov1+18,DimNov1+25)</f>
        <v>43425</v>
      </c>
      <c r="J388" s="35"/>
      <c r="K388" s="34">
        <f ca="1">IF(DAY(DimNov1)=1,DimNov1+19,DimNov1+26)</f>
        <v>43426</v>
      </c>
      <c r="L388" s="35"/>
      <c r="M388" s="34">
        <f ca="1">IF(DAY(DimNov1)=1,DimNov1+20,DimNov1+27)</f>
        <v>43427</v>
      </c>
      <c r="N388" s="35"/>
      <c r="O388" s="34">
        <f ca="1">IF(DAY(DimNov1)=1,DimNov1+21,DimNov1+28)</f>
        <v>43428</v>
      </c>
    </row>
    <row r="389" spans="1:16" ht="55.5" customHeight="1" x14ac:dyDescent="0.25">
      <c r="A389" s="7"/>
      <c r="B389" s="74"/>
      <c r="C389" s="75"/>
      <c r="D389" s="75"/>
      <c r="E389" s="75"/>
      <c r="F389" s="75"/>
      <c r="G389" s="75"/>
      <c r="H389" s="75"/>
      <c r="I389" s="75"/>
      <c r="J389" s="75"/>
      <c r="K389" s="75"/>
      <c r="L389" s="71"/>
      <c r="M389" s="71"/>
      <c r="N389" s="71"/>
      <c r="O389" s="71"/>
    </row>
    <row r="390" spans="1:16" ht="8.25" customHeight="1" x14ac:dyDescent="0.25">
      <c r="A390" s="7"/>
      <c r="B390" s="72"/>
      <c r="C390" s="72"/>
      <c r="D390" s="72"/>
      <c r="E390" s="72"/>
      <c r="F390" s="72"/>
      <c r="G390" s="72"/>
      <c r="H390" s="72"/>
      <c r="I390" s="72"/>
      <c r="J390" s="72"/>
      <c r="K390" s="72"/>
      <c r="L390" s="73"/>
      <c r="M390" s="73"/>
      <c r="N390" s="73"/>
      <c r="O390" s="73"/>
    </row>
    <row r="391" spans="1:16" s="14" customFormat="1" ht="16.5" customHeight="1" x14ac:dyDescent="0.25">
      <c r="A391" s="10"/>
      <c r="B391" s="35"/>
      <c r="C391" s="34">
        <f ca="1">IF(DAY(DimNov1)=1,DimNov1+22,DimNov1+29)</f>
        <v>43429</v>
      </c>
      <c r="D391" s="35"/>
      <c r="E391" s="34">
        <f ca="1">IF(DAY(DimNov1)=1,DimNov1+23,DimNov1+30)</f>
        <v>43430</v>
      </c>
      <c r="F391" s="35"/>
      <c r="G391" s="34">
        <f ca="1">IF(DAY(DimNov1)=1,DimNov1+24,DimNov1+31)</f>
        <v>43431</v>
      </c>
      <c r="H391" s="35"/>
      <c r="I391" s="34">
        <f ca="1">IF(DAY(DimNov1)=1,DimNov1+25,DimNov1+32)</f>
        <v>43432</v>
      </c>
      <c r="J391" s="35"/>
      <c r="K391" s="34">
        <f ca="1">IF(DAY(DimNov1)=1,DimNov1+26,DimNov1+33)</f>
        <v>43433</v>
      </c>
      <c r="L391" s="35"/>
      <c r="M391" s="34">
        <f ca="1">IF(DAY(DimNov1)=1,DimNov1+27,DimNov1+34)</f>
        <v>43434</v>
      </c>
      <c r="N391" s="35"/>
      <c r="O391" s="34">
        <f ca="1">IF(DAY(DimNov1)=1,DimNov1+28,DimNov1+35)</f>
        <v>43435</v>
      </c>
    </row>
    <row r="392" spans="1:16" ht="55.5" customHeight="1" x14ac:dyDescent="0.25">
      <c r="A392" s="7"/>
      <c r="B392" s="74"/>
      <c r="C392" s="75"/>
      <c r="D392" s="75"/>
      <c r="E392" s="75"/>
      <c r="F392" s="75"/>
      <c r="G392" s="75"/>
      <c r="H392" s="75"/>
      <c r="I392" s="75"/>
      <c r="J392" s="75"/>
      <c r="K392" s="75"/>
      <c r="L392" s="71"/>
      <c r="M392" s="71"/>
      <c r="N392" s="71"/>
      <c r="O392" s="71"/>
    </row>
    <row r="393" spans="1:16" ht="8.25" customHeight="1" x14ac:dyDescent="0.25">
      <c r="A393" s="7"/>
      <c r="B393" s="72"/>
      <c r="C393" s="72"/>
      <c r="D393" s="72"/>
      <c r="E393" s="72"/>
      <c r="F393" s="72"/>
      <c r="G393" s="72"/>
      <c r="H393" s="72"/>
      <c r="I393" s="72"/>
      <c r="J393" s="72"/>
      <c r="K393" s="72"/>
      <c r="L393" s="73"/>
      <c r="M393" s="73"/>
      <c r="N393" s="73"/>
      <c r="O393" s="73"/>
    </row>
    <row r="394" spans="1:16" s="14" customFormat="1" ht="16.5" customHeight="1" x14ac:dyDescent="0.25">
      <c r="A394" s="10"/>
      <c r="B394" s="35"/>
      <c r="C394" s="34">
        <f ca="1">IF(DAY(DimNov1)=1,DimNov1+29,DimNov1+36)</f>
        <v>43436</v>
      </c>
      <c r="D394" s="35"/>
      <c r="E394" s="34">
        <f ca="1">IF(DAY(DimNov1)=1,DimNov1+30,DimNov1+37)</f>
        <v>43437</v>
      </c>
      <c r="F394" s="35"/>
      <c r="G394" s="34">
        <f ca="1">IF(DAY(DimNov1)=1,DimNov1+31,DimNov1+38)</f>
        <v>43438</v>
      </c>
      <c r="H394" s="35"/>
      <c r="I394" s="34">
        <f ca="1">IF(DAY(DimNov1)=1,DimNov1+32,DimNov1+39)</f>
        <v>43439</v>
      </c>
      <c r="J394" s="35"/>
      <c r="K394" s="34">
        <f ca="1">IF(DAY(DimNov1)=1,DimNov1+33,DimNov1+40)</f>
        <v>43440</v>
      </c>
      <c r="L394" s="35"/>
      <c r="M394" s="34">
        <f ca="1">IF(DAY(DimNov1)=1,DimNov1+34,DimNov1+41)</f>
        <v>43441</v>
      </c>
      <c r="N394" s="35"/>
      <c r="O394" s="34">
        <f ca="1">IF(DAY(DimNov1)=1,DimNov1+35,DimNov1+42)</f>
        <v>43442</v>
      </c>
    </row>
    <row r="395" spans="1:16" ht="55.5" customHeight="1" x14ac:dyDescent="0.25">
      <c r="A395" s="7"/>
      <c r="B395" s="74"/>
      <c r="C395" s="75"/>
      <c r="D395" s="75"/>
      <c r="E395" s="75"/>
      <c r="F395" s="76"/>
      <c r="G395" s="76"/>
      <c r="H395" s="76"/>
      <c r="I395" s="76"/>
      <c r="J395" s="76"/>
      <c r="K395" s="76"/>
      <c r="L395" s="76"/>
      <c r="M395" s="76"/>
      <c r="N395" s="76"/>
      <c r="O395" s="76"/>
    </row>
    <row r="396" spans="1:16" ht="7.5" customHeight="1" x14ac:dyDescent="0.2">
      <c r="B396" s="37"/>
      <c r="C396" s="37"/>
      <c r="D396" s="37"/>
      <c r="E396" s="37"/>
      <c r="F396" s="37"/>
      <c r="G396" s="37"/>
      <c r="H396" s="37"/>
      <c r="I396" s="37"/>
      <c r="J396" s="37"/>
      <c r="K396" s="37"/>
      <c r="L396" s="37"/>
      <c r="M396" s="37"/>
      <c r="N396" s="37"/>
      <c r="O396" s="37"/>
    </row>
    <row r="397" spans="1:16" x14ac:dyDescent="0.2">
      <c r="B397" s="38"/>
      <c r="C397" s="38"/>
      <c r="D397" s="38"/>
      <c r="E397" s="38"/>
      <c r="F397" s="38"/>
      <c r="G397" s="38"/>
      <c r="H397" s="38"/>
      <c r="I397" s="38"/>
      <c r="J397" s="38"/>
      <c r="K397" s="38"/>
      <c r="L397" s="38"/>
      <c r="M397" s="38"/>
      <c r="N397" s="38"/>
      <c r="O397" s="38"/>
    </row>
    <row r="398" spans="1:16" ht="54" customHeight="1" x14ac:dyDescent="0.2">
      <c r="A398" s="48" t="str">
        <f ca="1">TEXT(DATE(AnnéeCalendrier,12,1),"mmmm")</f>
        <v>December</v>
      </c>
      <c r="B398" s="48"/>
      <c r="C398" s="48"/>
      <c r="D398" s="48"/>
      <c r="E398" s="48"/>
      <c r="F398" s="48"/>
      <c r="G398" s="48"/>
      <c r="H398" s="2"/>
      <c r="I398" s="3"/>
      <c r="J398" s="3"/>
      <c r="L398" s="39">
        <f ca="1">AnnéeCalendrier</f>
        <v>2018</v>
      </c>
      <c r="M398" s="39"/>
      <c r="N398" s="39"/>
      <c r="O398" s="39"/>
      <c r="P398" s="39"/>
    </row>
    <row r="399" spans="1:16" ht="18.75" customHeight="1" x14ac:dyDescent="0.35">
      <c r="A399" s="4"/>
      <c r="B399" s="5"/>
      <c r="C399" s="5"/>
      <c r="D399" s="5"/>
      <c r="E399" s="6"/>
      <c r="F399" s="6"/>
      <c r="G399" s="6"/>
      <c r="H399" s="3"/>
      <c r="I399" s="3"/>
      <c r="J399" s="3"/>
      <c r="L399" s="49"/>
      <c r="M399" s="49"/>
      <c r="N399" s="49"/>
      <c r="O399" s="49"/>
    </row>
    <row r="400" spans="1:16" ht="18.75" customHeight="1" x14ac:dyDescent="0.35">
      <c r="A400" s="4"/>
      <c r="B400" s="5"/>
      <c r="C400" s="5"/>
      <c r="D400" s="5"/>
      <c r="E400" s="6"/>
      <c r="F400" s="6"/>
      <c r="G400" s="6"/>
      <c r="H400" s="3"/>
      <c r="I400" s="3"/>
      <c r="J400" s="3"/>
    </row>
    <row r="401" spans="1:22" ht="18.75" customHeight="1" x14ac:dyDescent="0.35">
      <c r="A401" s="4"/>
      <c r="B401" s="5"/>
      <c r="C401" s="5"/>
      <c r="D401" s="5"/>
      <c r="E401" s="6"/>
      <c r="F401" s="6"/>
      <c r="G401" s="6"/>
      <c r="H401" s="3"/>
      <c r="I401" s="3"/>
      <c r="J401" s="3"/>
    </row>
    <row r="402" spans="1:22" ht="18.75" customHeight="1" x14ac:dyDescent="0.35">
      <c r="A402" s="4"/>
      <c r="B402" s="5"/>
      <c r="C402" s="5"/>
      <c r="D402" s="5"/>
      <c r="E402" s="6"/>
      <c r="F402" s="6"/>
      <c r="G402" s="6"/>
      <c r="H402" s="3"/>
      <c r="I402" s="3"/>
      <c r="J402" s="3"/>
    </row>
    <row r="403" spans="1:22" ht="18.75" customHeight="1" x14ac:dyDescent="0.35">
      <c r="A403" s="4"/>
      <c r="B403" s="5"/>
      <c r="C403" s="5"/>
      <c r="D403" s="5"/>
      <c r="E403" s="6"/>
      <c r="F403" s="6"/>
      <c r="G403" s="6"/>
      <c r="H403" s="3"/>
      <c r="I403" s="3"/>
      <c r="J403" s="3"/>
    </row>
    <row r="404" spans="1:22" ht="18.75" customHeight="1" x14ac:dyDescent="0.35">
      <c r="A404" s="4"/>
      <c r="B404" s="5"/>
      <c r="C404" s="5"/>
      <c r="D404" s="5"/>
      <c r="E404" s="6"/>
      <c r="F404" s="6"/>
      <c r="G404" s="6"/>
      <c r="H404" s="3"/>
      <c r="I404" s="3"/>
      <c r="J404" s="3"/>
    </row>
    <row r="405" spans="1:22" ht="18.75" customHeight="1" x14ac:dyDescent="0.35">
      <c r="A405" s="4"/>
      <c r="B405" s="5"/>
      <c r="C405" s="5"/>
      <c r="D405" s="5"/>
      <c r="E405" s="6"/>
      <c r="F405" s="6"/>
      <c r="G405" s="6"/>
      <c r="H405" s="3"/>
      <c r="I405" s="3"/>
      <c r="J405" s="3"/>
    </row>
    <row r="406" spans="1:22" ht="18.75" customHeight="1" x14ac:dyDescent="0.35">
      <c r="A406" s="4"/>
      <c r="B406" s="5"/>
      <c r="C406" s="5"/>
      <c r="D406" s="5"/>
      <c r="E406" s="6"/>
      <c r="F406" s="6"/>
      <c r="G406" s="6"/>
      <c r="H406" s="3"/>
      <c r="I406" s="3"/>
      <c r="J406" s="3"/>
    </row>
    <row r="407" spans="1:22" ht="18.75" customHeight="1" x14ac:dyDescent="0.35">
      <c r="A407" s="4"/>
      <c r="B407" s="5"/>
      <c r="C407" s="5"/>
      <c r="D407" s="5"/>
      <c r="E407" s="6"/>
      <c r="F407" s="6"/>
      <c r="G407" s="6"/>
      <c r="H407" s="3"/>
      <c r="I407" s="3"/>
      <c r="J407" s="3"/>
    </row>
    <row r="408" spans="1:22" ht="18.75" customHeight="1" x14ac:dyDescent="0.35">
      <c r="A408" s="4"/>
      <c r="B408" s="5"/>
      <c r="C408" s="5"/>
      <c r="D408" s="5"/>
      <c r="E408" s="6"/>
      <c r="F408" s="6"/>
      <c r="G408" s="6"/>
      <c r="H408" s="3"/>
      <c r="I408" s="3"/>
      <c r="J408" s="3"/>
    </row>
    <row r="409" spans="1:22" ht="18.75" customHeight="1" x14ac:dyDescent="0.35">
      <c r="A409" s="4"/>
      <c r="B409" s="5"/>
      <c r="C409" s="5"/>
      <c r="D409" s="5"/>
      <c r="E409" s="6"/>
      <c r="F409" s="6"/>
      <c r="G409" s="6"/>
      <c r="H409" s="3"/>
      <c r="I409" s="3"/>
      <c r="J409" s="3"/>
    </row>
    <row r="410" spans="1:22" ht="18.75" customHeight="1" x14ac:dyDescent="0.35">
      <c r="A410" s="4"/>
      <c r="B410" s="5"/>
      <c r="C410" s="5"/>
      <c r="D410" s="5"/>
      <c r="E410" s="6"/>
      <c r="F410" s="6"/>
      <c r="G410" s="6"/>
      <c r="H410" s="3"/>
      <c r="I410" s="3"/>
      <c r="J410" s="3"/>
    </row>
    <row r="411" spans="1:22" ht="18.75" customHeight="1" x14ac:dyDescent="0.35">
      <c r="A411" s="4"/>
      <c r="B411" s="5"/>
      <c r="C411" s="5"/>
      <c r="D411" s="5"/>
      <c r="E411" s="6"/>
      <c r="F411" s="6"/>
      <c r="G411" s="6"/>
      <c r="H411" s="3"/>
      <c r="I411" s="3"/>
      <c r="J411" s="3"/>
    </row>
    <row r="412" spans="1:22" ht="18.75" customHeight="1" x14ac:dyDescent="0.35">
      <c r="A412" s="4"/>
      <c r="B412" s="5"/>
      <c r="C412" s="5"/>
      <c r="D412" s="5"/>
      <c r="E412" s="6"/>
      <c r="F412" s="6"/>
      <c r="G412" s="6"/>
      <c r="H412" s="3"/>
      <c r="I412" s="3"/>
      <c r="J412" s="3"/>
    </row>
    <row r="413" spans="1:22" ht="18.75" customHeight="1" x14ac:dyDescent="0.25">
      <c r="A413" s="7"/>
      <c r="B413" s="8"/>
      <c r="C413" s="8"/>
      <c r="D413" s="8"/>
      <c r="E413" s="8"/>
      <c r="F413" s="8"/>
      <c r="G413" s="8"/>
      <c r="H413" s="8"/>
      <c r="I413" s="8"/>
      <c r="J413" s="8"/>
      <c r="K413" s="8"/>
      <c r="L413" s="8"/>
      <c r="M413" s="8"/>
      <c r="N413" s="8"/>
      <c r="O413" s="8"/>
    </row>
    <row r="414" spans="1:22" s="7" customFormat="1" ht="27" customHeight="1" x14ac:dyDescent="0.25">
      <c r="B414" s="44" t="s">
        <v>6</v>
      </c>
      <c r="C414" s="44"/>
      <c r="D414" s="40" t="s">
        <v>0</v>
      </c>
      <c r="E414" s="40"/>
      <c r="F414" s="40" t="s">
        <v>1</v>
      </c>
      <c r="G414" s="40"/>
      <c r="H414" s="40" t="s">
        <v>2</v>
      </c>
      <c r="I414" s="40"/>
      <c r="J414" s="40" t="s">
        <v>3</v>
      </c>
      <c r="K414" s="40"/>
      <c r="L414" s="40" t="s">
        <v>4</v>
      </c>
      <c r="M414" s="40"/>
      <c r="N414" s="40" t="s">
        <v>5</v>
      </c>
      <c r="O414" s="40"/>
      <c r="P414" s="1"/>
      <c r="Q414" s="9"/>
      <c r="U414" s="1"/>
      <c r="V414" s="1"/>
    </row>
    <row r="415" spans="1:22" s="10" customFormat="1" ht="16.5" customHeight="1" x14ac:dyDescent="0.25">
      <c r="B415" s="11"/>
      <c r="C415" s="12">
        <f ca="1">IF(DAY(DimDéc1)=1,DimDéc1-6,DimDéc1+1)</f>
        <v>43429</v>
      </c>
      <c r="D415" s="13"/>
      <c r="E415" s="12">
        <f ca="1">IF(DAY(DimDéc1)=1,DimDéc1-5,DimDéc1+2)</f>
        <v>43430</v>
      </c>
      <c r="F415" s="13"/>
      <c r="G415" s="12">
        <f ca="1">IF(DAY(DimDéc1)=1,DimDéc1-4,DimDéc1+3)</f>
        <v>43431</v>
      </c>
      <c r="H415" s="13"/>
      <c r="I415" s="12">
        <f ca="1">IF(DAY(DimDéc1)=1,DimDéc1-3,DimDéc1+4)</f>
        <v>43432</v>
      </c>
      <c r="J415" s="13"/>
      <c r="K415" s="12">
        <f ca="1">IF(DAY(DimDéc1)=1,DimDéc1-2,DimDéc1+5)</f>
        <v>43433</v>
      </c>
      <c r="L415" s="13"/>
      <c r="M415" s="12">
        <f ca="1">IF(DAY(DimDéc1)=1,DimDéc1-1,DimDéc1+6)</f>
        <v>43434</v>
      </c>
      <c r="N415" s="13"/>
      <c r="O415" s="12">
        <f ca="1">IF(DAY(DimDéc1)=1,DimDéc1,DimDéc1+7)</f>
        <v>43435</v>
      </c>
      <c r="P415" s="14"/>
      <c r="Q415" s="14"/>
      <c r="U415" s="15"/>
      <c r="V415" s="14"/>
    </row>
    <row r="416" spans="1:22" s="16" customFormat="1" ht="55.5" customHeight="1" x14ac:dyDescent="0.25">
      <c r="A416" s="7"/>
      <c r="B416" s="41"/>
      <c r="C416" s="42"/>
      <c r="D416" s="42"/>
      <c r="E416" s="42"/>
      <c r="F416" s="42"/>
      <c r="G416" s="42"/>
      <c r="H416" s="42"/>
      <c r="I416" s="42"/>
      <c r="J416" s="42"/>
      <c r="K416" s="42"/>
      <c r="L416" s="43"/>
      <c r="M416" s="43"/>
      <c r="N416" s="43"/>
      <c r="O416" s="43"/>
    </row>
    <row r="417" spans="1:15" s="16" customFormat="1" ht="8.25" customHeight="1" x14ac:dyDescent="0.25">
      <c r="A417" s="7"/>
      <c r="B417" s="46"/>
      <c r="C417" s="46"/>
      <c r="D417" s="46"/>
      <c r="E417" s="46"/>
      <c r="F417" s="46"/>
      <c r="G417" s="46"/>
      <c r="H417" s="46"/>
      <c r="I417" s="46"/>
      <c r="J417" s="46"/>
      <c r="K417" s="46"/>
      <c r="L417" s="47"/>
      <c r="M417" s="47"/>
      <c r="N417" s="47"/>
      <c r="O417" s="47"/>
    </row>
    <row r="418" spans="1:15" s="14" customFormat="1" ht="16.5" customHeight="1" x14ac:dyDescent="0.25">
      <c r="A418" s="10"/>
      <c r="B418" s="17"/>
      <c r="C418" s="12">
        <f ca="1">IF(DAY(DimDéc1)=1,DimDéc1+1,DimDéc1+8)</f>
        <v>43436</v>
      </c>
      <c r="D418" s="13"/>
      <c r="E418" s="12">
        <f ca="1">IF(DAY(DimDéc1)=1,DimDéc1+2,DimDéc1+9)</f>
        <v>43437</v>
      </c>
      <c r="F418" s="13"/>
      <c r="G418" s="12">
        <f ca="1">IF(DAY(DimDéc1)=1,DimDéc1+3,DimDéc1+10)</f>
        <v>43438</v>
      </c>
      <c r="H418" s="13"/>
      <c r="I418" s="12">
        <f ca="1">IF(DAY(DimDéc1)=1,DimDéc1+4,DimDéc1+11)</f>
        <v>43439</v>
      </c>
      <c r="J418" s="13"/>
      <c r="K418" s="12">
        <f ca="1">IF(DAY(DimDéc1)=1,DimDéc1+5,DimDéc1+12)</f>
        <v>43440</v>
      </c>
      <c r="L418" s="13"/>
      <c r="M418" s="12">
        <f ca="1">IF(DAY(DimDéc1)=1,DimDéc1+6,DimDéc1+13)</f>
        <v>43441</v>
      </c>
      <c r="N418" s="13"/>
      <c r="O418" s="12">
        <f ca="1">IF(DAY(DimDéc1)=1,DimDéc1+7,DimDéc1+14)</f>
        <v>43442</v>
      </c>
    </row>
    <row r="419" spans="1:15" ht="55.5" customHeight="1" x14ac:dyDescent="0.25">
      <c r="A419" s="7"/>
      <c r="B419" s="41"/>
      <c r="C419" s="42"/>
      <c r="D419" s="42"/>
      <c r="E419" s="42"/>
      <c r="F419" s="42" t="s">
        <v>7</v>
      </c>
      <c r="G419" s="42"/>
      <c r="H419" s="42"/>
      <c r="I419" s="42"/>
      <c r="J419" s="42"/>
      <c r="K419" s="42"/>
      <c r="L419" s="43"/>
      <c r="M419" s="43"/>
      <c r="N419" s="43"/>
      <c r="O419" s="43"/>
    </row>
    <row r="420" spans="1:15" ht="8.25" customHeight="1" x14ac:dyDescent="0.25">
      <c r="A420" s="7"/>
      <c r="B420" s="46"/>
      <c r="C420" s="46"/>
      <c r="D420" s="46"/>
      <c r="E420" s="46"/>
      <c r="F420" s="46"/>
      <c r="G420" s="46"/>
      <c r="H420" s="46"/>
      <c r="I420" s="46"/>
      <c r="J420" s="46"/>
      <c r="K420" s="46"/>
      <c r="L420" s="47"/>
      <c r="M420" s="47"/>
      <c r="N420" s="47"/>
      <c r="O420" s="47"/>
    </row>
    <row r="421" spans="1:15" s="14" customFormat="1" ht="16.5" customHeight="1" x14ac:dyDescent="0.25">
      <c r="A421" s="10"/>
      <c r="B421" s="17"/>
      <c r="C421" s="12">
        <f ca="1">IF(DAY(DimDéc1)=1,DimDéc1+8,DimDéc1+15)</f>
        <v>43443</v>
      </c>
      <c r="D421" s="13"/>
      <c r="E421" s="12">
        <f ca="1">IF(DAY(DimDéc1)=1,DimDéc1+9,DimDéc1+16)</f>
        <v>43444</v>
      </c>
      <c r="F421" s="13"/>
      <c r="G421" s="12">
        <f ca="1">IF(DAY(DimDéc1)=1,DimDéc1+10,DimDéc1+17)</f>
        <v>43445</v>
      </c>
      <c r="H421" s="13"/>
      <c r="I421" s="12">
        <f ca="1">IF(DAY(DimDéc1)=1,DimDéc1+11,DimDéc1+18)</f>
        <v>43446</v>
      </c>
      <c r="J421" s="13"/>
      <c r="K421" s="12">
        <f ca="1">IF(DAY(DimDéc1)=1,DimDéc1+12,DimDéc1+19)</f>
        <v>43447</v>
      </c>
      <c r="L421" s="13"/>
      <c r="M421" s="12">
        <f ca="1">IF(DAY(DimDéc1)=1,DimDéc1+13,DimDéc1+20)</f>
        <v>43448</v>
      </c>
      <c r="N421" s="13"/>
      <c r="O421" s="12">
        <f ca="1">IF(DAY(DimDéc1)=1,DimDéc1+14,DimDéc1+21)</f>
        <v>43449</v>
      </c>
    </row>
    <row r="422" spans="1:15" ht="55.5" customHeight="1" x14ac:dyDescent="0.25">
      <c r="A422" s="7"/>
      <c r="B422" s="41"/>
      <c r="C422" s="42"/>
      <c r="D422" s="42"/>
      <c r="E422" s="42"/>
      <c r="F422" s="42"/>
      <c r="G422" s="42"/>
      <c r="H422" s="42"/>
      <c r="I422" s="42"/>
      <c r="J422" s="42"/>
      <c r="K422" s="42"/>
      <c r="L422" s="43"/>
      <c r="M422" s="43"/>
      <c r="N422" s="43"/>
      <c r="O422" s="43"/>
    </row>
    <row r="423" spans="1:15" ht="8.25" customHeight="1" x14ac:dyDescent="0.25">
      <c r="A423" s="7"/>
      <c r="B423" s="46"/>
      <c r="C423" s="46"/>
      <c r="D423" s="46"/>
      <c r="E423" s="46"/>
      <c r="F423" s="46"/>
      <c r="G423" s="46"/>
      <c r="H423" s="46"/>
      <c r="I423" s="46"/>
      <c r="J423" s="46"/>
      <c r="K423" s="46"/>
      <c r="L423" s="47"/>
      <c r="M423" s="47"/>
      <c r="N423" s="47"/>
      <c r="O423" s="47"/>
    </row>
    <row r="424" spans="1:15" s="14" customFormat="1" ht="16.5" customHeight="1" x14ac:dyDescent="0.25">
      <c r="A424" s="10"/>
      <c r="B424" s="17"/>
      <c r="C424" s="12">
        <f ca="1">IF(DAY(DimDéc1)=1,DimDéc1+15,DimDéc1+22)</f>
        <v>43450</v>
      </c>
      <c r="D424" s="13"/>
      <c r="E424" s="12">
        <f ca="1">IF(DAY(DimDéc1)=1,DimDéc1+16,DimDéc1+23)</f>
        <v>43451</v>
      </c>
      <c r="F424" s="13"/>
      <c r="G424" s="12">
        <f ca="1">IF(DAY(DimDéc1)=1,DimDéc1+17,DimDéc1+24)</f>
        <v>43452</v>
      </c>
      <c r="H424" s="13"/>
      <c r="I424" s="12">
        <f ca="1">IF(DAY(DimDéc1)=1,DimDéc1+18,DimDéc1+25)</f>
        <v>43453</v>
      </c>
      <c r="J424" s="13"/>
      <c r="K424" s="12">
        <f ca="1">IF(DAY(DimDéc1)=1,DimDéc1+19,DimDéc1+26)</f>
        <v>43454</v>
      </c>
      <c r="L424" s="13"/>
      <c r="M424" s="12">
        <f ca="1">IF(DAY(DimDéc1)=1,DimDéc1+20,DimDéc1+27)</f>
        <v>43455</v>
      </c>
      <c r="N424" s="13"/>
      <c r="O424" s="12">
        <f ca="1">IF(DAY(DimDéc1)=1,DimDéc1+21,DimDéc1+28)</f>
        <v>43456</v>
      </c>
    </row>
    <row r="425" spans="1:15" ht="55.5" customHeight="1" x14ac:dyDescent="0.25">
      <c r="A425" s="7"/>
      <c r="B425" s="41"/>
      <c r="C425" s="42"/>
      <c r="D425" s="42"/>
      <c r="E425" s="42"/>
      <c r="F425" s="42"/>
      <c r="G425" s="42"/>
      <c r="H425" s="42"/>
      <c r="I425" s="42"/>
      <c r="J425" s="42"/>
      <c r="K425" s="42"/>
      <c r="L425" s="43"/>
      <c r="M425" s="43"/>
      <c r="N425" s="43"/>
      <c r="O425" s="43"/>
    </row>
    <row r="426" spans="1:15" ht="8.25" customHeight="1" x14ac:dyDescent="0.25">
      <c r="A426" s="7"/>
      <c r="B426" s="46"/>
      <c r="C426" s="46"/>
      <c r="D426" s="46"/>
      <c r="E426" s="46"/>
      <c r="F426" s="46"/>
      <c r="G426" s="46"/>
      <c r="H426" s="46"/>
      <c r="I426" s="46"/>
      <c r="J426" s="46"/>
      <c r="K426" s="46"/>
      <c r="L426" s="47"/>
      <c r="M426" s="47"/>
      <c r="N426" s="47"/>
      <c r="O426" s="47"/>
    </row>
    <row r="427" spans="1:15" s="14" customFormat="1" ht="16.5" customHeight="1" x14ac:dyDescent="0.25">
      <c r="A427" s="10"/>
      <c r="B427" s="17"/>
      <c r="C427" s="12">
        <f ca="1">IF(DAY(DimDéc1)=1,DimDéc1+22,DimDéc1+29)</f>
        <v>43457</v>
      </c>
      <c r="D427" s="13"/>
      <c r="E427" s="12">
        <f ca="1">IF(DAY(DimDéc1)=1,DimDéc1+23,DimDéc1+30)</f>
        <v>43458</v>
      </c>
      <c r="F427" s="13"/>
      <c r="G427" s="12">
        <f ca="1">IF(DAY(DimDéc1)=1,DimDéc1+24,DimDéc1+31)</f>
        <v>43459</v>
      </c>
      <c r="H427" s="13"/>
      <c r="I427" s="12">
        <f ca="1">IF(DAY(DimDéc1)=1,DimDéc1+25,DimDéc1+32)</f>
        <v>43460</v>
      </c>
      <c r="J427" s="13"/>
      <c r="K427" s="12">
        <f ca="1">IF(DAY(DimDéc1)=1,DimDéc1+26,DimDéc1+33)</f>
        <v>43461</v>
      </c>
      <c r="L427" s="13"/>
      <c r="M427" s="12">
        <f ca="1">IF(DAY(DimDéc1)=1,DimDéc1+27,DimDéc1+34)</f>
        <v>43462</v>
      </c>
      <c r="N427" s="13"/>
      <c r="O427" s="12">
        <f ca="1">IF(DAY(DimDéc1)=1,DimDéc1+28,DimDéc1+35)</f>
        <v>43463</v>
      </c>
    </row>
    <row r="428" spans="1:15" ht="55.5" customHeight="1" x14ac:dyDescent="0.25">
      <c r="A428" s="7"/>
      <c r="B428" s="41"/>
      <c r="C428" s="42"/>
      <c r="D428" s="42"/>
      <c r="E428" s="42"/>
      <c r="F428" s="42"/>
      <c r="G428" s="42"/>
      <c r="H428" s="42"/>
      <c r="I428" s="42"/>
      <c r="J428" s="42"/>
      <c r="K428" s="42"/>
      <c r="L428" s="43"/>
      <c r="M428" s="43"/>
      <c r="N428" s="43"/>
      <c r="O428" s="43"/>
    </row>
    <row r="429" spans="1:15" ht="8.25" customHeight="1" x14ac:dyDescent="0.25">
      <c r="A429" s="7"/>
      <c r="B429" s="46"/>
      <c r="C429" s="46"/>
      <c r="D429" s="46"/>
      <c r="E429" s="46"/>
      <c r="F429" s="46"/>
      <c r="G429" s="46"/>
      <c r="H429" s="46"/>
      <c r="I429" s="46"/>
      <c r="J429" s="46"/>
      <c r="K429" s="46"/>
      <c r="L429" s="47"/>
      <c r="M429" s="47"/>
      <c r="N429" s="47"/>
      <c r="O429" s="47"/>
    </row>
    <row r="430" spans="1:15" s="14" customFormat="1" ht="16.5" customHeight="1" x14ac:dyDescent="0.25">
      <c r="A430" s="10"/>
      <c r="B430" s="17"/>
      <c r="C430" s="12">
        <f ca="1">IF(DAY(DimDéc1)=1,DimDéc1+29,DimDéc1+36)</f>
        <v>43464</v>
      </c>
      <c r="D430" s="13"/>
      <c r="E430" s="12">
        <f ca="1">IF(DAY(DimDéc1)=1,DimDéc1+30,DimDéc1+37)</f>
        <v>43465</v>
      </c>
      <c r="F430" s="13"/>
      <c r="G430" s="12">
        <f ca="1">IF(DAY(DimDéc1)=1,DimDéc1+31,DimDéc1+38)</f>
        <v>43466</v>
      </c>
      <c r="H430" s="13"/>
      <c r="I430" s="12">
        <f ca="1">IF(DAY(DimDéc1)=1,DimDéc1+32,DimDéc1+39)</f>
        <v>43467</v>
      </c>
      <c r="J430" s="17"/>
      <c r="K430" s="12">
        <f ca="1">IF(DAY(DimDéc1)=1,DimDéc1+33,DimDéc1+40)</f>
        <v>43468</v>
      </c>
      <c r="L430" s="13"/>
      <c r="M430" s="12">
        <f ca="1">IF(DAY(DimDéc1)=1,DimDéc1+34,DimDéc1+41)</f>
        <v>43469</v>
      </c>
      <c r="N430" s="13"/>
      <c r="O430" s="12">
        <f ca="1">IF(DAY(DimDéc1)=1,DimDéc1+35,DimDéc1+42)</f>
        <v>43470</v>
      </c>
    </row>
    <row r="431" spans="1:15" ht="55.5" customHeight="1" x14ac:dyDescent="0.25">
      <c r="A431" s="7"/>
      <c r="B431" s="41"/>
      <c r="C431" s="42"/>
      <c r="D431" s="42"/>
      <c r="E431" s="42"/>
      <c r="F431" s="45"/>
      <c r="G431" s="45"/>
      <c r="H431" s="45"/>
      <c r="I431" s="45"/>
      <c r="J431" s="45"/>
      <c r="K431" s="45"/>
      <c r="L431" s="45"/>
      <c r="M431" s="45"/>
      <c r="N431" s="45"/>
      <c r="O431" s="45"/>
    </row>
    <row r="432" spans="1:15" ht="7.5" customHeight="1" x14ac:dyDescent="0.2">
      <c r="B432" s="19"/>
      <c r="C432" s="19"/>
      <c r="D432" s="19"/>
      <c r="E432" s="19"/>
      <c r="F432" s="19"/>
      <c r="G432" s="19"/>
      <c r="H432" s="19"/>
      <c r="I432" s="19"/>
      <c r="J432" s="19"/>
      <c r="K432" s="19"/>
      <c r="L432" s="19"/>
      <c r="M432" s="19"/>
      <c r="N432" s="19"/>
      <c r="O432" s="19"/>
    </row>
  </sheetData>
  <mergeCells count="1035">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19685039370078741" right="0.19685039370078741" top="0.23622047244094491" bottom="0.23622047244094491"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Compteur 1">
              <controlPr defaultSize="0" print="0" autoPict="0" altText="Spinner control. Use spinner to change calendar year or type desired year in cell L2 ">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Calendrier familial par saisons</vt:lpstr>
      <vt:lpstr>AnnéeCalendrier</vt:lpstr>
      <vt:lpstr>'Calendrier familial par saisons'!Print_Area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cp:lastModifiedBy>Zakia Lu</cp:lastModifiedBy>
  <dcterms:created xsi:type="dcterms:W3CDTF">2017-11-29T09:34:56Z</dcterms:created>
  <dcterms:modified xsi:type="dcterms:W3CDTF">2018-04-25T03:18:12Z</dcterms:modified>
</cp:coreProperties>
</file>