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-15" yWindow="-15" windowWidth="3855" windowHeight="8700" xr2:uid="{00000000-000D-0000-FFFF-FFFF00000000}"/>
  </bookViews>
  <sheets>
    <sheet name="Mikä tahansa vuosi" sheetId="4" r:id="rId1"/>
  </sheets>
  <definedNames>
    <definedName name="elosu1">DATEVALUE("1/8/"&amp;Vuosi)-WEEKDAY(DATEVALUE("1/8/"&amp;Vuosi),2)+1</definedName>
    <definedName name="heinäsu1">DATEVALUE("1/7/"&amp;Vuosi)-WEEKDAY(DATEVALUE("1/7/"&amp;Vuosi),2)+1</definedName>
    <definedName name="helmisu1">DATEVALUE("1/2/"&amp;Vuosi)-WEEKDAY(DATEVALUE("1/2/"&amp;Vuosi),2)+1</definedName>
    <definedName name="huhtisu1">DATEVALUE("1/4/"&amp;Vuosi)-WEEKDAY(DATEVALUE("1/4/"&amp;Vuosi),2)+1</definedName>
    <definedName name="joulusu1">DATEVALUE("1/12/"&amp;Vuosi)-WEEKDAY(DATEVALUE("1/12/"&amp;Vuosi),2)+1</definedName>
    <definedName name="kesäsu1">DATEVALUE("1/6/"&amp;Vuosi)-WEEKDAY(DATEVALUE("1/6/"&amp;Vuosi),2)+1</definedName>
    <definedName name="lokasu1">DATEVALUE("1/10/"&amp;Vuosi)-WEEKDAY(DATEVALUE("1/10/"&amp;Vuosi),2)+1</definedName>
    <definedName name="maalissu1">DATEVALUE("1/3/"&amp;Vuosi)-WEEKDAY(DATEVALUE("1/3/"&amp;Vuosi),2)+1</definedName>
    <definedName name="marrassu1">DATEVALUE("1/11/"&amp;Vuosi)-WEEKDAY(DATEVALUE("1/11/"&amp;Vuosi),2)+1</definedName>
    <definedName name="syyssu1">DATEVALUE("1/9/"&amp;Vuosi)-WEEKDAY(DATEVALUE("1/9/"&amp;Vuosi),2)+1</definedName>
    <definedName name="tammisu1">DATEVALUE("1/1/"&amp;Vuosi)-WEEKDAY(DATEVALUE("1/1/"&amp;Vuosi),2)+1</definedName>
    <definedName name="toukosu1">DATEVALUE("1/5/"&amp;Vuosi)-WEEKDAY(DATEVALUE("1/5/"&amp;Vuosi),2)+1</definedName>
    <definedName name="_xlnm.Print_Area" localSheetId="0">'Mikä tahansa vuosi'!$B$2:$AH$31</definedName>
    <definedName name="Vuosi">'Mikä tahansa vuosi'!$B$2</definedName>
  </definedNames>
  <calcPr calcId="171027"/>
</workbook>
</file>

<file path=xl/calcChain.xml><?xml version="1.0" encoding="utf-8"?>
<calcChain xmlns="http://schemas.openxmlformats.org/spreadsheetml/2006/main">
  <c r="B2" i="4" l="1"/>
  <c r="AG30" i="4" l="1"/>
  <c r="AE30" i="4"/>
  <c r="AC30" i="4"/>
  <c r="AA30" i="4"/>
  <c r="AF29" i="4"/>
  <c r="AD29" i="4"/>
  <c r="AB29" i="4"/>
  <c r="AG28" i="4"/>
  <c r="AE28" i="4"/>
  <c r="AC28" i="4"/>
  <c r="AA28" i="4"/>
  <c r="AF27" i="4"/>
  <c r="AD27" i="4"/>
  <c r="AB27" i="4"/>
  <c r="AG26" i="4"/>
  <c r="AE26" i="4"/>
  <c r="AC26" i="4"/>
  <c r="AA26" i="4"/>
  <c r="AF25" i="4"/>
  <c r="AD25" i="4"/>
  <c r="AB25" i="4"/>
  <c r="AF30" i="4"/>
  <c r="AD30" i="4"/>
  <c r="AB30" i="4"/>
  <c r="AG29" i="4"/>
  <c r="AE29" i="4"/>
  <c r="AC29" i="4"/>
  <c r="AA29" i="4"/>
  <c r="AF28" i="4"/>
  <c r="AD28" i="4"/>
  <c r="AB28" i="4"/>
  <c r="AG27" i="4"/>
  <c r="AE27" i="4"/>
  <c r="AC27" i="4"/>
  <c r="AA27" i="4"/>
  <c r="AF26" i="4"/>
  <c r="AD26" i="4"/>
  <c r="AB26" i="4"/>
  <c r="AG25" i="4"/>
  <c r="AE25" i="4"/>
  <c r="AC25" i="4"/>
  <c r="AA25" i="4"/>
  <c r="AG21" i="4"/>
  <c r="AE21" i="4"/>
  <c r="AC21" i="4"/>
  <c r="AA21" i="4"/>
  <c r="AF20" i="4"/>
  <c r="AD20" i="4"/>
  <c r="AB20" i="4"/>
  <c r="AG19" i="4"/>
  <c r="AE19" i="4"/>
  <c r="AC19" i="4"/>
  <c r="AA19" i="4"/>
  <c r="AF18" i="4"/>
  <c r="AD18" i="4"/>
  <c r="AB18" i="4"/>
  <c r="AG17" i="4"/>
  <c r="AE17" i="4"/>
  <c r="AC17" i="4"/>
  <c r="AA17" i="4"/>
  <c r="AF16" i="4"/>
  <c r="AD16" i="4"/>
  <c r="AB16" i="4"/>
  <c r="AF21" i="4"/>
  <c r="AD21" i="4"/>
  <c r="AB21" i="4"/>
  <c r="AG20" i="4"/>
  <c r="AE20" i="4"/>
  <c r="AC20" i="4"/>
  <c r="AA20" i="4"/>
  <c r="AF19" i="4"/>
  <c r="AD19" i="4"/>
  <c r="AB19" i="4"/>
  <c r="AG18" i="4"/>
  <c r="AE18" i="4"/>
  <c r="AC18" i="4"/>
  <c r="AA18" i="4"/>
  <c r="AF17" i="4"/>
  <c r="AD17" i="4"/>
  <c r="AB17" i="4"/>
  <c r="AG16" i="4"/>
  <c r="AE16" i="4"/>
  <c r="AC16" i="4"/>
  <c r="AA16" i="4"/>
  <c r="AG12" i="4"/>
  <c r="AE12" i="4"/>
  <c r="AC12" i="4"/>
  <c r="AA12" i="4"/>
  <c r="AF11" i="4"/>
  <c r="AD11" i="4"/>
  <c r="AB11" i="4"/>
  <c r="AG10" i="4"/>
  <c r="AE10" i="4"/>
  <c r="AC10" i="4"/>
  <c r="AA10" i="4"/>
  <c r="AF9" i="4"/>
  <c r="AD9" i="4"/>
  <c r="AB9" i="4"/>
  <c r="AG8" i="4"/>
  <c r="AE8" i="4"/>
  <c r="AC8" i="4"/>
  <c r="AA8" i="4"/>
  <c r="AF7" i="4"/>
  <c r="AD7" i="4"/>
  <c r="AB7" i="4"/>
  <c r="AF12" i="4"/>
  <c r="AD12" i="4"/>
  <c r="AB12" i="4"/>
  <c r="AG11" i="4"/>
  <c r="AE11" i="4"/>
  <c r="AC11" i="4"/>
  <c r="AA11" i="4"/>
  <c r="AF10" i="4"/>
  <c r="AD10" i="4"/>
  <c r="AB10" i="4"/>
  <c r="AG9" i="4"/>
  <c r="AE9" i="4"/>
  <c r="AC9" i="4"/>
  <c r="AA9" i="4"/>
  <c r="AF8" i="4"/>
  <c r="AD8" i="4"/>
  <c r="AB8" i="4"/>
  <c r="AG7" i="4"/>
  <c r="AE7" i="4"/>
  <c r="AC7" i="4"/>
  <c r="AA7" i="4"/>
  <c r="Y30" i="4"/>
  <c r="W30" i="4"/>
  <c r="U30" i="4"/>
  <c r="S30" i="4"/>
  <c r="X29" i="4"/>
  <c r="V29" i="4"/>
  <c r="T29" i="4"/>
  <c r="Y28" i="4"/>
  <c r="W28" i="4"/>
  <c r="U28" i="4"/>
  <c r="S28" i="4"/>
  <c r="X27" i="4"/>
  <c r="V27" i="4"/>
  <c r="T27" i="4"/>
  <c r="Y26" i="4"/>
  <c r="W26" i="4"/>
  <c r="U26" i="4"/>
  <c r="S26" i="4"/>
  <c r="X25" i="4"/>
  <c r="V25" i="4"/>
  <c r="T25" i="4"/>
  <c r="X30" i="4"/>
  <c r="V30" i="4"/>
  <c r="T30" i="4"/>
  <c r="Y29" i="4"/>
  <c r="W29" i="4"/>
  <c r="U29" i="4"/>
  <c r="S29" i="4"/>
  <c r="X28" i="4"/>
  <c r="V28" i="4"/>
  <c r="T28" i="4"/>
  <c r="Y27" i="4"/>
  <c r="W27" i="4"/>
  <c r="U27" i="4"/>
  <c r="S27" i="4"/>
  <c r="X26" i="4"/>
  <c r="V26" i="4"/>
  <c r="T26" i="4"/>
  <c r="Y25" i="4"/>
  <c r="W25" i="4"/>
  <c r="U25" i="4"/>
  <c r="S25" i="4"/>
  <c r="Y21" i="4"/>
  <c r="W21" i="4"/>
  <c r="U21" i="4"/>
  <c r="S21" i="4"/>
  <c r="X20" i="4"/>
  <c r="V20" i="4"/>
  <c r="T20" i="4"/>
  <c r="Y19" i="4"/>
  <c r="W19" i="4"/>
  <c r="U19" i="4"/>
  <c r="S19" i="4"/>
  <c r="X18" i="4"/>
  <c r="V18" i="4"/>
  <c r="T18" i="4"/>
  <c r="Y17" i="4"/>
  <c r="W17" i="4"/>
  <c r="U17" i="4"/>
  <c r="S17" i="4"/>
  <c r="X16" i="4"/>
  <c r="V16" i="4"/>
  <c r="T16" i="4"/>
  <c r="X21" i="4"/>
  <c r="V21" i="4"/>
  <c r="T21" i="4"/>
  <c r="Y20" i="4"/>
  <c r="W20" i="4"/>
  <c r="U20" i="4"/>
  <c r="S20" i="4"/>
  <c r="X19" i="4"/>
  <c r="V19" i="4"/>
  <c r="T19" i="4"/>
  <c r="Y18" i="4"/>
  <c r="W18" i="4"/>
  <c r="U18" i="4"/>
  <c r="S18" i="4"/>
  <c r="X17" i="4"/>
  <c r="V17" i="4"/>
  <c r="T17" i="4"/>
  <c r="Y16" i="4"/>
  <c r="W16" i="4"/>
  <c r="U16" i="4"/>
  <c r="S16" i="4"/>
  <c r="Y12" i="4"/>
  <c r="W12" i="4"/>
  <c r="U12" i="4"/>
  <c r="S12" i="4"/>
  <c r="X11" i="4"/>
  <c r="V11" i="4"/>
  <c r="T11" i="4"/>
  <c r="Y10" i="4"/>
  <c r="W10" i="4"/>
  <c r="U10" i="4"/>
  <c r="S10" i="4"/>
  <c r="X9" i="4"/>
  <c r="V9" i="4"/>
  <c r="T9" i="4"/>
  <c r="Y8" i="4"/>
  <c r="W8" i="4"/>
  <c r="U8" i="4"/>
  <c r="S8" i="4"/>
  <c r="X7" i="4"/>
  <c r="V7" i="4"/>
  <c r="T7" i="4"/>
  <c r="X12" i="4"/>
  <c r="V12" i="4"/>
  <c r="T12" i="4"/>
  <c r="Y11" i="4"/>
  <c r="W11" i="4"/>
  <c r="U11" i="4"/>
  <c r="S11" i="4"/>
  <c r="X10" i="4"/>
  <c r="V10" i="4"/>
  <c r="T10" i="4"/>
  <c r="Y9" i="4"/>
  <c r="W9" i="4"/>
  <c r="U9" i="4"/>
  <c r="S9" i="4"/>
  <c r="X8" i="4"/>
  <c r="V8" i="4"/>
  <c r="T8" i="4"/>
  <c r="Y7" i="4"/>
  <c r="W7" i="4"/>
  <c r="U7" i="4"/>
  <c r="S7" i="4"/>
  <c r="Q30" i="4"/>
  <c r="O30" i="4"/>
  <c r="M30" i="4"/>
  <c r="K30" i="4"/>
  <c r="P29" i="4"/>
  <c r="N29" i="4"/>
  <c r="L29" i="4"/>
  <c r="Q28" i="4"/>
  <c r="O28" i="4"/>
  <c r="M28" i="4"/>
  <c r="K28" i="4"/>
  <c r="P27" i="4"/>
  <c r="N27" i="4"/>
  <c r="L27" i="4"/>
  <c r="Q26" i="4"/>
  <c r="O26" i="4"/>
  <c r="M26" i="4"/>
  <c r="K26" i="4"/>
  <c r="P25" i="4"/>
  <c r="N25" i="4"/>
  <c r="L25" i="4"/>
  <c r="P30" i="4"/>
  <c r="N30" i="4"/>
  <c r="L30" i="4"/>
  <c r="Q29" i="4"/>
  <c r="O29" i="4"/>
  <c r="M29" i="4"/>
  <c r="K29" i="4"/>
  <c r="P28" i="4"/>
  <c r="N28" i="4"/>
  <c r="L28" i="4"/>
  <c r="Q27" i="4"/>
  <c r="O27" i="4"/>
  <c r="M27" i="4"/>
  <c r="K27" i="4"/>
  <c r="P26" i="4"/>
  <c r="N26" i="4"/>
  <c r="L26" i="4"/>
  <c r="Q25" i="4"/>
  <c r="O25" i="4"/>
  <c r="M25" i="4"/>
  <c r="K25" i="4"/>
  <c r="Q21" i="4"/>
  <c r="O21" i="4"/>
  <c r="M21" i="4"/>
  <c r="K21" i="4"/>
  <c r="P20" i="4"/>
  <c r="N20" i="4"/>
  <c r="L20" i="4"/>
  <c r="Q19" i="4"/>
  <c r="O19" i="4"/>
  <c r="M19" i="4"/>
  <c r="K19" i="4"/>
  <c r="P18" i="4"/>
  <c r="N18" i="4"/>
  <c r="L18" i="4"/>
  <c r="Q17" i="4"/>
  <c r="O17" i="4"/>
  <c r="M17" i="4"/>
  <c r="K17" i="4"/>
  <c r="P16" i="4"/>
  <c r="N16" i="4"/>
  <c r="L16" i="4"/>
  <c r="P21" i="4"/>
  <c r="N21" i="4"/>
  <c r="L21" i="4"/>
  <c r="Q20" i="4"/>
  <c r="O20" i="4"/>
  <c r="M20" i="4"/>
  <c r="K20" i="4"/>
  <c r="P19" i="4"/>
  <c r="N19" i="4"/>
  <c r="L19" i="4"/>
  <c r="Q18" i="4"/>
  <c r="O18" i="4"/>
  <c r="M18" i="4"/>
  <c r="K18" i="4"/>
  <c r="P17" i="4"/>
  <c r="N17" i="4"/>
  <c r="L17" i="4"/>
  <c r="Q16" i="4"/>
  <c r="O16" i="4"/>
  <c r="M16" i="4"/>
  <c r="K16" i="4"/>
  <c r="Q12" i="4"/>
  <c r="O12" i="4"/>
  <c r="M12" i="4"/>
  <c r="K12" i="4"/>
  <c r="P11" i="4"/>
  <c r="N11" i="4"/>
  <c r="L11" i="4"/>
  <c r="Q10" i="4"/>
  <c r="O10" i="4"/>
  <c r="M10" i="4"/>
  <c r="K10" i="4"/>
  <c r="P9" i="4"/>
  <c r="N9" i="4"/>
  <c r="L9" i="4"/>
  <c r="Q8" i="4"/>
  <c r="O8" i="4"/>
  <c r="M8" i="4"/>
  <c r="K8" i="4"/>
  <c r="P7" i="4"/>
  <c r="N7" i="4"/>
  <c r="L7" i="4"/>
  <c r="P12" i="4"/>
  <c r="N12" i="4"/>
  <c r="L12" i="4"/>
  <c r="Q11" i="4"/>
  <c r="O11" i="4"/>
  <c r="M11" i="4"/>
  <c r="K11" i="4"/>
  <c r="P10" i="4"/>
  <c r="N10" i="4"/>
  <c r="L10" i="4"/>
  <c r="Q9" i="4"/>
  <c r="O9" i="4"/>
  <c r="M9" i="4"/>
  <c r="K9" i="4"/>
  <c r="P8" i="4"/>
  <c r="N8" i="4"/>
  <c r="L8" i="4"/>
  <c r="Q7" i="4"/>
  <c r="O7" i="4"/>
  <c r="M7" i="4"/>
  <c r="K7" i="4"/>
  <c r="I30" i="4"/>
  <c r="G30" i="4"/>
  <c r="E30" i="4"/>
  <c r="C30" i="4"/>
  <c r="H29" i="4"/>
  <c r="F29" i="4"/>
  <c r="D29" i="4"/>
  <c r="I28" i="4"/>
  <c r="G28" i="4"/>
  <c r="E28" i="4"/>
  <c r="C28" i="4"/>
  <c r="H27" i="4"/>
  <c r="F27" i="4"/>
  <c r="D27" i="4"/>
  <c r="I26" i="4"/>
  <c r="G26" i="4"/>
  <c r="E26" i="4"/>
  <c r="C26" i="4"/>
  <c r="H25" i="4"/>
  <c r="F25" i="4"/>
  <c r="D25" i="4"/>
  <c r="H30" i="4"/>
  <c r="F30" i="4"/>
  <c r="D30" i="4"/>
  <c r="I29" i="4"/>
  <c r="G29" i="4"/>
  <c r="E29" i="4"/>
  <c r="C29" i="4"/>
  <c r="H28" i="4"/>
  <c r="F28" i="4"/>
  <c r="D28" i="4"/>
  <c r="I27" i="4"/>
  <c r="G27" i="4"/>
  <c r="E27" i="4"/>
  <c r="C27" i="4"/>
  <c r="H26" i="4"/>
  <c r="F26" i="4"/>
  <c r="D26" i="4"/>
  <c r="I25" i="4"/>
  <c r="G25" i="4"/>
  <c r="E25" i="4"/>
  <c r="C25" i="4"/>
  <c r="I21" i="4"/>
  <c r="G21" i="4"/>
  <c r="E21" i="4"/>
  <c r="C21" i="4"/>
  <c r="H20" i="4"/>
  <c r="F20" i="4"/>
  <c r="D20" i="4"/>
  <c r="I19" i="4"/>
  <c r="G19" i="4"/>
  <c r="E19" i="4"/>
  <c r="C19" i="4"/>
  <c r="H18" i="4"/>
  <c r="F18" i="4"/>
  <c r="D18" i="4"/>
  <c r="I17" i="4"/>
  <c r="G17" i="4"/>
  <c r="E17" i="4"/>
  <c r="C17" i="4"/>
  <c r="H16" i="4"/>
  <c r="F16" i="4"/>
  <c r="D16" i="4"/>
  <c r="H21" i="4"/>
  <c r="F21" i="4"/>
  <c r="D21" i="4"/>
  <c r="I20" i="4"/>
  <c r="G20" i="4"/>
  <c r="E20" i="4"/>
  <c r="C20" i="4"/>
  <c r="H19" i="4"/>
  <c r="F19" i="4"/>
  <c r="D19" i="4"/>
  <c r="I18" i="4"/>
  <c r="G18" i="4"/>
  <c r="E18" i="4"/>
  <c r="C18" i="4"/>
  <c r="H17" i="4"/>
  <c r="F17" i="4"/>
  <c r="D17" i="4"/>
  <c r="I16" i="4"/>
  <c r="G16" i="4"/>
  <c r="E16" i="4"/>
  <c r="C16" i="4"/>
  <c r="I12" i="4"/>
  <c r="G12" i="4"/>
  <c r="E12" i="4"/>
  <c r="C12" i="4"/>
  <c r="H11" i="4"/>
  <c r="F11" i="4"/>
  <c r="D11" i="4"/>
  <c r="I10" i="4"/>
  <c r="G10" i="4"/>
  <c r="E10" i="4"/>
  <c r="C10" i="4"/>
  <c r="H9" i="4"/>
  <c r="F9" i="4"/>
  <c r="D9" i="4"/>
  <c r="I8" i="4"/>
  <c r="G8" i="4"/>
  <c r="E8" i="4"/>
  <c r="C8" i="4"/>
  <c r="H7" i="4"/>
  <c r="F7" i="4"/>
  <c r="D7" i="4"/>
  <c r="H12" i="4"/>
  <c r="F12" i="4"/>
  <c r="D12" i="4"/>
  <c r="I11" i="4"/>
  <c r="G11" i="4"/>
  <c r="E11" i="4"/>
  <c r="C11" i="4"/>
  <c r="H10" i="4"/>
  <c r="F10" i="4"/>
  <c r="D10" i="4"/>
  <c r="I9" i="4"/>
  <c r="G9" i="4"/>
  <c r="E9" i="4"/>
  <c r="C9" i="4"/>
  <c r="H8" i="4"/>
  <c r="F8" i="4"/>
  <c r="D8" i="4"/>
  <c r="I7" i="4"/>
  <c r="G7" i="4"/>
  <c r="E7" i="4"/>
  <c r="C7" i="4"/>
</calcChain>
</file>

<file path=xl/sharedStrings.xml><?xml version="1.0" encoding="utf-8"?>
<sst xmlns="http://schemas.openxmlformats.org/spreadsheetml/2006/main" count="97" uniqueCount="19">
  <si>
    <t>Tammikuu</t>
  </si>
  <si>
    <t>M</t>
  </si>
  <si>
    <t>Helmikuu</t>
  </si>
  <si>
    <t>Maaliskuu</t>
  </si>
  <si>
    <t>T</t>
  </si>
  <si>
    <t>K</t>
  </si>
  <si>
    <t>P</t>
  </si>
  <si>
    <t>L</t>
  </si>
  <si>
    <t>Valitse haluamasi vuosi liukusäätimellä</t>
  </si>
  <si>
    <t>S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</si>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</sst>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color theme="0"/>
      <name val="Arial"/>
      <family val="2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</cellXfs>
  <cellStyles count="1">
    <cellStyle name="Normaali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Vierityspalkki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topLeftCell="A4" zoomScaleNormal="100" workbookViewId="0"/>
  </sheetViews>
  <sheetFormatPr defaultRowHeight="12.75" x14ac:dyDescent="0.2"/>
  <cols>
    <col min="1" max="5" width="3.28515625" style="1" customWidth="1"/>
    <col min="6" max="6" width="3.42578125" style="1" customWidth="1"/>
    <col min="7" max="9" width="3" style="1" bestFit="1" customWidth="1"/>
    <col min="10" max="10" width="3" style="1" customWidth="1"/>
    <col min="11" max="17" width="3" style="1" bestFit="1" customWidth="1"/>
    <col min="18" max="18" width="3.140625" style="1" customWidth="1"/>
    <col min="19" max="25" width="3" style="1" bestFit="1" customWidth="1"/>
    <col min="26" max="26" width="2.7109375" style="1" customWidth="1"/>
    <col min="27" max="33" width="3" style="1" bestFit="1" customWidth="1"/>
    <col min="34" max="35" width="3.28515625" style="1" customWidth="1"/>
    <col min="36" max="16384" width="9.140625" style="1"/>
  </cols>
  <sheetData>
    <row r="1" spans="2:34" ht="24" customHeight="1" x14ac:dyDescent="0.2">
      <c r="I1" s="2" t="s">
        <v>8</v>
      </c>
    </row>
    <row r="2" spans="2:34" ht="27" customHeight="1" x14ac:dyDescent="0.2">
      <c r="B2" s="18">
        <f ca="1">YEAR(TODAY())</f>
        <v>2018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4" ht="9" customHeight="1" thickBo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14.25" customHeight="1" thickTop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2:34" x14ac:dyDescent="0.2">
      <c r="B5" s="6"/>
      <c r="C5" s="20" t="s">
        <v>0</v>
      </c>
      <c r="D5" s="20"/>
      <c r="E5" s="20"/>
      <c r="F5" s="20"/>
      <c r="G5" s="20"/>
      <c r="H5" s="20"/>
      <c r="I5" s="20"/>
      <c r="J5" s="7"/>
      <c r="K5" s="20" t="s">
        <v>10</v>
      </c>
      <c r="L5" s="20"/>
      <c r="M5" s="20"/>
      <c r="N5" s="20"/>
      <c r="O5" s="20"/>
      <c r="P5" s="20"/>
      <c r="Q5" s="20"/>
      <c r="R5" s="7"/>
      <c r="S5" s="20" t="s">
        <v>13</v>
      </c>
      <c r="T5" s="20"/>
      <c r="U5" s="20"/>
      <c r="V5" s="20"/>
      <c r="W5" s="20"/>
      <c r="X5" s="20"/>
      <c r="Y5" s="20"/>
      <c r="Z5" s="7"/>
      <c r="AA5" s="20" t="s">
        <v>16</v>
      </c>
      <c r="AB5" s="20"/>
      <c r="AC5" s="20"/>
      <c r="AD5" s="20"/>
      <c r="AE5" s="20"/>
      <c r="AF5" s="20"/>
      <c r="AG5" s="20"/>
      <c r="AH5" s="8"/>
    </row>
    <row r="6" spans="2:34" x14ac:dyDescent="0.2">
      <c r="B6" s="6"/>
      <c r="C6" s="9" t="s">
        <v>1</v>
      </c>
      <c r="D6" s="9" t="s">
        <v>4</v>
      </c>
      <c r="E6" s="9" t="s">
        <v>5</v>
      </c>
      <c r="F6" s="9" t="s">
        <v>4</v>
      </c>
      <c r="G6" s="9" t="s">
        <v>6</v>
      </c>
      <c r="H6" s="10" t="s">
        <v>7</v>
      </c>
      <c r="I6" s="10" t="s">
        <v>9</v>
      </c>
      <c r="J6" s="7"/>
      <c r="K6" s="9" t="s">
        <v>1</v>
      </c>
      <c r="L6" s="9" t="s">
        <v>4</v>
      </c>
      <c r="M6" s="9" t="s">
        <v>5</v>
      </c>
      <c r="N6" s="9" t="s">
        <v>4</v>
      </c>
      <c r="O6" s="9" t="s">
        <v>6</v>
      </c>
      <c r="P6" s="10" t="s">
        <v>7</v>
      </c>
      <c r="Q6" s="10" t="s">
        <v>9</v>
      </c>
      <c r="R6" s="7"/>
      <c r="S6" s="9" t="s">
        <v>1</v>
      </c>
      <c r="T6" s="9" t="s">
        <v>4</v>
      </c>
      <c r="U6" s="9" t="s">
        <v>5</v>
      </c>
      <c r="V6" s="9" t="s">
        <v>4</v>
      </c>
      <c r="W6" s="9" t="s">
        <v>6</v>
      </c>
      <c r="X6" s="10" t="s">
        <v>7</v>
      </c>
      <c r="Y6" s="10" t="s">
        <v>9</v>
      </c>
      <c r="Z6" s="7"/>
      <c r="AA6" s="9" t="s">
        <v>1</v>
      </c>
      <c r="AB6" s="9" t="s">
        <v>4</v>
      </c>
      <c r="AC6" s="9" t="s">
        <v>5</v>
      </c>
      <c r="AD6" s="9" t="s">
        <v>4</v>
      </c>
      <c r="AE6" s="9" t="s">
        <v>6</v>
      </c>
      <c r="AF6" s="10" t="s">
        <v>7</v>
      </c>
      <c r="AG6" s="10" t="s">
        <v>9</v>
      </c>
      <c r="AH6" s="8"/>
    </row>
    <row r="7" spans="2:34" x14ac:dyDescent="0.2">
      <c r="B7" s="6"/>
      <c r="C7" s="11">
        <f ca="1">IF(AND(YEAR(tammisu1)=Vuosi,MONTH(tammisu1)=1),tammisu1, "")</f>
        <v>43101</v>
      </c>
      <c r="D7" s="11">
        <f ca="1">IF(AND(YEAR(tammisu1+1)=Vuosi,MONTH(tammisu1+1)=1),tammisu1+1, "")</f>
        <v>43102</v>
      </c>
      <c r="E7" s="11">
        <f ca="1">IF(AND(YEAR(tammisu1+2)=Vuosi,MONTH(tammisu1+2)=1),tammisu1+2, "")</f>
        <v>43103</v>
      </c>
      <c r="F7" s="11">
        <f ca="1">IF(AND(YEAR(tammisu1+3)=Vuosi,MONTH(tammisu1+3)=1),tammisu1+3, "")</f>
        <v>43104</v>
      </c>
      <c r="G7" s="11">
        <f ca="1">IF(AND(YEAR(tammisu1+4)=Vuosi,MONTH(tammisu1+4)=1),tammisu1+4, "")</f>
        <v>43105</v>
      </c>
      <c r="H7" s="11">
        <f ca="1">IF(AND(YEAR(tammisu1+5)=Vuosi,MONTH(tammisu1+5)=1),tammisu1+5, "")</f>
        <v>43106</v>
      </c>
      <c r="I7" s="11">
        <f ca="1">IF(AND(YEAR(tammisu1+6)=Vuosi,MONTH(tammisu1+6)=1),tammisu1+6, "")</f>
        <v>43107</v>
      </c>
      <c r="J7" s="7"/>
      <c r="K7" s="11" t="str">
        <f ca="1">IF(AND(YEAR(huhtisu1)=Vuosi,MONTH(huhtisu1)=4),huhtisu1, "")</f>
        <v/>
      </c>
      <c r="L7" s="11" t="str">
        <f ca="1">IF(AND(YEAR(huhtisu1+1)=Vuosi,MONTH(huhtisu1+1)=4),huhtisu1+1, "")</f>
        <v/>
      </c>
      <c r="M7" s="11" t="str">
        <f ca="1">IF(AND(YEAR(huhtisu1+2)=Vuosi,MONTH(huhtisu1+2)=4),huhtisu1+2, "")</f>
        <v/>
      </c>
      <c r="N7" s="11" t="str">
        <f ca="1">IF(AND(YEAR(huhtisu1+3)=Vuosi,MONTH(huhtisu1+3)=4),huhtisu1+3, "")</f>
        <v/>
      </c>
      <c r="O7" s="11" t="str">
        <f ca="1">IF(AND(YEAR(huhtisu1+4)=Vuosi,MONTH(huhtisu1+4)=4),huhtisu1+4, "")</f>
        <v/>
      </c>
      <c r="P7" s="11" t="str">
        <f ca="1">IF(AND(YEAR(huhtisu1+5)=Vuosi,MONTH(huhtisu1+5)=4),huhtisu1+5, "")</f>
        <v/>
      </c>
      <c r="Q7" s="11">
        <f ca="1">IF(AND(YEAR(huhtisu1+6)=Vuosi,MONTH(huhtisu1+6)=4),huhtisu1+6, "")</f>
        <v>43191</v>
      </c>
      <c r="R7" s="7"/>
      <c r="S7" s="11" t="str">
        <f ca="1">IF(AND(YEAR(heinäsu1)=Vuosi,MONTH(heinäsu1)=7),heinäsu1, "")</f>
        <v/>
      </c>
      <c r="T7" s="11" t="str">
        <f ca="1">IF(AND(YEAR(heinäsu1+1)=Vuosi,MONTH(heinäsu1+1)=7),heinäsu1+1, "")</f>
        <v/>
      </c>
      <c r="U7" s="11" t="str">
        <f ca="1">IF(AND(YEAR(heinäsu1+2)=Vuosi,MONTH(heinäsu1+2)=7),heinäsu1+2, "")</f>
        <v/>
      </c>
      <c r="V7" s="11" t="str">
        <f ca="1">IF(AND(YEAR(heinäsu1+3)=Vuosi,MONTH(heinäsu1+3)=7),heinäsu1+3, "")</f>
        <v/>
      </c>
      <c r="W7" s="11" t="str">
        <f ca="1">IF(AND(YEAR(heinäsu1+4)=Vuosi,MONTH(heinäsu1+4)=7),heinäsu1+4, "")</f>
        <v/>
      </c>
      <c r="X7" s="11" t="str">
        <f ca="1">IF(AND(YEAR(heinäsu1+5)=Vuosi,MONTH(heinäsu1+5)=7),heinäsu1+5, "")</f>
        <v/>
      </c>
      <c r="Y7" s="11">
        <f ca="1">IF(AND(YEAR(heinäsu1+6)=Vuosi,MONTH(heinäsu1+6)=7),heinäsu1+6, "")</f>
        <v>43282</v>
      </c>
      <c r="Z7" s="7"/>
      <c r="AA7" s="11">
        <f ca="1">IF(AND(YEAR(lokasu1)=Vuosi,MONTH(lokasu1)=10),lokasu1, "")</f>
        <v>43374</v>
      </c>
      <c r="AB7" s="11">
        <f ca="1">IF(AND(YEAR(lokasu1+1)=Vuosi,MONTH(lokasu1+1)=10),lokasu1+1, "")</f>
        <v>43375</v>
      </c>
      <c r="AC7" s="11">
        <f ca="1">IF(AND(YEAR(lokasu1+2)=Vuosi,MONTH(lokasu1+2)=10),lokasu1+2, "")</f>
        <v>43376</v>
      </c>
      <c r="AD7" s="11">
        <f ca="1">IF(AND(YEAR(lokasu1+3)=Vuosi,MONTH(lokasu1+3)=10),lokasu1+3, "")</f>
        <v>43377</v>
      </c>
      <c r="AE7" s="11">
        <f ca="1">IF(AND(YEAR(lokasu1+4)=Vuosi,MONTH(lokasu1+4)=10),lokasu1+4, "")</f>
        <v>43378</v>
      </c>
      <c r="AF7" s="11">
        <f ca="1">IF(AND(YEAR(lokasu1+5)=Vuosi,MONTH(lokasu1+5)=10),lokasu1+5, "")</f>
        <v>43379</v>
      </c>
      <c r="AG7" s="11">
        <f ca="1">IF(AND(YEAR(lokasu1+6)=Vuosi,MONTH(lokasu1+6)=10),lokasu1+6, "")</f>
        <v>43380</v>
      </c>
      <c r="AH7" s="8"/>
    </row>
    <row r="8" spans="2:34" x14ac:dyDescent="0.2">
      <c r="B8" s="6"/>
      <c r="C8" s="12">
        <f ca="1">IF(AND(YEAR(tammisu1+7)=Vuosi,MONTH(tammisu1+7)=1),tammisu1+7, "")</f>
        <v>43108</v>
      </c>
      <c r="D8" s="12">
        <f ca="1">IF(AND(YEAR(tammisu1+8)=Vuosi,MONTH(tammisu1+8)=1),tammisu1+8, "")</f>
        <v>43109</v>
      </c>
      <c r="E8" s="12">
        <f ca="1">IF(AND(YEAR(tammisu1+9)=Vuosi,MONTH(tammisu1+9)=1),tammisu1+9, "")</f>
        <v>43110</v>
      </c>
      <c r="F8" s="12">
        <f ca="1">IF(AND(YEAR(tammisu1+10)=Vuosi,MONTH(tammisu1+10)=1),tammisu1+10, "")</f>
        <v>43111</v>
      </c>
      <c r="G8" s="12">
        <f ca="1">IF(AND(YEAR(tammisu1+11)=Vuosi,MONTH(tammisu1+11)=1),tammisu1+11, "")</f>
        <v>43112</v>
      </c>
      <c r="H8" s="12">
        <f ca="1">IF(AND(YEAR(tammisu1+12)=Vuosi,MONTH(tammisu1+12)=1),tammisu1+12, "")</f>
        <v>43113</v>
      </c>
      <c r="I8" s="12">
        <f ca="1">IF(AND(YEAR(tammisu1+13)=Vuosi,MONTH(tammisu1+13)=1),tammisu1+13, "")</f>
        <v>43114</v>
      </c>
      <c r="J8" s="7"/>
      <c r="K8" s="12">
        <f ca="1">IF(AND(YEAR(huhtisu1+7)=Vuosi,MONTH(huhtisu1+7)=4),huhtisu1+7, "")</f>
        <v>43192</v>
      </c>
      <c r="L8" s="12">
        <f ca="1">IF(AND(YEAR(huhtisu1+8)=Vuosi,MONTH(huhtisu1+8)=4),huhtisu1+8, "")</f>
        <v>43193</v>
      </c>
      <c r="M8" s="12">
        <f ca="1">IF(AND(YEAR(huhtisu1+9)=Vuosi,MONTH(huhtisu1+9)=4),huhtisu1+9, "")</f>
        <v>43194</v>
      </c>
      <c r="N8" s="12">
        <f ca="1">IF(AND(YEAR(huhtisu1+10)=Vuosi,MONTH(huhtisu1+10)=4),huhtisu1+10, "")</f>
        <v>43195</v>
      </c>
      <c r="O8" s="12">
        <f ca="1">IF(AND(YEAR(huhtisu1+11)=Vuosi,MONTH(huhtisu1+11)=4),huhtisu1+11, "")</f>
        <v>43196</v>
      </c>
      <c r="P8" s="12">
        <f ca="1">IF(AND(YEAR(huhtisu1+12)=Vuosi,MONTH(huhtisu1+12)=4),huhtisu1+12, "")</f>
        <v>43197</v>
      </c>
      <c r="Q8" s="12">
        <f ca="1">IF(AND(YEAR(huhtisu1+13)=Vuosi,MONTH(huhtisu1+13)=4),huhtisu1+13, "")</f>
        <v>43198</v>
      </c>
      <c r="R8" s="7"/>
      <c r="S8" s="12">
        <f ca="1">IF(AND(YEAR(heinäsu1+7)=Vuosi,MONTH(heinäsu1+7)=7),heinäsu1+7, "")</f>
        <v>43283</v>
      </c>
      <c r="T8" s="12">
        <f ca="1">IF(AND(YEAR(heinäsu1+8)=Vuosi,MONTH(heinäsu1+8)=7),heinäsu1+8, "")</f>
        <v>43284</v>
      </c>
      <c r="U8" s="12">
        <f ca="1">IF(AND(YEAR(heinäsu1+9)=Vuosi,MONTH(heinäsu1+9)=7),heinäsu1+9, "")</f>
        <v>43285</v>
      </c>
      <c r="V8" s="12">
        <f ca="1">IF(AND(YEAR(heinäsu1+10)=Vuosi,MONTH(heinäsu1+10)=7),heinäsu1+10, "")</f>
        <v>43286</v>
      </c>
      <c r="W8" s="12">
        <f ca="1">IF(AND(YEAR(heinäsu1+11)=Vuosi,MONTH(heinäsu1+11)=7),heinäsu1+11, "")</f>
        <v>43287</v>
      </c>
      <c r="X8" s="12">
        <f ca="1">IF(AND(YEAR(heinäsu1+12)=Vuosi,MONTH(heinäsu1+12)=7),heinäsu1+12, "")</f>
        <v>43288</v>
      </c>
      <c r="Y8" s="12">
        <f ca="1">IF(AND(YEAR(heinäsu1+13)=Vuosi,MONTH(heinäsu1+13)=7),heinäsu1+13, "")</f>
        <v>43289</v>
      </c>
      <c r="Z8" s="7"/>
      <c r="AA8" s="12">
        <f ca="1">IF(AND(YEAR(lokasu1+7)=Vuosi,MONTH(lokasu1+7)=10),lokasu1+7, "")</f>
        <v>43381</v>
      </c>
      <c r="AB8" s="12">
        <f ca="1">IF(AND(YEAR(lokasu1+8)=Vuosi,MONTH(lokasu1+8)=10),lokasu1+8, "")</f>
        <v>43382</v>
      </c>
      <c r="AC8" s="12">
        <f ca="1">IF(AND(YEAR(lokasu1+9)=Vuosi,MONTH(lokasu1+9)=10),lokasu1+9, "")</f>
        <v>43383</v>
      </c>
      <c r="AD8" s="12">
        <f ca="1">IF(AND(YEAR(lokasu1+10)=Vuosi,MONTH(lokasu1+10)=10),lokasu1+10, "")</f>
        <v>43384</v>
      </c>
      <c r="AE8" s="12">
        <f ca="1">IF(AND(YEAR(lokasu1+11)=Vuosi,MONTH(lokasu1+11)=10),lokasu1+11, "")</f>
        <v>43385</v>
      </c>
      <c r="AF8" s="12">
        <f ca="1">IF(AND(YEAR(lokasu1+12)=Vuosi,MONTH(lokasu1+12)=10),lokasu1+12, "")</f>
        <v>43386</v>
      </c>
      <c r="AG8" s="12">
        <f ca="1">IF(AND(YEAR(lokasu1+13)=Vuosi,MONTH(lokasu1+13)=10),lokasu1+13, "")</f>
        <v>43387</v>
      </c>
      <c r="AH8" s="8"/>
    </row>
    <row r="9" spans="2:34" x14ac:dyDescent="0.2">
      <c r="B9" s="6"/>
      <c r="C9" s="12">
        <f ca="1">IF(AND(YEAR(tammisu1+14)=Vuosi,MONTH(tammisu1+14)=1),tammisu1+14, "")</f>
        <v>43115</v>
      </c>
      <c r="D9" s="12">
        <f ca="1">IF(AND(YEAR(tammisu1+15)=Vuosi,MONTH(tammisu1+15)=1),tammisu1+15, "")</f>
        <v>43116</v>
      </c>
      <c r="E9" s="12">
        <f ca="1">IF(AND(YEAR(tammisu1+16)=Vuosi,MONTH(tammisu1+16)=1),tammisu1+16, "")</f>
        <v>43117</v>
      </c>
      <c r="F9" s="12">
        <f ca="1">IF(AND(YEAR(tammisu1+17)=Vuosi,MONTH(tammisu1+17)=1),tammisu1+17, "")</f>
        <v>43118</v>
      </c>
      <c r="G9" s="12">
        <f ca="1">IF(AND(YEAR(tammisu1+18)=Vuosi,MONTH(tammisu1+18)=1),tammisu1+18, "")</f>
        <v>43119</v>
      </c>
      <c r="H9" s="12">
        <f ca="1">IF(AND(YEAR(tammisu1+19)=Vuosi,MONTH(tammisu1+19)=1),tammisu1+19, "")</f>
        <v>43120</v>
      </c>
      <c r="I9" s="12">
        <f ca="1">IF(AND(YEAR(tammisu1+20)=Vuosi,MONTH(tammisu1+20)=1),tammisu1+20, "")</f>
        <v>43121</v>
      </c>
      <c r="J9" s="7"/>
      <c r="K9" s="12">
        <f ca="1">IF(AND(YEAR(huhtisu1+14)=Vuosi,MONTH(huhtisu1+14)=4),huhtisu1+14, "")</f>
        <v>43199</v>
      </c>
      <c r="L9" s="12">
        <f ca="1">IF(AND(YEAR(huhtisu1+15)=Vuosi,MONTH(huhtisu1+15)=4),huhtisu1+15, "")</f>
        <v>43200</v>
      </c>
      <c r="M9" s="12">
        <f ca="1">IF(AND(YEAR(huhtisu1+16)=Vuosi,MONTH(huhtisu1+16)=4),huhtisu1+16, "")</f>
        <v>43201</v>
      </c>
      <c r="N9" s="12">
        <f ca="1">IF(AND(YEAR(huhtisu1+17)=Vuosi,MONTH(huhtisu1+17)=4),huhtisu1+17, "")</f>
        <v>43202</v>
      </c>
      <c r="O9" s="12">
        <f ca="1">IF(AND(YEAR(huhtisu1+18)=Vuosi,MONTH(huhtisu1+18)=4),huhtisu1+18, "")</f>
        <v>43203</v>
      </c>
      <c r="P9" s="12">
        <f ca="1">IF(AND(YEAR(huhtisu1+19)=Vuosi,MONTH(huhtisu1+19)=4),huhtisu1+19, "")</f>
        <v>43204</v>
      </c>
      <c r="Q9" s="12">
        <f ca="1">IF(AND(YEAR(huhtisu1+20)=Vuosi,MONTH(huhtisu1+20)=4),huhtisu1+20, "")</f>
        <v>43205</v>
      </c>
      <c r="R9" s="7"/>
      <c r="S9" s="12">
        <f ca="1">IF(AND(YEAR(heinäsu1+14)=Vuosi,MONTH(heinäsu1+14)=7),heinäsu1+14, "")</f>
        <v>43290</v>
      </c>
      <c r="T9" s="12">
        <f ca="1">IF(AND(YEAR(heinäsu1+15)=Vuosi,MONTH(heinäsu1+15)=7),heinäsu1+15, "")</f>
        <v>43291</v>
      </c>
      <c r="U9" s="12">
        <f ca="1">IF(AND(YEAR(heinäsu1+16)=Vuosi,MONTH(heinäsu1+16)=7),heinäsu1+16, "")</f>
        <v>43292</v>
      </c>
      <c r="V9" s="12">
        <f ca="1">IF(AND(YEAR(heinäsu1+17)=Vuosi,MONTH(heinäsu1+17)=7),heinäsu1+17, "")</f>
        <v>43293</v>
      </c>
      <c r="W9" s="12">
        <f ca="1">IF(AND(YEAR(heinäsu1+18)=Vuosi,MONTH(heinäsu1+18)=7),heinäsu1+18, "")</f>
        <v>43294</v>
      </c>
      <c r="X9" s="12">
        <f ca="1">IF(AND(YEAR(heinäsu1+19)=Vuosi,MONTH(heinäsu1+19)=7),heinäsu1+19, "")</f>
        <v>43295</v>
      </c>
      <c r="Y9" s="12">
        <f ca="1">IF(AND(YEAR(heinäsu1+20)=Vuosi,MONTH(heinäsu1+20)=7),heinäsu1+20, "")</f>
        <v>43296</v>
      </c>
      <c r="Z9" s="7"/>
      <c r="AA9" s="12">
        <f ca="1">IF(AND(YEAR(lokasu1+14)=Vuosi,MONTH(lokasu1+14)=10),lokasu1+14, "")</f>
        <v>43388</v>
      </c>
      <c r="AB9" s="12">
        <f ca="1">IF(AND(YEAR(lokasu1+15)=Vuosi,MONTH(lokasu1+15)=10),lokasu1+15, "")</f>
        <v>43389</v>
      </c>
      <c r="AC9" s="12">
        <f ca="1">IF(AND(YEAR(lokasu1+16)=Vuosi,MONTH(lokasu1+16)=10),lokasu1+16, "")</f>
        <v>43390</v>
      </c>
      <c r="AD9" s="12">
        <f ca="1">IF(AND(YEAR(lokasu1+17)=Vuosi,MONTH(lokasu1+17)=10),lokasu1+17, "")</f>
        <v>43391</v>
      </c>
      <c r="AE9" s="12">
        <f ca="1">IF(AND(YEAR(lokasu1+18)=Vuosi,MONTH(lokasu1+18)=10),lokasu1+18, "")</f>
        <v>43392</v>
      </c>
      <c r="AF9" s="12">
        <f ca="1">IF(AND(YEAR(lokasu1+19)=Vuosi,MONTH(lokasu1+19)=10),lokasu1+19, "")</f>
        <v>43393</v>
      </c>
      <c r="AG9" s="12">
        <f ca="1">IF(AND(YEAR(lokasu1+20)=Vuosi,MONTH(lokasu1+20)=10),lokasu1+20, "")</f>
        <v>43394</v>
      </c>
      <c r="AH9" s="8"/>
    </row>
    <row r="10" spans="2:34" x14ac:dyDescent="0.2">
      <c r="B10" s="6"/>
      <c r="C10" s="12">
        <f ca="1">IF(AND(YEAR(tammisu1+21)=Vuosi,MONTH(tammisu1+21)=1),tammisu1+21, "")</f>
        <v>43122</v>
      </c>
      <c r="D10" s="12">
        <f ca="1">IF(AND(YEAR(tammisu1+22)=Vuosi,MONTH(tammisu1+22)=1),tammisu1+22, "")</f>
        <v>43123</v>
      </c>
      <c r="E10" s="12">
        <f ca="1">IF(AND(YEAR(tammisu1+23)=Vuosi,MONTH(tammisu1+23)=1),tammisu1+23, "")</f>
        <v>43124</v>
      </c>
      <c r="F10" s="12">
        <f ca="1">IF(AND(YEAR(tammisu1+24)=Vuosi,MONTH(tammisu1+24)=1),tammisu1+24, "")</f>
        <v>43125</v>
      </c>
      <c r="G10" s="12">
        <f ca="1">IF(AND(YEAR(tammisu1+25)=Vuosi,MONTH(tammisu1+25)=1),tammisu1+25, "")</f>
        <v>43126</v>
      </c>
      <c r="H10" s="12">
        <f ca="1">IF(AND(YEAR(tammisu1+26)=Vuosi,MONTH(tammisu1+26)=1),tammisu1+26, "")</f>
        <v>43127</v>
      </c>
      <c r="I10" s="12">
        <f ca="1">IF(AND(YEAR(tammisu1+27)=Vuosi,MONTH(tammisu1+27)=1),tammisu1+27, "")</f>
        <v>43128</v>
      </c>
      <c r="J10" s="7"/>
      <c r="K10" s="12">
        <f ca="1">IF(AND(YEAR(huhtisu1+21)=Vuosi,MONTH(huhtisu1+21)=4),huhtisu1+21, "")</f>
        <v>43206</v>
      </c>
      <c r="L10" s="12">
        <f ca="1">IF(AND(YEAR(huhtisu1+22)=Vuosi,MONTH(huhtisu1+22)=4),huhtisu1+22, "")</f>
        <v>43207</v>
      </c>
      <c r="M10" s="12">
        <f ca="1">IF(AND(YEAR(huhtisu1+23)=Vuosi,MONTH(huhtisu1+23)=4),huhtisu1+23, "")</f>
        <v>43208</v>
      </c>
      <c r="N10" s="12">
        <f ca="1">IF(AND(YEAR(huhtisu1+24)=Vuosi,MONTH(huhtisu1+24)=4),huhtisu1+24, "")</f>
        <v>43209</v>
      </c>
      <c r="O10" s="12">
        <f ca="1">IF(AND(YEAR(huhtisu1+25)=Vuosi,MONTH(huhtisu1+25)=4),huhtisu1+25, "")</f>
        <v>43210</v>
      </c>
      <c r="P10" s="12">
        <f ca="1">IF(AND(YEAR(huhtisu1+26)=Vuosi,MONTH(huhtisu1+26)=4),huhtisu1+26, "")</f>
        <v>43211</v>
      </c>
      <c r="Q10" s="12">
        <f ca="1">IF(AND(YEAR(huhtisu1+27)=Vuosi,MONTH(huhtisu1+27)=4),huhtisu1+27, "")</f>
        <v>43212</v>
      </c>
      <c r="R10" s="7"/>
      <c r="S10" s="12">
        <f ca="1">IF(AND(YEAR(heinäsu1+21)=Vuosi,MONTH(heinäsu1+21)=7),heinäsu1+21, "")</f>
        <v>43297</v>
      </c>
      <c r="T10" s="12">
        <f ca="1">IF(AND(YEAR(heinäsu1+22)=Vuosi,MONTH(heinäsu1+22)=7),heinäsu1+22, "")</f>
        <v>43298</v>
      </c>
      <c r="U10" s="12">
        <f ca="1">IF(AND(YEAR(heinäsu1+23)=Vuosi,MONTH(heinäsu1+23)=7),heinäsu1+23, "")</f>
        <v>43299</v>
      </c>
      <c r="V10" s="12">
        <f ca="1">IF(AND(YEAR(heinäsu1+24)=Vuosi,MONTH(heinäsu1+24)=7),heinäsu1+24, "")</f>
        <v>43300</v>
      </c>
      <c r="W10" s="12">
        <f ca="1">IF(AND(YEAR(heinäsu1+25)=Vuosi,MONTH(heinäsu1+25)=7),heinäsu1+25, "")</f>
        <v>43301</v>
      </c>
      <c r="X10" s="12">
        <f ca="1">IF(AND(YEAR(heinäsu1+26)=Vuosi,MONTH(heinäsu1+26)=7),heinäsu1+26, "")</f>
        <v>43302</v>
      </c>
      <c r="Y10" s="12">
        <f ca="1">IF(AND(YEAR(heinäsu1+27)=Vuosi,MONTH(heinäsu1+27)=7),heinäsu1+27, "")</f>
        <v>43303</v>
      </c>
      <c r="Z10" s="7"/>
      <c r="AA10" s="12">
        <f ca="1">IF(AND(YEAR(lokasu1+21)=Vuosi,MONTH(lokasu1+21)=10),lokasu1+21, "")</f>
        <v>43395</v>
      </c>
      <c r="AB10" s="12">
        <f ca="1">IF(AND(YEAR(lokasu1+22)=Vuosi,MONTH(lokasu1+22)=10),lokasu1+22, "")</f>
        <v>43396</v>
      </c>
      <c r="AC10" s="12">
        <f ca="1">IF(AND(YEAR(lokasu1+23)=Vuosi,MONTH(lokasu1+23)=10),lokasu1+23, "")</f>
        <v>43397</v>
      </c>
      <c r="AD10" s="12">
        <f ca="1">IF(AND(YEAR(lokasu1+24)=Vuosi,MONTH(lokasu1+24)=10),lokasu1+24, "")</f>
        <v>43398</v>
      </c>
      <c r="AE10" s="12">
        <f ca="1">IF(AND(YEAR(lokasu1+25)=Vuosi,MONTH(lokasu1+25)=10),lokasu1+25, "")</f>
        <v>43399</v>
      </c>
      <c r="AF10" s="12">
        <f ca="1">IF(AND(YEAR(lokasu1+26)=Vuosi,MONTH(lokasu1+26)=10),lokasu1+26, "")</f>
        <v>43400</v>
      </c>
      <c r="AG10" s="12">
        <f ca="1">IF(AND(YEAR(lokasu1+27)=Vuosi,MONTH(lokasu1+27)=10),lokasu1+27, "")</f>
        <v>43401</v>
      </c>
      <c r="AH10" s="8"/>
    </row>
    <row r="11" spans="2:34" x14ac:dyDescent="0.2">
      <c r="B11" s="6"/>
      <c r="C11" s="12">
        <f ca="1">IF(AND(YEAR(tammisu1+28)=Vuosi,MONTH(tammisu1+28)=1),tammisu1+28, "")</f>
        <v>43129</v>
      </c>
      <c r="D11" s="12">
        <f ca="1">IF(AND(YEAR(tammisu1+29)=Vuosi,MONTH(tammisu1+29)=1),tammisu1+29, "")</f>
        <v>43130</v>
      </c>
      <c r="E11" s="12">
        <f ca="1">IF(AND(YEAR(tammisu1+30)=Vuosi,MONTH(tammisu1+30)=1),tammisu1+30, "")</f>
        <v>43131</v>
      </c>
      <c r="F11" s="12" t="str">
        <f ca="1">IF(AND(YEAR(tammisu1+31)=Vuosi,MONTH(tammisu1+31)=1),tammisu1+31, "")</f>
        <v/>
      </c>
      <c r="G11" s="12" t="str">
        <f ca="1">IF(AND(YEAR(tammisu1+32)=Vuosi,MONTH(tammisu1+32)=1),tammisu1+32, "")</f>
        <v/>
      </c>
      <c r="H11" s="12" t="str">
        <f ca="1">IF(AND(YEAR(tammisu1+33)=Vuosi,MONTH(tammisu1+33)=1),tammisu1+33, "")</f>
        <v/>
      </c>
      <c r="I11" s="12" t="str">
        <f ca="1">IF(AND(YEAR(tammisu1+34)=Vuosi,MONTH(tammisu1+34)=1),tammisu1+34, "")</f>
        <v/>
      </c>
      <c r="J11" s="7"/>
      <c r="K11" s="12">
        <f ca="1">IF(AND(YEAR(huhtisu1+28)=Vuosi,MONTH(huhtisu1+28)=4),huhtisu1+28, "")</f>
        <v>43213</v>
      </c>
      <c r="L11" s="12">
        <f ca="1">IF(AND(YEAR(huhtisu1+29)=Vuosi,MONTH(huhtisu1+29)=4),huhtisu1+29, "")</f>
        <v>43214</v>
      </c>
      <c r="M11" s="12">
        <f ca="1">IF(AND(YEAR(huhtisu1+30)=Vuosi,MONTH(huhtisu1+30)=4),huhtisu1+30, "")</f>
        <v>43215</v>
      </c>
      <c r="N11" s="12">
        <f ca="1">IF(AND(YEAR(huhtisu1+31)=Vuosi,MONTH(huhtisu1+31)=4),huhtisu1+31, "")</f>
        <v>43216</v>
      </c>
      <c r="O11" s="12">
        <f ca="1">IF(AND(YEAR(huhtisu1+32)=Vuosi,MONTH(huhtisu1+32)=4),huhtisu1+32, "")</f>
        <v>43217</v>
      </c>
      <c r="P11" s="12">
        <f ca="1">IF(AND(YEAR(huhtisu1+33)=Vuosi,MONTH(huhtisu1+33)=4),huhtisu1+33, "")</f>
        <v>43218</v>
      </c>
      <c r="Q11" s="12">
        <f ca="1">IF(AND(YEAR(huhtisu1+34)=Vuosi,MONTH(huhtisu1+34)=4),huhtisu1+34, "")</f>
        <v>43219</v>
      </c>
      <c r="R11" s="7"/>
      <c r="S11" s="12">
        <f ca="1">IF(AND(YEAR(heinäsu1+28)=Vuosi,MONTH(heinäsu1+28)=7),heinäsu1+28, "")</f>
        <v>43304</v>
      </c>
      <c r="T11" s="12">
        <f ca="1">IF(AND(YEAR(heinäsu1+29)=Vuosi,MONTH(heinäsu1+29)=7),heinäsu1+29, "")</f>
        <v>43305</v>
      </c>
      <c r="U11" s="12">
        <f ca="1">IF(AND(YEAR(heinäsu1+30)=Vuosi,MONTH(heinäsu1+30)=7),heinäsu1+30, "")</f>
        <v>43306</v>
      </c>
      <c r="V11" s="12">
        <f ca="1">IF(AND(YEAR(heinäsu1+31)=Vuosi,MONTH(heinäsu1+31)=7),heinäsu1+31, "")</f>
        <v>43307</v>
      </c>
      <c r="W11" s="12">
        <f ca="1">IF(AND(YEAR(heinäsu1+32)=Vuosi,MONTH(heinäsu1+32)=7),heinäsu1+32, "")</f>
        <v>43308</v>
      </c>
      <c r="X11" s="12">
        <f ca="1">IF(AND(YEAR(heinäsu1+33)=Vuosi,MONTH(heinäsu1+33)=7),heinäsu1+33, "")</f>
        <v>43309</v>
      </c>
      <c r="Y11" s="12">
        <f ca="1">IF(AND(YEAR(heinäsu1+34)=Vuosi,MONTH(heinäsu1+34)=7),heinäsu1+34, "")</f>
        <v>43310</v>
      </c>
      <c r="Z11" s="7"/>
      <c r="AA11" s="12">
        <f ca="1">IF(AND(YEAR(lokasu1+28)=Vuosi,MONTH(lokasu1+28)=10),lokasu1+28, "")</f>
        <v>43402</v>
      </c>
      <c r="AB11" s="12">
        <f ca="1">IF(AND(YEAR(lokasu1+29)=Vuosi,MONTH(lokasu1+29)=10),lokasu1+29, "")</f>
        <v>43403</v>
      </c>
      <c r="AC11" s="12">
        <f ca="1">IF(AND(YEAR(lokasu1+30)=Vuosi,MONTH(lokasu1+30)=10),lokasu1+30, "")</f>
        <v>43404</v>
      </c>
      <c r="AD11" s="12" t="str">
        <f ca="1">IF(AND(YEAR(lokasu1+31)=Vuosi,MONTH(lokasu1+31)=10),lokasu1+31, "")</f>
        <v/>
      </c>
      <c r="AE11" s="12" t="str">
        <f ca="1">IF(AND(YEAR(lokasu1+32)=Vuosi,MONTH(lokasu1+32)=10),lokasu1+32, "")</f>
        <v/>
      </c>
      <c r="AF11" s="12" t="str">
        <f ca="1">IF(AND(YEAR(lokasu1+33)=Vuosi,MONTH(lokasu1+33)=10),lokasu1+33, "")</f>
        <v/>
      </c>
      <c r="AG11" s="12" t="str">
        <f ca="1">IF(AND(YEAR(lokasu1+34)=Vuosi,MONTH(lokasu1+34)=10),lokasu1+34, "")</f>
        <v/>
      </c>
      <c r="AH11" s="8"/>
    </row>
    <row r="12" spans="2:34" x14ac:dyDescent="0.2">
      <c r="B12" s="6"/>
      <c r="C12" s="12" t="str">
        <f ca="1">IF(AND(YEAR(tammisu1+35)=Vuosi,MONTH(tammisu1+35)=1),tammisu1+35, "")</f>
        <v/>
      </c>
      <c r="D12" s="12" t="str">
        <f ca="1">IF(AND(YEAR(tammisu1+36)=Vuosi,MONTH(tammisu1+36)=1),tammisu1+36, "")</f>
        <v/>
      </c>
      <c r="E12" s="12" t="str">
        <f ca="1">IF(AND(YEAR(tammisu1+37)=Vuosi,MONTH(tammisu1+37)=1),tammisu1+37, "")</f>
        <v/>
      </c>
      <c r="F12" s="12" t="str">
        <f ca="1">IF(AND(YEAR(tammisu1+38)=Vuosi,MONTH(tammisu1+38)=1),tammisu1+38, "")</f>
        <v/>
      </c>
      <c r="G12" s="12" t="str">
        <f ca="1">IF(AND(YEAR(tammisu1+39)=Vuosi,MONTH(tammisu1+39)=1),tammisu1+39, "")</f>
        <v/>
      </c>
      <c r="H12" s="12" t="str">
        <f ca="1">IF(AND(YEAR(tammisu1+40)=Vuosi,MONTH(tammisu1+40)=1),tammisu1+40, "")</f>
        <v/>
      </c>
      <c r="I12" s="12" t="str">
        <f ca="1">IF(AND(YEAR(tammisu1+41)=Vuosi,MONTH(tammisu1+41)=1),tammisu1+41, "")</f>
        <v/>
      </c>
      <c r="J12" s="7"/>
      <c r="K12" s="12">
        <f ca="1">IF(AND(YEAR(huhtisu1+35)=Vuosi,MONTH(huhtisu1+35)=4),huhtisu1+35, "")</f>
        <v>43220</v>
      </c>
      <c r="L12" s="12" t="str">
        <f ca="1">IF(AND(YEAR(huhtisu1+36)=Vuosi,MONTH(huhtisu1+36)=4),huhtisu1+36, "")</f>
        <v/>
      </c>
      <c r="M12" s="12" t="str">
        <f ca="1">IF(AND(YEAR(huhtisu1+37)=Vuosi,MONTH(huhtisu1+37)=4),huhtisu1+37, "")</f>
        <v/>
      </c>
      <c r="N12" s="12" t="str">
        <f ca="1">IF(AND(YEAR(huhtisu1+38)=Vuosi,MONTH(huhtisu1+38)=4),huhtisu1+38, "")</f>
        <v/>
      </c>
      <c r="O12" s="12" t="str">
        <f ca="1">IF(AND(YEAR(huhtisu1+39)=Vuosi,MONTH(huhtisu1+39)=4),huhtisu1+39, "")</f>
        <v/>
      </c>
      <c r="P12" s="12" t="str">
        <f ca="1">IF(AND(YEAR(huhtisu1+40)=Vuosi,MONTH(huhtisu1+40)=4),huhtisu1+40, "")</f>
        <v/>
      </c>
      <c r="Q12" s="12" t="str">
        <f ca="1">IF(AND(YEAR(huhtisu1+41)=Vuosi,MONTH(huhtisu1+41)=4),huhtisu1+41, "")</f>
        <v/>
      </c>
      <c r="R12" s="7"/>
      <c r="S12" s="12">
        <f ca="1">IF(AND(YEAR(heinäsu1+35)=Vuosi,MONTH(heinäsu1+35)=7),heinäsu1+35, "")</f>
        <v>43311</v>
      </c>
      <c r="T12" s="12">
        <f ca="1">IF(AND(YEAR(heinäsu1+36)=Vuosi,MONTH(heinäsu1+36)=7),heinäsu1+36, "")</f>
        <v>43312</v>
      </c>
      <c r="U12" s="12" t="str">
        <f ca="1">IF(AND(YEAR(heinäsu1+37)=Vuosi,MONTH(heinäsu1+37)=7),heinäsu1+37, "")</f>
        <v/>
      </c>
      <c r="V12" s="12" t="str">
        <f ca="1">IF(AND(YEAR(heinäsu1+38)=Vuosi,MONTH(heinäsu1+38)=7),heinäsu1+38, "")</f>
        <v/>
      </c>
      <c r="W12" s="12" t="str">
        <f ca="1">IF(AND(YEAR(heinäsu1+39)=Vuosi,MONTH(heinäsu1+39)=7),heinäsu1+39, "")</f>
        <v/>
      </c>
      <c r="X12" s="12" t="str">
        <f ca="1">IF(AND(YEAR(heinäsu1+40)=Vuosi,MONTH(heinäsu1+40)=7),heinäsu1+40, "")</f>
        <v/>
      </c>
      <c r="Y12" s="12" t="str">
        <f ca="1">IF(AND(YEAR(heinäsu1+41)=Vuosi,MONTH(heinäsu1+41)=7),heinäsu1+41, "")</f>
        <v/>
      </c>
      <c r="Z12" s="7"/>
      <c r="AA12" s="12" t="str">
        <f ca="1">IF(AND(YEAR(lokasu1+35)=Vuosi,MONTH(lokasu1+35)=10),lokasu1+35, "")</f>
        <v/>
      </c>
      <c r="AB12" s="12" t="str">
        <f ca="1">IF(AND(YEAR(lokasu1+36)=Vuosi,MONTH(lokasu1+36)=10),lokasu1+36, "")</f>
        <v/>
      </c>
      <c r="AC12" s="12" t="str">
        <f ca="1">IF(AND(YEAR(lokasu1+37)=Vuosi,MONTH(lokasu1+37)=10),lokasu1+37, "")</f>
        <v/>
      </c>
      <c r="AD12" s="12" t="str">
        <f ca="1">IF(AND(YEAR(lokasu1+38)=Vuosi,MONTH(lokasu1+38)=10),lokasu1+38, "")</f>
        <v/>
      </c>
      <c r="AE12" s="12" t="str">
        <f ca="1">IF(AND(YEAR(lokasu1+39)=Vuosi,MONTH(lokasu1+39)=10),lokasu1+39, "")</f>
        <v/>
      </c>
      <c r="AF12" s="12" t="str">
        <f ca="1">IF(AND(YEAR(lokasu1+40)=Vuosi,MONTH(lokasu1+40)=10),lokasu1+40, "")</f>
        <v/>
      </c>
      <c r="AG12" s="12" t="str">
        <f ca="1">IF(AND(YEAR(lokasu1+41)=Vuosi,MONTH(lokasu1+41)=10),lokasu1+41, "")</f>
        <v/>
      </c>
      <c r="AH12" s="8"/>
    </row>
    <row r="13" spans="2:34" ht="3.75" customHeight="1" x14ac:dyDescent="0.2">
      <c r="B13" s="6"/>
      <c r="C13" s="13"/>
      <c r="D13" s="13"/>
      <c r="E13" s="13"/>
      <c r="F13" s="13"/>
      <c r="G13" s="13"/>
      <c r="H13" s="13"/>
      <c r="I13" s="13"/>
      <c r="J13" s="7"/>
      <c r="K13" s="13"/>
      <c r="L13" s="13"/>
      <c r="M13" s="13"/>
      <c r="N13" s="13"/>
      <c r="O13" s="13"/>
      <c r="P13" s="13"/>
      <c r="Q13" s="13"/>
      <c r="R13" s="7"/>
      <c r="S13" s="13"/>
      <c r="T13" s="13"/>
      <c r="U13" s="13"/>
      <c r="V13" s="13"/>
      <c r="W13" s="13"/>
      <c r="X13" s="13"/>
      <c r="Y13" s="13"/>
      <c r="Z13" s="7"/>
      <c r="AA13" s="13"/>
      <c r="AB13" s="13"/>
      <c r="AC13" s="13"/>
      <c r="AD13" s="13"/>
      <c r="AE13" s="13"/>
      <c r="AF13" s="13"/>
      <c r="AG13" s="13"/>
      <c r="AH13" s="8"/>
    </row>
    <row r="14" spans="2:34" x14ac:dyDescent="0.2">
      <c r="B14" s="6"/>
      <c r="C14" s="20" t="s">
        <v>2</v>
      </c>
      <c r="D14" s="20"/>
      <c r="E14" s="20"/>
      <c r="F14" s="20"/>
      <c r="G14" s="20"/>
      <c r="H14" s="20"/>
      <c r="I14" s="20"/>
      <c r="J14" s="7"/>
      <c r="K14" s="20" t="s">
        <v>11</v>
      </c>
      <c r="L14" s="20"/>
      <c r="M14" s="20"/>
      <c r="N14" s="20"/>
      <c r="O14" s="20"/>
      <c r="P14" s="20"/>
      <c r="Q14" s="20"/>
      <c r="R14" s="7"/>
      <c r="S14" s="20" t="s">
        <v>14</v>
      </c>
      <c r="T14" s="20"/>
      <c r="U14" s="20"/>
      <c r="V14" s="20"/>
      <c r="W14" s="20"/>
      <c r="X14" s="20"/>
      <c r="Y14" s="20"/>
      <c r="Z14" s="7"/>
      <c r="AA14" s="20" t="s">
        <v>17</v>
      </c>
      <c r="AB14" s="20"/>
      <c r="AC14" s="20"/>
      <c r="AD14" s="20"/>
      <c r="AE14" s="20"/>
      <c r="AF14" s="20"/>
      <c r="AG14" s="20"/>
      <c r="AH14" s="8"/>
    </row>
    <row r="15" spans="2:34" x14ac:dyDescent="0.2">
      <c r="B15" s="6"/>
      <c r="C15" s="9" t="s">
        <v>1</v>
      </c>
      <c r="D15" s="9" t="s">
        <v>4</v>
      </c>
      <c r="E15" s="9" t="s">
        <v>5</v>
      </c>
      <c r="F15" s="9" t="s">
        <v>4</v>
      </c>
      <c r="G15" s="9" t="s">
        <v>6</v>
      </c>
      <c r="H15" s="10" t="s">
        <v>7</v>
      </c>
      <c r="I15" s="10" t="s">
        <v>9</v>
      </c>
      <c r="J15" s="7"/>
      <c r="K15" s="9" t="s">
        <v>1</v>
      </c>
      <c r="L15" s="9" t="s">
        <v>4</v>
      </c>
      <c r="M15" s="9" t="s">
        <v>5</v>
      </c>
      <c r="N15" s="9" t="s">
        <v>4</v>
      </c>
      <c r="O15" s="9" t="s">
        <v>6</v>
      </c>
      <c r="P15" s="10" t="s">
        <v>7</v>
      </c>
      <c r="Q15" s="10" t="s">
        <v>9</v>
      </c>
      <c r="R15" s="7"/>
      <c r="S15" s="9" t="s">
        <v>1</v>
      </c>
      <c r="T15" s="9" t="s">
        <v>4</v>
      </c>
      <c r="U15" s="9" t="s">
        <v>5</v>
      </c>
      <c r="V15" s="9" t="s">
        <v>4</v>
      </c>
      <c r="W15" s="9" t="s">
        <v>6</v>
      </c>
      <c r="X15" s="10" t="s">
        <v>7</v>
      </c>
      <c r="Y15" s="10" t="s">
        <v>9</v>
      </c>
      <c r="Z15" s="7"/>
      <c r="AA15" s="9" t="s">
        <v>1</v>
      </c>
      <c r="AB15" s="9" t="s">
        <v>4</v>
      </c>
      <c r="AC15" s="9" t="s">
        <v>5</v>
      </c>
      <c r="AD15" s="9" t="s">
        <v>4</v>
      </c>
      <c r="AE15" s="9" t="s">
        <v>6</v>
      </c>
      <c r="AF15" s="10" t="s">
        <v>7</v>
      </c>
      <c r="AG15" s="10" t="s">
        <v>9</v>
      </c>
      <c r="AH15" s="8"/>
    </row>
    <row r="16" spans="2:34" x14ac:dyDescent="0.2">
      <c r="B16" s="6"/>
      <c r="C16" s="11" t="str">
        <f ca="1">IF(AND(YEAR(helmisu1)=Vuosi,MONTH(helmisu1)=2),helmisu1, "")</f>
        <v/>
      </c>
      <c r="D16" s="11" t="str">
        <f ca="1">IF(AND(YEAR(helmisu1+1)=Vuosi,MONTH(helmisu1+1)=2),helmisu1+1, "")</f>
        <v/>
      </c>
      <c r="E16" s="11" t="str">
        <f ca="1">IF(AND(YEAR(helmisu1+2)=Vuosi,MONTH(helmisu1+2)=2),helmisu1+2, "")</f>
        <v/>
      </c>
      <c r="F16" s="11">
        <f ca="1">IF(AND(YEAR(helmisu1+3)=Vuosi,MONTH(helmisu1+3)=2),helmisu1+3, "")</f>
        <v>43132</v>
      </c>
      <c r="G16" s="11">
        <f ca="1">IF(AND(YEAR(helmisu1+4)=Vuosi,MONTH(helmisu1+4)=2),helmisu1+4, "")</f>
        <v>43133</v>
      </c>
      <c r="H16" s="11">
        <f ca="1">IF(AND(YEAR(helmisu1+5)=Vuosi,MONTH(helmisu1+5)=2),helmisu1+5, "")</f>
        <v>43134</v>
      </c>
      <c r="I16" s="11">
        <f ca="1">IF(AND(YEAR(helmisu1+6)=Vuosi,MONTH(helmisu1+6)=2),helmisu1+6, "")</f>
        <v>43135</v>
      </c>
      <c r="J16" s="7"/>
      <c r="K16" s="11" t="str">
        <f ca="1">IF(AND(YEAR(toukosu1)=Vuosi,MONTH(toukosu1)=5),toukosu1, "")</f>
        <v/>
      </c>
      <c r="L16" s="11">
        <f ca="1">IF(AND(YEAR(toukosu1+1)=Vuosi,MONTH(toukosu1+1)=5),toukosu1+1, "")</f>
        <v>43221</v>
      </c>
      <c r="M16" s="11">
        <f ca="1">IF(AND(YEAR(toukosu1+2)=Vuosi,MONTH(toukosu1+2)=5),toukosu1+2, "")</f>
        <v>43222</v>
      </c>
      <c r="N16" s="11">
        <f ca="1">IF(AND(YEAR(toukosu1+3)=Vuosi,MONTH(toukosu1+3)=5),toukosu1+3, "")</f>
        <v>43223</v>
      </c>
      <c r="O16" s="11">
        <f ca="1">IF(AND(YEAR(toukosu1+4)=Vuosi,MONTH(toukosu1+4)=5),toukosu1+4, "")</f>
        <v>43224</v>
      </c>
      <c r="P16" s="11">
        <f ca="1">IF(AND(YEAR(toukosu1+5)=Vuosi,MONTH(toukosu1+5)=5),toukosu1+5, "")</f>
        <v>43225</v>
      </c>
      <c r="Q16" s="11">
        <f ca="1">IF(AND(YEAR(toukosu1+6)=Vuosi,MONTH(toukosu1+6)=5),toukosu1+6, "")</f>
        <v>43226</v>
      </c>
      <c r="R16" s="7"/>
      <c r="S16" s="11" t="str">
        <f ca="1">IF(AND(YEAR(elosu1)=Vuosi,MONTH(elosu1)=8),elosu1, "")</f>
        <v/>
      </c>
      <c r="T16" s="11" t="str">
        <f ca="1">IF(AND(YEAR(elosu1+1)=Vuosi,MONTH(elosu1+1)=8),elosu1+1, "")</f>
        <v/>
      </c>
      <c r="U16" s="11">
        <f ca="1">IF(AND(YEAR(elosu1+2)=Vuosi,MONTH(elosu1+2)=8),elosu1+2, "")</f>
        <v>43313</v>
      </c>
      <c r="V16" s="11">
        <f ca="1">IF(AND(YEAR(elosu1+3)=Vuosi,MONTH(elosu1+3)=8),elosu1+3, "")</f>
        <v>43314</v>
      </c>
      <c r="W16" s="11">
        <f ca="1">IF(AND(YEAR(elosu1+4)=Vuosi,MONTH(elosu1+4)=8),elosu1+4, "")</f>
        <v>43315</v>
      </c>
      <c r="X16" s="11">
        <f ca="1">IF(AND(YEAR(elosu1+5)=Vuosi,MONTH(elosu1+5)=8),elosu1+5, "")</f>
        <v>43316</v>
      </c>
      <c r="Y16" s="11">
        <f ca="1">IF(AND(YEAR(elosu1+6)=Vuosi,MONTH(elosu1+6)=8),elosu1+6, "")</f>
        <v>43317</v>
      </c>
      <c r="Z16" s="7"/>
      <c r="AA16" s="11" t="str">
        <f ca="1">IF(AND(YEAR(marrassu1)=Vuosi,MONTH(marrassu1)=11),marrassu1, "")</f>
        <v/>
      </c>
      <c r="AB16" s="11" t="str">
        <f ca="1">IF(AND(YEAR(marrassu1+1)=Vuosi,MONTH(marrassu1+1)=11),marrassu1+1, "")</f>
        <v/>
      </c>
      <c r="AC16" s="11" t="str">
        <f ca="1">IF(AND(YEAR(marrassu1+2)=Vuosi,MONTH(marrassu1+2)=11),marrassu1+2, "")</f>
        <v/>
      </c>
      <c r="AD16" s="11">
        <f ca="1">IF(AND(YEAR(marrassu1+3)=Vuosi,MONTH(marrassu1+3)=11),marrassu1+3, "")</f>
        <v>43405</v>
      </c>
      <c r="AE16" s="11">
        <f ca="1">IF(AND(YEAR(marrassu1+4)=Vuosi,MONTH(marrassu1+4)=11),marrassu1+4, "")</f>
        <v>43406</v>
      </c>
      <c r="AF16" s="11">
        <f ca="1">IF(AND(YEAR(marrassu1+5)=Vuosi,MONTH(marrassu1+5)=11),marrassu1+5, "")</f>
        <v>43407</v>
      </c>
      <c r="AG16" s="11">
        <f ca="1">IF(AND(YEAR(marrassu1+6)=Vuosi,MONTH(marrassu1+6)=11),marrassu1+6, "")</f>
        <v>43408</v>
      </c>
      <c r="AH16" s="8"/>
    </row>
    <row r="17" spans="2:34" x14ac:dyDescent="0.2">
      <c r="B17" s="6"/>
      <c r="C17" s="12">
        <f ca="1">IF(AND(YEAR(helmisu1+7)=Vuosi,MONTH(helmisu1+7)=2),helmisu1+7, "")</f>
        <v>43136</v>
      </c>
      <c r="D17" s="12">
        <f ca="1">IF(AND(YEAR(helmisu1+8)=Vuosi,MONTH(helmisu1+8)=2),helmisu1+8, "")</f>
        <v>43137</v>
      </c>
      <c r="E17" s="12">
        <f ca="1">IF(AND(YEAR(helmisu1+9)=Vuosi,MONTH(helmisu1+9)=2),helmisu1+9, "")</f>
        <v>43138</v>
      </c>
      <c r="F17" s="12">
        <f ca="1">IF(AND(YEAR(helmisu1+10)=Vuosi,MONTH(helmisu1+10)=2),helmisu1+10, "")</f>
        <v>43139</v>
      </c>
      <c r="G17" s="12">
        <f ca="1">IF(AND(YEAR(helmisu1+11)=Vuosi,MONTH(helmisu1+11)=2),helmisu1+11, "")</f>
        <v>43140</v>
      </c>
      <c r="H17" s="12">
        <f ca="1">IF(AND(YEAR(helmisu1+12)=Vuosi,MONTH(helmisu1+12)=2),helmisu1+12, "")</f>
        <v>43141</v>
      </c>
      <c r="I17" s="12">
        <f ca="1">IF(AND(YEAR(helmisu1+13)=Vuosi,MONTH(helmisu1+13)=2),helmisu1+13, "")</f>
        <v>43142</v>
      </c>
      <c r="J17" s="7"/>
      <c r="K17" s="12">
        <f ca="1">IF(AND(YEAR(toukosu1+7)=Vuosi,MONTH(toukosu1+7)=5),toukosu1+7, "")</f>
        <v>43227</v>
      </c>
      <c r="L17" s="12">
        <f ca="1">IF(AND(YEAR(toukosu1+8)=Vuosi,MONTH(toukosu1+8)=5),toukosu1+8, "")</f>
        <v>43228</v>
      </c>
      <c r="M17" s="12">
        <f ca="1">IF(AND(YEAR(toukosu1+9)=Vuosi,MONTH(toukosu1+9)=5),toukosu1+9, "")</f>
        <v>43229</v>
      </c>
      <c r="N17" s="12">
        <f ca="1">IF(AND(YEAR(toukosu1+10)=Vuosi,MONTH(toukosu1+10)=5),toukosu1+10, "")</f>
        <v>43230</v>
      </c>
      <c r="O17" s="12">
        <f ca="1">IF(AND(YEAR(toukosu1+11)=Vuosi,MONTH(toukosu1+11)=5),toukosu1+11, "")</f>
        <v>43231</v>
      </c>
      <c r="P17" s="12">
        <f ca="1">IF(AND(YEAR(toukosu1+12)=Vuosi,MONTH(toukosu1+12)=5),toukosu1+12, "")</f>
        <v>43232</v>
      </c>
      <c r="Q17" s="12">
        <f ca="1">IF(AND(YEAR(toukosu1+13)=Vuosi,MONTH(toukosu1+13)=5),toukosu1+13, "")</f>
        <v>43233</v>
      </c>
      <c r="R17" s="7"/>
      <c r="S17" s="12">
        <f ca="1">IF(AND(YEAR(elosu1+7)=Vuosi,MONTH(elosu1+7)=8),elosu1+7, "")</f>
        <v>43318</v>
      </c>
      <c r="T17" s="12">
        <f ca="1">IF(AND(YEAR(elosu1+8)=Vuosi,MONTH(elosu1+8)=8),elosu1+8, "")</f>
        <v>43319</v>
      </c>
      <c r="U17" s="12">
        <f ca="1">IF(AND(YEAR(elosu1+9)=Vuosi,MONTH(elosu1+9)=8),elosu1+9, "")</f>
        <v>43320</v>
      </c>
      <c r="V17" s="12">
        <f ca="1">IF(AND(YEAR(elosu1+10)=Vuosi,MONTH(elosu1+10)=8),elosu1+10, "")</f>
        <v>43321</v>
      </c>
      <c r="W17" s="12">
        <f ca="1">IF(AND(YEAR(elosu1+11)=Vuosi,MONTH(elosu1+11)=8),elosu1+11, "")</f>
        <v>43322</v>
      </c>
      <c r="X17" s="12">
        <f ca="1">IF(AND(YEAR(elosu1+12)=Vuosi,MONTH(elosu1+12)=8),elosu1+12, "")</f>
        <v>43323</v>
      </c>
      <c r="Y17" s="12">
        <f ca="1">IF(AND(YEAR(elosu1+13)=Vuosi,MONTH(elosu1+13)=8),elosu1+13, "")</f>
        <v>43324</v>
      </c>
      <c r="Z17" s="7"/>
      <c r="AA17" s="12">
        <f ca="1">IF(AND(YEAR(marrassu1+7)=Vuosi,MONTH(marrassu1+7)=11),marrassu1+7, "")</f>
        <v>43409</v>
      </c>
      <c r="AB17" s="12">
        <f ca="1">IF(AND(YEAR(marrassu1+8)=Vuosi,MONTH(marrassu1+8)=11),marrassu1+8, "")</f>
        <v>43410</v>
      </c>
      <c r="AC17" s="12">
        <f ca="1">IF(AND(YEAR(marrassu1+9)=Vuosi,MONTH(marrassu1+9)=11),marrassu1+9, "")</f>
        <v>43411</v>
      </c>
      <c r="AD17" s="12">
        <f ca="1">IF(AND(YEAR(marrassu1+10)=Vuosi,MONTH(marrassu1+10)=11),marrassu1+10, "")</f>
        <v>43412</v>
      </c>
      <c r="AE17" s="12">
        <f ca="1">IF(AND(YEAR(marrassu1+11)=Vuosi,MONTH(marrassu1+11)=11),marrassu1+11, "")</f>
        <v>43413</v>
      </c>
      <c r="AF17" s="12">
        <f ca="1">IF(AND(YEAR(marrassu1+12)=Vuosi,MONTH(marrassu1+12)=11),marrassu1+12, "")</f>
        <v>43414</v>
      </c>
      <c r="AG17" s="12">
        <f ca="1">IF(AND(YEAR(marrassu1+13)=Vuosi,MONTH(marrassu1+13)=11),marrassu1+13, "")</f>
        <v>43415</v>
      </c>
      <c r="AH17" s="8"/>
    </row>
    <row r="18" spans="2:34" x14ac:dyDescent="0.2">
      <c r="B18" s="6"/>
      <c r="C18" s="12">
        <f ca="1">IF(AND(YEAR(helmisu1+14)=Vuosi,MONTH(helmisu1+14)=2),helmisu1+14, "")</f>
        <v>43143</v>
      </c>
      <c r="D18" s="12">
        <f ca="1">IF(AND(YEAR(helmisu1+15)=Vuosi,MONTH(helmisu1+15)=2),helmisu1+15, "")</f>
        <v>43144</v>
      </c>
      <c r="E18" s="12">
        <f ca="1">IF(AND(YEAR(helmisu1+16)=Vuosi,MONTH(helmisu1+16)=2),helmisu1+16, "")</f>
        <v>43145</v>
      </c>
      <c r="F18" s="12">
        <f ca="1">IF(AND(YEAR(helmisu1+17)=Vuosi,MONTH(helmisu1+17)=2),helmisu1+17, "")</f>
        <v>43146</v>
      </c>
      <c r="G18" s="12">
        <f ca="1">IF(AND(YEAR(helmisu1+18)=Vuosi,MONTH(helmisu1+18)=2),helmisu1+18, "")</f>
        <v>43147</v>
      </c>
      <c r="H18" s="12">
        <f ca="1">IF(AND(YEAR(helmisu1+19)=Vuosi,MONTH(helmisu1+19)=2),helmisu1+19, "")</f>
        <v>43148</v>
      </c>
      <c r="I18" s="12">
        <f ca="1">IF(AND(YEAR(helmisu1+20)=Vuosi,MONTH(helmisu1+20)=2),helmisu1+20, "")</f>
        <v>43149</v>
      </c>
      <c r="J18" s="7"/>
      <c r="K18" s="12">
        <f ca="1">IF(AND(YEAR(toukosu1+14)=Vuosi,MONTH(toukosu1+14)=5),toukosu1+14, "")</f>
        <v>43234</v>
      </c>
      <c r="L18" s="12">
        <f ca="1">IF(AND(YEAR(toukosu1+15)=Vuosi,MONTH(toukosu1+15)=5),toukosu1+15, "")</f>
        <v>43235</v>
      </c>
      <c r="M18" s="12">
        <f ca="1">IF(AND(YEAR(toukosu1+16)=Vuosi,MONTH(toukosu1+16)=5),toukosu1+16, "")</f>
        <v>43236</v>
      </c>
      <c r="N18" s="12">
        <f ca="1">IF(AND(YEAR(toukosu1+17)=Vuosi,MONTH(toukosu1+17)=5),toukosu1+17, "")</f>
        <v>43237</v>
      </c>
      <c r="O18" s="12">
        <f ca="1">IF(AND(YEAR(toukosu1+18)=Vuosi,MONTH(toukosu1+18)=5),toukosu1+18, "")</f>
        <v>43238</v>
      </c>
      <c r="P18" s="12">
        <f ca="1">IF(AND(YEAR(toukosu1+19)=Vuosi,MONTH(toukosu1+19)=5),toukosu1+19, "")</f>
        <v>43239</v>
      </c>
      <c r="Q18" s="12">
        <f ca="1">IF(AND(YEAR(toukosu1+20)=Vuosi,MONTH(toukosu1+20)=5),toukosu1+20, "")</f>
        <v>43240</v>
      </c>
      <c r="R18" s="7"/>
      <c r="S18" s="12">
        <f ca="1">IF(AND(YEAR(elosu1+14)=Vuosi,MONTH(elosu1+14)=8),elosu1+14, "")</f>
        <v>43325</v>
      </c>
      <c r="T18" s="12">
        <f ca="1">IF(AND(YEAR(elosu1+15)=Vuosi,MONTH(elosu1+15)=8),elosu1+15, "")</f>
        <v>43326</v>
      </c>
      <c r="U18" s="12">
        <f ca="1">IF(AND(YEAR(elosu1+16)=Vuosi,MONTH(elosu1+16)=8),elosu1+16, "")</f>
        <v>43327</v>
      </c>
      <c r="V18" s="12">
        <f ca="1">IF(AND(YEAR(elosu1+17)=Vuosi,MONTH(elosu1+17)=8),elosu1+17, "")</f>
        <v>43328</v>
      </c>
      <c r="W18" s="12">
        <f ca="1">IF(AND(YEAR(elosu1+18)=Vuosi,MONTH(elosu1+18)=8),elosu1+18, "")</f>
        <v>43329</v>
      </c>
      <c r="X18" s="12">
        <f ca="1">IF(AND(YEAR(elosu1+19)=Vuosi,MONTH(elosu1+19)=8),elosu1+19, "")</f>
        <v>43330</v>
      </c>
      <c r="Y18" s="12">
        <f ca="1">IF(AND(YEAR(elosu1+20)=Vuosi,MONTH(elosu1+20)=8),elosu1+20, "")</f>
        <v>43331</v>
      </c>
      <c r="Z18" s="7"/>
      <c r="AA18" s="12">
        <f ca="1">IF(AND(YEAR(marrassu1+14)=Vuosi,MONTH(marrassu1+14)=11),marrassu1+14, "")</f>
        <v>43416</v>
      </c>
      <c r="AB18" s="12">
        <f ca="1">IF(AND(YEAR(marrassu1+15)=Vuosi,MONTH(marrassu1+15)=11),marrassu1+15, "")</f>
        <v>43417</v>
      </c>
      <c r="AC18" s="12">
        <f ca="1">IF(AND(YEAR(marrassu1+16)=Vuosi,MONTH(marrassu1+16)=11),marrassu1+16, "")</f>
        <v>43418</v>
      </c>
      <c r="AD18" s="12">
        <f ca="1">IF(AND(YEAR(marrassu1+17)=Vuosi,MONTH(marrassu1+17)=11),marrassu1+17, "")</f>
        <v>43419</v>
      </c>
      <c r="AE18" s="12">
        <f ca="1">IF(AND(YEAR(marrassu1+18)=Vuosi,MONTH(marrassu1+18)=11),marrassu1+18, "")</f>
        <v>43420</v>
      </c>
      <c r="AF18" s="12">
        <f ca="1">IF(AND(YEAR(marrassu1+19)=Vuosi,MONTH(marrassu1+19)=11),marrassu1+19, "")</f>
        <v>43421</v>
      </c>
      <c r="AG18" s="12">
        <f ca="1">IF(AND(YEAR(marrassu1+20)=Vuosi,MONTH(marrassu1+20)=11),marrassu1+20, "")</f>
        <v>43422</v>
      </c>
      <c r="AH18" s="8"/>
    </row>
    <row r="19" spans="2:34" x14ac:dyDescent="0.2">
      <c r="B19" s="6"/>
      <c r="C19" s="12">
        <f ca="1">IF(AND(YEAR(helmisu1+21)=Vuosi,MONTH(helmisu1+21)=2),helmisu1+21, "")</f>
        <v>43150</v>
      </c>
      <c r="D19" s="12">
        <f ca="1">IF(AND(YEAR(helmisu1+22)=Vuosi,MONTH(helmisu1+22)=2),helmisu1+22, "")</f>
        <v>43151</v>
      </c>
      <c r="E19" s="12">
        <f ca="1">IF(AND(YEAR(helmisu1+23)=Vuosi,MONTH(helmisu1+23)=2),helmisu1+23, "")</f>
        <v>43152</v>
      </c>
      <c r="F19" s="12">
        <f ca="1">IF(AND(YEAR(helmisu1+24)=Vuosi,MONTH(helmisu1+24)=2),helmisu1+24, "")</f>
        <v>43153</v>
      </c>
      <c r="G19" s="12">
        <f ca="1">IF(AND(YEAR(helmisu1+25)=Vuosi,MONTH(helmisu1+25)=2),helmisu1+25, "")</f>
        <v>43154</v>
      </c>
      <c r="H19" s="12">
        <f ca="1">IF(AND(YEAR(helmisu1+26)=Vuosi,MONTH(helmisu1+26)=2),helmisu1+26, "")</f>
        <v>43155</v>
      </c>
      <c r="I19" s="12">
        <f ca="1">IF(AND(YEAR(helmisu1+27)=Vuosi,MONTH(helmisu1+27)=2),helmisu1+27, "")</f>
        <v>43156</v>
      </c>
      <c r="J19" s="7"/>
      <c r="K19" s="12">
        <f ca="1">IF(AND(YEAR(toukosu1+21)=Vuosi,MONTH(toukosu1+21)=5),toukosu1+21, "")</f>
        <v>43241</v>
      </c>
      <c r="L19" s="12">
        <f ca="1">IF(AND(YEAR(toukosu1+22)=Vuosi,MONTH(toukosu1+22)=5),toukosu1+22, "")</f>
        <v>43242</v>
      </c>
      <c r="M19" s="12">
        <f ca="1">IF(AND(YEAR(toukosu1+23)=Vuosi,MONTH(toukosu1+23)=5),toukosu1+23, "")</f>
        <v>43243</v>
      </c>
      <c r="N19" s="12">
        <f ca="1">IF(AND(YEAR(toukosu1+24)=Vuosi,MONTH(toukosu1+24)=5),toukosu1+24, "")</f>
        <v>43244</v>
      </c>
      <c r="O19" s="12">
        <f ca="1">IF(AND(YEAR(toukosu1+25)=Vuosi,MONTH(toukosu1+25)=5),toukosu1+25, "")</f>
        <v>43245</v>
      </c>
      <c r="P19" s="12">
        <f ca="1">IF(AND(YEAR(toukosu1+26)=Vuosi,MONTH(toukosu1+26)=5),toukosu1+26, "")</f>
        <v>43246</v>
      </c>
      <c r="Q19" s="12">
        <f ca="1">IF(AND(YEAR(toukosu1+27)=Vuosi,MONTH(toukosu1+27)=5),toukosu1+27, "")</f>
        <v>43247</v>
      </c>
      <c r="R19" s="7"/>
      <c r="S19" s="12">
        <f ca="1">IF(AND(YEAR(elosu1+21)=Vuosi,MONTH(elosu1+21)=8),elosu1+21, "")</f>
        <v>43332</v>
      </c>
      <c r="T19" s="12">
        <f ca="1">IF(AND(YEAR(elosu1+22)=Vuosi,MONTH(elosu1+22)=8),elosu1+22, "")</f>
        <v>43333</v>
      </c>
      <c r="U19" s="12">
        <f ca="1">IF(AND(YEAR(elosu1+23)=Vuosi,MONTH(elosu1+23)=8),elosu1+23, "")</f>
        <v>43334</v>
      </c>
      <c r="V19" s="12">
        <f ca="1">IF(AND(YEAR(elosu1+24)=Vuosi,MONTH(elosu1+24)=8),elosu1+24, "")</f>
        <v>43335</v>
      </c>
      <c r="W19" s="12">
        <f ca="1">IF(AND(YEAR(elosu1+25)=Vuosi,MONTH(elosu1+25)=8),elosu1+25, "")</f>
        <v>43336</v>
      </c>
      <c r="X19" s="12">
        <f ca="1">IF(AND(YEAR(elosu1+26)=Vuosi,MONTH(elosu1+26)=8),elosu1+26, "")</f>
        <v>43337</v>
      </c>
      <c r="Y19" s="12">
        <f ca="1">IF(AND(YEAR(elosu1+27)=Vuosi,MONTH(elosu1+27)=8),elosu1+27, "")</f>
        <v>43338</v>
      </c>
      <c r="Z19" s="7"/>
      <c r="AA19" s="12">
        <f ca="1">IF(AND(YEAR(marrassu1+21)=Vuosi,MONTH(marrassu1+21)=11),marrassu1+21, "")</f>
        <v>43423</v>
      </c>
      <c r="AB19" s="12">
        <f ca="1">IF(AND(YEAR(marrassu1+22)=Vuosi,MONTH(marrassu1+22)=11),marrassu1+22, "")</f>
        <v>43424</v>
      </c>
      <c r="AC19" s="12">
        <f ca="1">IF(AND(YEAR(marrassu1+23)=Vuosi,MONTH(marrassu1+23)=11),marrassu1+23, "")</f>
        <v>43425</v>
      </c>
      <c r="AD19" s="12">
        <f ca="1">IF(AND(YEAR(marrassu1+24)=Vuosi,MONTH(marrassu1+24)=11),marrassu1+24, "")</f>
        <v>43426</v>
      </c>
      <c r="AE19" s="12">
        <f ca="1">IF(AND(YEAR(marrassu1+25)=Vuosi,MONTH(marrassu1+25)=11),marrassu1+25, "")</f>
        <v>43427</v>
      </c>
      <c r="AF19" s="12">
        <f ca="1">IF(AND(YEAR(marrassu1+26)=Vuosi,MONTH(marrassu1+26)=11),marrassu1+26, "")</f>
        <v>43428</v>
      </c>
      <c r="AG19" s="12">
        <f ca="1">IF(AND(YEAR(marrassu1+27)=Vuosi,MONTH(marrassu1+27)=11),marrassu1+27, "")</f>
        <v>43429</v>
      </c>
      <c r="AH19" s="8"/>
    </row>
    <row r="20" spans="2:34" x14ac:dyDescent="0.2">
      <c r="B20" s="6"/>
      <c r="C20" s="12">
        <f ca="1">IF(AND(YEAR(helmisu1+28)=Vuosi,MONTH(helmisu1+28)=2),helmisu1+28, "")</f>
        <v>43157</v>
      </c>
      <c r="D20" s="12">
        <f ca="1">IF(AND(YEAR(helmisu1+29)=Vuosi,MONTH(helmisu1+29)=2),helmisu1+29, "")</f>
        <v>43158</v>
      </c>
      <c r="E20" s="12">
        <f ca="1">IF(AND(YEAR(helmisu1+30)=Vuosi,MONTH(helmisu1+30)=2),helmisu1+30, "")</f>
        <v>43159</v>
      </c>
      <c r="F20" s="12" t="str">
        <f ca="1">IF(AND(YEAR(helmisu1+31)=Vuosi,MONTH(helmisu1+31)=2),helmisu1+31, "")</f>
        <v/>
      </c>
      <c r="G20" s="12" t="str">
        <f ca="1">IF(AND(YEAR(helmisu1+32)=Vuosi,MONTH(helmisu1+32)=2),helmisu1+32, "")</f>
        <v/>
      </c>
      <c r="H20" s="12" t="str">
        <f ca="1">IF(AND(YEAR(helmisu1+33)=Vuosi,MONTH(helmisu1+33)=2),helmisu1+33, "")</f>
        <v/>
      </c>
      <c r="I20" s="12" t="str">
        <f ca="1">IF(AND(YEAR(helmisu1+34)=Vuosi,MONTH(helmisu1+34)=2),helmisu1+34, "")</f>
        <v/>
      </c>
      <c r="J20" s="7"/>
      <c r="K20" s="12">
        <f ca="1">IF(AND(YEAR(toukosu1+28)=Vuosi,MONTH(toukosu1+28)=5),toukosu1+28, "")</f>
        <v>43248</v>
      </c>
      <c r="L20" s="12">
        <f ca="1">IF(AND(YEAR(toukosu1+29)=Vuosi,MONTH(toukosu1+29)=5),toukosu1+29, "")</f>
        <v>43249</v>
      </c>
      <c r="M20" s="12">
        <f ca="1">IF(AND(YEAR(toukosu1+30)=Vuosi,MONTH(toukosu1+30)=5),toukosu1+30, "")</f>
        <v>43250</v>
      </c>
      <c r="N20" s="12">
        <f ca="1">IF(AND(YEAR(toukosu1+31)=Vuosi,MONTH(toukosu1+31)=5),toukosu1+31, "")</f>
        <v>43251</v>
      </c>
      <c r="O20" s="12" t="str">
        <f ca="1">IF(AND(YEAR(toukosu1+32)=Vuosi,MONTH(toukosu1+32)=5),toukosu1+32, "")</f>
        <v/>
      </c>
      <c r="P20" s="12" t="str">
        <f ca="1">IF(AND(YEAR(toukosu1+33)=Vuosi,MONTH(toukosu1+33)=5),toukosu1+33, "")</f>
        <v/>
      </c>
      <c r="Q20" s="12" t="str">
        <f ca="1">IF(AND(YEAR(toukosu1+34)=Vuosi,MONTH(toukosu1+34)=5),toukosu1+34, "")</f>
        <v/>
      </c>
      <c r="R20" s="7"/>
      <c r="S20" s="12">
        <f ca="1">IF(AND(YEAR(elosu1+28)=Vuosi,MONTH(elosu1+28)=8),elosu1+28, "")</f>
        <v>43339</v>
      </c>
      <c r="T20" s="12">
        <f ca="1">IF(AND(YEAR(elosu1+29)=Vuosi,MONTH(elosu1+29)=8),elosu1+29, "")</f>
        <v>43340</v>
      </c>
      <c r="U20" s="12">
        <f ca="1">IF(AND(YEAR(elosu1+30)=Vuosi,MONTH(elosu1+30)=8),elosu1+30, "")</f>
        <v>43341</v>
      </c>
      <c r="V20" s="12">
        <f ca="1">IF(AND(YEAR(elosu1+31)=Vuosi,MONTH(elosu1+31)=8),elosu1+31, "")</f>
        <v>43342</v>
      </c>
      <c r="W20" s="12">
        <f ca="1">IF(AND(YEAR(elosu1+32)=Vuosi,MONTH(elosu1+32)=8),elosu1+32, "")</f>
        <v>43343</v>
      </c>
      <c r="X20" s="12" t="str">
        <f ca="1">IF(AND(YEAR(elosu1+33)=Vuosi,MONTH(elosu1+33)=8),elosu1+33, "")</f>
        <v/>
      </c>
      <c r="Y20" s="12" t="str">
        <f ca="1">IF(AND(YEAR(elosu1+34)=Vuosi,MONTH(elosu1+34)=8),elosu1+34, "")</f>
        <v/>
      </c>
      <c r="Z20" s="7"/>
      <c r="AA20" s="12">
        <f ca="1">IF(AND(YEAR(marrassu1+28)=Vuosi,MONTH(marrassu1+28)=11),marrassu1+28, "")</f>
        <v>43430</v>
      </c>
      <c r="AB20" s="12">
        <f ca="1">IF(AND(YEAR(marrassu1+29)=Vuosi,MONTH(marrassu1+29)=11),marrassu1+29, "")</f>
        <v>43431</v>
      </c>
      <c r="AC20" s="12">
        <f ca="1">IF(AND(YEAR(marrassu1+30)=Vuosi,MONTH(marrassu1+30)=11),marrassu1+30, "")</f>
        <v>43432</v>
      </c>
      <c r="AD20" s="12">
        <f ca="1">IF(AND(YEAR(marrassu1+31)=Vuosi,MONTH(marrassu1+31)=11),marrassu1+31, "")</f>
        <v>43433</v>
      </c>
      <c r="AE20" s="12">
        <f ca="1">IF(AND(YEAR(marrassu1+32)=Vuosi,MONTH(marrassu1+32)=11),marrassu1+32, "")</f>
        <v>43434</v>
      </c>
      <c r="AF20" s="12" t="str">
        <f ca="1">IF(AND(YEAR(marrassu1+33)=Vuosi,MONTH(marrassu1+33)=11),marrassu1+33, "")</f>
        <v/>
      </c>
      <c r="AG20" s="12" t="str">
        <f ca="1">IF(AND(YEAR(marrassu1+34)=Vuosi,MONTH(marrassu1+34)=11),marrassu1+34, "")</f>
        <v/>
      </c>
      <c r="AH20" s="8"/>
    </row>
    <row r="21" spans="2:34" x14ac:dyDescent="0.2">
      <c r="B21" s="6"/>
      <c r="C21" s="12" t="str">
        <f ca="1">IF(AND(YEAR(helmisu1+35)=Vuosi,MONTH(helmisu1+35)=2),helmisu1+35, "")</f>
        <v/>
      </c>
      <c r="D21" s="12" t="str">
        <f ca="1">IF(AND(YEAR(helmisu1+36)=Vuosi,MONTH(helmisu1+36)=2),helmisu1+36, "")</f>
        <v/>
      </c>
      <c r="E21" s="12" t="str">
        <f ca="1">IF(AND(YEAR(helmisu1+37)=Vuosi,MONTH(helmisu1+37)=2),helmisu1+37, "")</f>
        <v/>
      </c>
      <c r="F21" s="12" t="str">
        <f ca="1">IF(AND(YEAR(helmisu1+38)=Vuosi,MONTH(helmisu1+38)=2),helmisu1+38, "")</f>
        <v/>
      </c>
      <c r="G21" s="12" t="str">
        <f ca="1">IF(AND(YEAR(helmisu1+39)=Vuosi,MONTH(helmisu1+39)=2),helmisu1+39, "")</f>
        <v/>
      </c>
      <c r="H21" s="12" t="str">
        <f ca="1">IF(AND(YEAR(helmisu1+40)=Vuosi,MONTH(helmisu1+40)=2),helmisu1+40, "")</f>
        <v/>
      </c>
      <c r="I21" s="12" t="str">
        <f ca="1">IF(AND(YEAR(helmisu1+41)=Vuosi,MONTH(helmisu1+41)=2),helmisu1+41, "")</f>
        <v/>
      </c>
      <c r="J21" s="7"/>
      <c r="K21" s="12" t="str">
        <f ca="1">IF(AND(YEAR(toukosu1+35)=Vuosi,MONTH(toukosu1+35)=5),toukosu1+35, "")</f>
        <v/>
      </c>
      <c r="L21" s="12" t="str">
        <f ca="1">IF(AND(YEAR(toukosu1+36)=Vuosi,MONTH(toukosu1+36)=5),toukosu1+36, "")</f>
        <v/>
      </c>
      <c r="M21" s="12" t="str">
        <f ca="1">IF(AND(YEAR(toukosu1+37)=Vuosi,MONTH(toukosu1+37)=5),toukosu1+37, "")</f>
        <v/>
      </c>
      <c r="N21" s="12" t="str">
        <f ca="1">IF(AND(YEAR(toukosu1+38)=Vuosi,MONTH(toukosu1+38)=5),toukosu1+38, "")</f>
        <v/>
      </c>
      <c r="O21" s="12" t="str">
        <f ca="1">IF(AND(YEAR(toukosu1+39)=Vuosi,MONTH(toukosu1+39)=5),toukosu1+39, "")</f>
        <v/>
      </c>
      <c r="P21" s="12" t="str">
        <f ca="1">IF(AND(YEAR(toukosu1+40)=Vuosi,MONTH(toukosu1+40)=5),toukosu1+40, "")</f>
        <v/>
      </c>
      <c r="Q21" s="12" t="str">
        <f ca="1">IF(AND(YEAR(toukosu1+41)=Vuosi,MONTH(toukosu1+41)=5),toukosu1+41, "")</f>
        <v/>
      </c>
      <c r="R21" s="7"/>
      <c r="S21" s="12" t="str">
        <f ca="1">IF(AND(YEAR(elosu1+35)=Vuosi,MONTH(elosu1+35)=8),elosu1+35, "")</f>
        <v/>
      </c>
      <c r="T21" s="12" t="str">
        <f ca="1">IF(AND(YEAR(elosu1+36)=Vuosi,MONTH(elosu1+36)=8),elosu1+36, "")</f>
        <v/>
      </c>
      <c r="U21" s="12" t="str">
        <f ca="1">IF(AND(YEAR(elosu1+37)=Vuosi,MONTH(elosu1+37)=8),elosu1+37, "")</f>
        <v/>
      </c>
      <c r="V21" s="12" t="str">
        <f ca="1">IF(AND(YEAR(elosu1+38)=Vuosi,MONTH(elosu1+38)=8),elosu1+38, "")</f>
        <v/>
      </c>
      <c r="W21" s="12" t="str">
        <f ca="1">IF(AND(YEAR(elosu1+39)=Vuosi,MONTH(elosu1+39)=8),elosu1+39, "")</f>
        <v/>
      </c>
      <c r="X21" s="12" t="str">
        <f ca="1">IF(AND(YEAR(elosu1+40)=Vuosi,MONTH(elosu1+40)=8),elosu1+40, "")</f>
        <v/>
      </c>
      <c r="Y21" s="12" t="str">
        <f ca="1">IF(AND(YEAR(elosu1+41)=Vuosi,MONTH(elosu1+41)=8),elosu1+41, "")</f>
        <v/>
      </c>
      <c r="Z21" s="7"/>
      <c r="AA21" s="12" t="str">
        <f ca="1">IF(AND(YEAR(marrassu1+35)=Vuosi,MONTH(marrassu1+35)=11),marrassu1+35, "")</f>
        <v/>
      </c>
      <c r="AB21" s="12" t="str">
        <f ca="1">IF(AND(YEAR(marrassu1+36)=Vuosi,MONTH(marrassu1+36)=11),marrassu1+36, "")</f>
        <v/>
      </c>
      <c r="AC21" s="12" t="str">
        <f ca="1">IF(AND(YEAR(marrassu1+37)=Vuosi,MONTH(marrassu1+37)=11),marrassu1+37, "")</f>
        <v/>
      </c>
      <c r="AD21" s="12" t="str">
        <f ca="1">IF(AND(YEAR(marrassu1+38)=Vuosi,MONTH(marrassu1+38)=11),marrassu1+38, "")</f>
        <v/>
      </c>
      <c r="AE21" s="12" t="str">
        <f ca="1">IF(AND(YEAR(marrassu1+39)=Vuosi,MONTH(marrassu1+39)=11),marrassu1+39, "")</f>
        <v/>
      </c>
      <c r="AF21" s="12" t="str">
        <f ca="1">IF(AND(YEAR(marrassu1+40)=Vuosi,MONTH(marrassu1+40)=11),marrassu1+40, "")</f>
        <v/>
      </c>
      <c r="AG21" s="12" t="str">
        <f ca="1">IF(AND(YEAR(marrassu1+41)=Vuosi,MONTH(marrassu1+41)=11),marrassu1+41, "")</f>
        <v/>
      </c>
      <c r="AH21" s="8"/>
    </row>
    <row r="22" spans="2:34" ht="4.5" customHeight="1" x14ac:dyDescent="0.2">
      <c r="B22" s="6"/>
      <c r="C22" s="13"/>
      <c r="D22" s="13"/>
      <c r="E22" s="13"/>
      <c r="F22" s="13"/>
      <c r="G22" s="13"/>
      <c r="H22" s="13"/>
      <c r="I22" s="13"/>
      <c r="J22" s="7"/>
      <c r="K22" s="13"/>
      <c r="L22" s="13"/>
      <c r="M22" s="13"/>
      <c r="N22" s="13"/>
      <c r="O22" s="13"/>
      <c r="P22" s="13"/>
      <c r="Q22" s="13"/>
      <c r="R22" s="7"/>
      <c r="S22" s="13"/>
      <c r="T22" s="13"/>
      <c r="U22" s="13"/>
      <c r="V22" s="13"/>
      <c r="W22" s="13"/>
      <c r="X22" s="13"/>
      <c r="Y22" s="13"/>
      <c r="Z22" s="7"/>
      <c r="AA22" s="13"/>
      <c r="AB22" s="13"/>
      <c r="AC22" s="13"/>
      <c r="AD22" s="13"/>
      <c r="AE22" s="13"/>
      <c r="AF22" s="13"/>
      <c r="AG22" s="13"/>
      <c r="AH22" s="8"/>
    </row>
    <row r="23" spans="2:34" x14ac:dyDescent="0.2">
      <c r="B23" s="6"/>
      <c r="C23" s="20" t="s">
        <v>3</v>
      </c>
      <c r="D23" s="20"/>
      <c r="E23" s="20"/>
      <c r="F23" s="20"/>
      <c r="G23" s="20"/>
      <c r="H23" s="20"/>
      <c r="I23" s="20"/>
      <c r="J23" s="7"/>
      <c r="K23" s="20" t="s">
        <v>12</v>
      </c>
      <c r="L23" s="20"/>
      <c r="M23" s="20"/>
      <c r="N23" s="20"/>
      <c r="O23" s="20"/>
      <c r="P23" s="20"/>
      <c r="Q23" s="20"/>
      <c r="R23" s="7"/>
      <c r="S23" s="20" t="s">
        <v>15</v>
      </c>
      <c r="T23" s="20"/>
      <c r="U23" s="20"/>
      <c r="V23" s="20"/>
      <c r="W23" s="20"/>
      <c r="X23" s="20"/>
      <c r="Y23" s="20"/>
      <c r="Z23" s="7"/>
      <c r="AA23" s="20" t="s">
        <v>18</v>
      </c>
      <c r="AB23" s="20"/>
      <c r="AC23" s="20"/>
      <c r="AD23" s="20"/>
      <c r="AE23" s="20"/>
      <c r="AF23" s="20"/>
      <c r="AG23" s="20"/>
      <c r="AH23" s="8"/>
    </row>
    <row r="24" spans="2:34" x14ac:dyDescent="0.2">
      <c r="B24" s="6"/>
      <c r="C24" s="9" t="s">
        <v>1</v>
      </c>
      <c r="D24" s="9" t="s">
        <v>4</v>
      </c>
      <c r="E24" s="9" t="s">
        <v>5</v>
      </c>
      <c r="F24" s="9" t="s">
        <v>4</v>
      </c>
      <c r="G24" s="9" t="s">
        <v>6</v>
      </c>
      <c r="H24" s="10" t="s">
        <v>7</v>
      </c>
      <c r="I24" s="10" t="s">
        <v>9</v>
      </c>
      <c r="J24" s="7"/>
      <c r="K24" s="9" t="s">
        <v>1</v>
      </c>
      <c r="L24" s="9" t="s">
        <v>4</v>
      </c>
      <c r="M24" s="9" t="s">
        <v>5</v>
      </c>
      <c r="N24" s="9" t="s">
        <v>4</v>
      </c>
      <c r="O24" s="9" t="s">
        <v>6</v>
      </c>
      <c r="P24" s="10" t="s">
        <v>7</v>
      </c>
      <c r="Q24" s="10" t="s">
        <v>9</v>
      </c>
      <c r="R24" s="7"/>
      <c r="S24" s="9" t="s">
        <v>1</v>
      </c>
      <c r="T24" s="9" t="s">
        <v>4</v>
      </c>
      <c r="U24" s="9" t="s">
        <v>5</v>
      </c>
      <c r="V24" s="9" t="s">
        <v>4</v>
      </c>
      <c r="W24" s="9" t="s">
        <v>6</v>
      </c>
      <c r="X24" s="10" t="s">
        <v>7</v>
      </c>
      <c r="Y24" s="10" t="s">
        <v>9</v>
      </c>
      <c r="Z24" s="7"/>
      <c r="AA24" s="9" t="s">
        <v>1</v>
      </c>
      <c r="AB24" s="9" t="s">
        <v>4</v>
      </c>
      <c r="AC24" s="9" t="s">
        <v>5</v>
      </c>
      <c r="AD24" s="9" t="s">
        <v>4</v>
      </c>
      <c r="AE24" s="9" t="s">
        <v>6</v>
      </c>
      <c r="AF24" s="10" t="s">
        <v>7</v>
      </c>
      <c r="AG24" s="10" t="s">
        <v>9</v>
      </c>
      <c r="AH24" s="8"/>
    </row>
    <row r="25" spans="2:34" x14ac:dyDescent="0.2">
      <c r="B25" s="6"/>
      <c r="C25" s="11" t="str">
        <f ca="1">IF(AND(YEAR(maalissu1)=Vuosi,MONTH(maalissu1)=3),maalissu1, "")</f>
        <v/>
      </c>
      <c r="D25" s="11" t="str">
        <f ca="1">IF(AND(YEAR(maalissu1+1)=Vuosi,MONTH(maalissu1+1)=3),maalissu1+1, "")</f>
        <v/>
      </c>
      <c r="E25" s="11" t="str">
        <f ca="1">IF(AND(YEAR(maalissu1+2)=Vuosi,MONTH(maalissu1+2)=3),maalissu1+2, "")</f>
        <v/>
      </c>
      <c r="F25" s="11">
        <f ca="1">IF(AND(YEAR(maalissu1+3)=Vuosi,MONTH(maalissu1+3)=3),maalissu1+3, "")</f>
        <v>43160</v>
      </c>
      <c r="G25" s="11">
        <f ca="1">IF(AND(YEAR(maalissu1+4)=Vuosi,MONTH(maalissu1+4)=3),maalissu1+4, "")</f>
        <v>43161</v>
      </c>
      <c r="H25" s="11">
        <f ca="1">IF(AND(YEAR(maalissu1+5)=Vuosi,MONTH(maalissu1+5)=3),maalissu1+5, "")</f>
        <v>43162</v>
      </c>
      <c r="I25" s="11">
        <f ca="1">IF(AND(YEAR(maalissu1+6)=Vuosi,MONTH(maalissu1+6)=3),maalissu1+6, "")</f>
        <v>43163</v>
      </c>
      <c r="J25" s="7"/>
      <c r="K25" s="11" t="str">
        <f ca="1">IF(AND(YEAR(kesäsu1)=Vuosi,MONTH(kesäsu1)=6),kesäsu1, "")</f>
        <v/>
      </c>
      <c r="L25" s="11" t="str">
        <f ca="1">IF(AND(YEAR(kesäsu1+1)=Vuosi,MONTH(kesäsu1+1)=6),kesäsu1+1, "")</f>
        <v/>
      </c>
      <c r="M25" s="11" t="str">
        <f ca="1">IF(AND(YEAR(kesäsu1+2)=Vuosi,MONTH(kesäsu1+2)=6),kesäsu1+2, "")</f>
        <v/>
      </c>
      <c r="N25" s="11" t="str">
        <f ca="1">IF(AND(YEAR(kesäsu1+3)=Vuosi,MONTH(kesäsu1+3)=6),kesäsu1+3, "")</f>
        <v/>
      </c>
      <c r="O25" s="11">
        <f ca="1">IF(AND(YEAR(kesäsu1+4)=Vuosi,MONTH(kesäsu1+4)=6),kesäsu1+4, "")</f>
        <v>43252</v>
      </c>
      <c r="P25" s="11">
        <f ca="1">IF(AND(YEAR(kesäsu1+5)=Vuosi,MONTH(kesäsu1+5)=6),kesäsu1+5, "")</f>
        <v>43253</v>
      </c>
      <c r="Q25" s="11">
        <f ca="1">IF(AND(YEAR(kesäsu1+6)=Vuosi,MONTH(kesäsu1+6)=6),kesäsu1+6, "")</f>
        <v>43254</v>
      </c>
      <c r="R25" s="7"/>
      <c r="S25" s="11" t="str">
        <f ca="1">IF(AND(YEAR(syyssu1)=Vuosi,MONTH(syyssu1)=9),syyssu1, "")</f>
        <v/>
      </c>
      <c r="T25" s="11" t="str">
        <f ca="1">IF(AND(YEAR(syyssu1+1)=Vuosi,MONTH(syyssu1+1)=9),syyssu1+1, "")</f>
        <v/>
      </c>
      <c r="U25" s="11" t="str">
        <f ca="1">IF(AND(YEAR(syyssu1+2)=Vuosi,MONTH(syyssu1+2)=9),syyssu1+2, "")</f>
        <v/>
      </c>
      <c r="V25" s="11" t="str">
        <f ca="1">IF(AND(YEAR(syyssu1+3)=Vuosi,MONTH(syyssu1+3)=9),syyssu1+3, "")</f>
        <v/>
      </c>
      <c r="W25" s="11" t="str">
        <f ca="1">IF(AND(YEAR(syyssu1+4)=Vuosi,MONTH(syyssu1+4)=9),syyssu1+4, "")</f>
        <v/>
      </c>
      <c r="X25" s="11">
        <f ca="1">IF(AND(YEAR(syyssu1+5)=Vuosi,MONTH(syyssu1+5)=9),syyssu1+5, "")</f>
        <v>43344</v>
      </c>
      <c r="Y25" s="11">
        <f ca="1">IF(AND(YEAR(syyssu1+6)=Vuosi,MONTH(syyssu1+6)=9),syyssu1+6, "")</f>
        <v>43345</v>
      </c>
      <c r="Z25" s="7"/>
      <c r="AA25" s="11" t="str">
        <f ca="1">IF(AND(YEAR(joulusu1)=Vuosi,MONTH(joulusu1)=12),joulusu1, "")</f>
        <v/>
      </c>
      <c r="AB25" s="11" t="str">
        <f ca="1">IF(AND(YEAR(joulusu1+1)=Vuosi,MONTH(joulusu1+1)=12),joulusu1+1, "")</f>
        <v/>
      </c>
      <c r="AC25" s="11" t="str">
        <f ca="1">IF(AND(YEAR(joulusu1+2)=Vuosi,MONTH(joulusu1+2)=12),joulusu1+2, "")</f>
        <v/>
      </c>
      <c r="AD25" s="11" t="str">
        <f ca="1">IF(AND(YEAR(joulusu1+3)=Vuosi,MONTH(joulusu1+3)=12),joulusu1+3, "")</f>
        <v/>
      </c>
      <c r="AE25" s="11" t="str">
        <f ca="1">IF(AND(YEAR(joulusu1+4)=Vuosi,MONTH(joulusu1+4)=12),joulusu1+4, "")</f>
        <v/>
      </c>
      <c r="AF25" s="11">
        <f ca="1">IF(AND(YEAR(joulusu1+5)=Vuosi,MONTH(joulusu1+5)=12),joulusu1+5, "")</f>
        <v>43435</v>
      </c>
      <c r="AG25" s="11">
        <f ca="1">IF(AND(YEAR(joulusu1+6)=Vuosi,MONTH(joulusu1+6)=12),joulusu1+6, "")</f>
        <v>43436</v>
      </c>
      <c r="AH25" s="8"/>
    </row>
    <row r="26" spans="2:34" x14ac:dyDescent="0.2">
      <c r="B26" s="6"/>
      <c r="C26" s="12">
        <f ca="1">IF(AND(YEAR(maalissu1+7)=Vuosi,MONTH(maalissu1+7)=3),maalissu1+7, "")</f>
        <v>43164</v>
      </c>
      <c r="D26" s="12">
        <f ca="1">IF(AND(YEAR(maalissu1+8)=Vuosi,MONTH(maalissu1+8)=3),maalissu1+8, "")</f>
        <v>43165</v>
      </c>
      <c r="E26" s="12">
        <f ca="1">IF(AND(YEAR(maalissu1+9)=Vuosi,MONTH(maalissu1+9)=3),maalissu1+9, "")</f>
        <v>43166</v>
      </c>
      <c r="F26" s="12">
        <f ca="1">IF(AND(YEAR(maalissu1+10)=Vuosi,MONTH(maalissu1+10)=3),maalissu1+10, "")</f>
        <v>43167</v>
      </c>
      <c r="G26" s="12">
        <f ca="1">IF(AND(YEAR(maalissu1+11)=Vuosi,MONTH(maalissu1+11)=3),maalissu1+11, "")</f>
        <v>43168</v>
      </c>
      <c r="H26" s="12">
        <f ca="1">IF(AND(YEAR(maalissu1+12)=Vuosi,MONTH(maalissu1+12)=3),maalissu1+12, "")</f>
        <v>43169</v>
      </c>
      <c r="I26" s="12">
        <f ca="1">IF(AND(YEAR(maalissu1+13)=Vuosi,MONTH(maalissu1+13)=3),maalissu1+13, "")</f>
        <v>43170</v>
      </c>
      <c r="J26" s="7"/>
      <c r="K26" s="12">
        <f ca="1">IF(AND(YEAR(kesäsu1+7)=Vuosi,MONTH(kesäsu1+7)=6),kesäsu1+7, "")</f>
        <v>43255</v>
      </c>
      <c r="L26" s="12">
        <f ca="1">IF(AND(YEAR(kesäsu1+8)=Vuosi,MONTH(kesäsu1+8)=6),kesäsu1+8, "")</f>
        <v>43256</v>
      </c>
      <c r="M26" s="12">
        <f ca="1">IF(AND(YEAR(kesäsu1+9)=Vuosi,MONTH(kesäsu1+9)=6),kesäsu1+9, "")</f>
        <v>43257</v>
      </c>
      <c r="N26" s="12">
        <f ca="1">IF(AND(YEAR(kesäsu1+10)=Vuosi,MONTH(kesäsu1+10)=6),kesäsu1+10, "")</f>
        <v>43258</v>
      </c>
      <c r="O26" s="12">
        <f ca="1">IF(AND(YEAR(kesäsu1+11)=Vuosi,MONTH(kesäsu1+11)=6),kesäsu1+11, "")</f>
        <v>43259</v>
      </c>
      <c r="P26" s="12">
        <f ca="1">IF(AND(YEAR(kesäsu1+12)=Vuosi,MONTH(kesäsu1+12)=6),kesäsu1+12, "")</f>
        <v>43260</v>
      </c>
      <c r="Q26" s="12">
        <f ca="1">IF(AND(YEAR(kesäsu1+13)=Vuosi,MONTH(kesäsu1+13)=6),kesäsu1+13, "")</f>
        <v>43261</v>
      </c>
      <c r="R26" s="7"/>
      <c r="S26" s="12">
        <f ca="1">IF(AND(YEAR(syyssu1+7)=Vuosi,MONTH(syyssu1+7)=9),syyssu1+7, "")</f>
        <v>43346</v>
      </c>
      <c r="T26" s="12">
        <f ca="1">IF(AND(YEAR(syyssu1+8)=Vuosi,MONTH(syyssu1+8)=9),syyssu1+8, "")</f>
        <v>43347</v>
      </c>
      <c r="U26" s="12">
        <f ca="1">IF(AND(YEAR(syyssu1+9)=Vuosi,MONTH(syyssu1+9)=9),syyssu1+9, "")</f>
        <v>43348</v>
      </c>
      <c r="V26" s="12">
        <f ca="1">IF(AND(YEAR(syyssu1+10)=Vuosi,MONTH(syyssu1+10)=9),syyssu1+10, "")</f>
        <v>43349</v>
      </c>
      <c r="W26" s="12">
        <f ca="1">IF(AND(YEAR(syyssu1+11)=Vuosi,MONTH(syyssu1+11)=9),syyssu1+11, "")</f>
        <v>43350</v>
      </c>
      <c r="X26" s="12">
        <f ca="1">IF(AND(YEAR(syyssu1+12)=Vuosi,MONTH(syyssu1+12)=9),syyssu1+12, "")</f>
        <v>43351</v>
      </c>
      <c r="Y26" s="12">
        <f ca="1">IF(AND(YEAR(syyssu1+13)=Vuosi,MONTH(syyssu1+13)=9),syyssu1+13, "")</f>
        <v>43352</v>
      </c>
      <c r="Z26" s="7"/>
      <c r="AA26" s="12">
        <f ca="1">IF(AND(YEAR(joulusu1+7)=Vuosi,MONTH(joulusu1+7)=12),joulusu1+7, "")</f>
        <v>43437</v>
      </c>
      <c r="AB26" s="12">
        <f ca="1">IF(AND(YEAR(joulusu1+8)=Vuosi,MONTH(joulusu1+8)=12),joulusu1+8, "")</f>
        <v>43438</v>
      </c>
      <c r="AC26" s="12">
        <f ca="1">IF(AND(YEAR(joulusu1+9)=Vuosi,MONTH(joulusu1+9)=12),joulusu1+9, "")</f>
        <v>43439</v>
      </c>
      <c r="AD26" s="12">
        <f ca="1">IF(AND(YEAR(joulusu1+10)=Vuosi,MONTH(joulusu1+10)=12),joulusu1+10, "")</f>
        <v>43440</v>
      </c>
      <c r="AE26" s="12">
        <f ca="1">IF(AND(YEAR(joulusu1+11)=Vuosi,MONTH(joulusu1+11)=12),joulusu1+11, "")</f>
        <v>43441</v>
      </c>
      <c r="AF26" s="12">
        <f ca="1">IF(AND(YEAR(joulusu1+12)=Vuosi,MONTH(joulusu1+12)=12),joulusu1+12, "")</f>
        <v>43442</v>
      </c>
      <c r="AG26" s="12">
        <f ca="1">IF(AND(YEAR(joulusu1+13)=Vuosi,MONTH(joulusu1+13)=12),joulusu1+13, "")</f>
        <v>43443</v>
      </c>
      <c r="AH26" s="8"/>
    </row>
    <row r="27" spans="2:34" x14ac:dyDescent="0.2">
      <c r="B27" s="6"/>
      <c r="C27" s="12">
        <f ca="1">IF(AND(YEAR(maalissu1+14)=Vuosi,MONTH(maalissu1+14)=3),maalissu1+14, "")</f>
        <v>43171</v>
      </c>
      <c r="D27" s="12">
        <f ca="1">IF(AND(YEAR(maalissu1+15)=Vuosi,MONTH(maalissu1+15)=3),maalissu1+15, "")</f>
        <v>43172</v>
      </c>
      <c r="E27" s="12">
        <f ca="1">IF(AND(YEAR(maalissu1+16)=Vuosi,MONTH(maalissu1+16)=3),maalissu1+16, "")</f>
        <v>43173</v>
      </c>
      <c r="F27" s="12">
        <f ca="1">IF(AND(YEAR(maalissu1+17)=Vuosi,MONTH(maalissu1+17)=3),maalissu1+17, "")</f>
        <v>43174</v>
      </c>
      <c r="G27" s="12">
        <f ca="1">IF(AND(YEAR(maalissu1+18)=Vuosi,MONTH(maalissu1+18)=3),maalissu1+18, "")</f>
        <v>43175</v>
      </c>
      <c r="H27" s="12">
        <f ca="1">IF(AND(YEAR(maalissu1+19)=Vuosi,MONTH(maalissu1+19)=3),maalissu1+19, "")</f>
        <v>43176</v>
      </c>
      <c r="I27" s="12">
        <f ca="1">IF(AND(YEAR(maalissu1+20)=Vuosi,MONTH(maalissu1+20)=3),maalissu1+20, "")</f>
        <v>43177</v>
      </c>
      <c r="J27" s="7"/>
      <c r="K27" s="12">
        <f ca="1">IF(AND(YEAR(kesäsu1+14)=Vuosi,MONTH(kesäsu1+14)=6),kesäsu1+14, "")</f>
        <v>43262</v>
      </c>
      <c r="L27" s="12">
        <f ca="1">IF(AND(YEAR(kesäsu1+15)=Vuosi,MONTH(kesäsu1+15)=6),kesäsu1+15, "")</f>
        <v>43263</v>
      </c>
      <c r="M27" s="12">
        <f ca="1">IF(AND(YEAR(kesäsu1+16)=Vuosi,MONTH(kesäsu1+16)=6),kesäsu1+16, "")</f>
        <v>43264</v>
      </c>
      <c r="N27" s="12">
        <f ca="1">IF(AND(YEAR(kesäsu1+17)=Vuosi,MONTH(kesäsu1+17)=6),kesäsu1+17, "")</f>
        <v>43265</v>
      </c>
      <c r="O27" s="12">
        <f ca="1">IF(AND(YEAR(kesäsu1+18)=Vuosi,MONTH(kesäsu1+18)=6),kesäsu1+18, "")</f>
        <v>43266</v>
      </c>
      <c r="P27" s="12">
        <f ca="1">IF(AND(YEAR(kesäsu1+19)=Vuosi,MONTH(kesäsu1+19)=6),kesäsu1+19, "")</f>
        <v>43267</v>
      </c>
      <c r="Q27" s="12">
        <f ca="1">IF(AND(YEAR(kesäsu1+20)=Vuosi,MONTH(kesäsu1+20)=6),kesäsu1+20, "")</f>
        <v>43268</v>
      </c>
      <c r="R27" s="7"/>
      <c r="S27" s="12">
        <f ca="1">IF(AND(YEAR(syyssu1+14)=Vuosi,MONTH(syyssu1+14)=9),syyssu1+14, "")</f>
        <v>43353</v>
      </c>
      <c r="T27" s="12">
        <f ca="1">IF(AND(YEAR(syyssu1+15)=Vuosi,MONTH(syyssu1+15)=9),syyssu1+15, "")</f>
        <v>43354</v>
      </c>
      <c r="U27" s="12">
        <f ca="1">IF(AND(YEAR(syyssu1+16)=Vuosi,MONTH(syyssu1+16)=9),syyssu1+16, "")</f>
        <v>43355</v>
      </c>
      <c r="V27" s="12">
        <f ca="1">IF(AND(YEAR(syyssu1+17)=Vuosi,MONTH(syyssu1+17)=9),syyssu1+17, "")</f>
        <v>43356</v>
      </c>
      <c r="W27" s="12">
        <f ca="1">IF(AND(YEAR(syyssu1+18)=Vuosi,MONTH(syyssu1+18)=9),syyssu1+18, "")</f>
        <v>43357</v>
      </c>
      <c r="X27" s="12">
        <f ca="1">IF(AND(YEAR(syyssu1+19)=Vuosi,MONTH(syyssu1+19)=9),syyssu1+19, "")</f>
        <v>43358</v>
      </c>
      <c r="Y27" s="12">
        <f ca="1">IF(AND(YEAR(syyssu1+20)=Vuosi,MONTH(syyssu1+20)=9),syyssu1+20, "")</f>
        <v>43359</v>
      </c>
      <c r="Z27" s="7"/>
      <c r="AA27" s="12">
        <f ca="1">IF(AND(YEAR(joulusu1+14)=Vuosi,MONTH(joulusu1+14)=12),joulusu1+14, "")</f>
        <v>43444</v>
      </c>
      <c r="AB27" s="12">
        <f ca="1">IF(AND(YEAR(joulusu1+15)=Vuosi,MONTH(joulusu1+15)=12),joulusu1+15, "")</f>
        <v>43445</v>
      </c>
      <c r="AC27" s="12">
        <f ca="1">IF(AND(YEAR(joulusu1+16)=Vuosi,MONTH(joulusu1+16)=12),joulusu1+16, "")</f>
        <v>43446</v>
      </c>
      <c r="AD27" s="12">
        <f ca="1">IF(AND(YEAR(joulusu1+17)=Vuosi,MONTH(joulusu1+17)=12),joulusu1+17, "")</f>
        <v>43447</v>
      </c>
      <c r="AE27" s="12">
        <f ca="1">IF(AND(YEAR(joulusu1+18)=Vuosi,MONTH(joulusu1+18)=12),joulusu1+18, "")</f>
        <v>43448</v>
      </c>
      <c r="AF27" s="12">
        <f ca="1">IF(AND(YEAR(joulusu1+19)=Vuosi,MONTH(joulusu1+19)=12),joulusu1+19, "")</f>
        <v>43449</v>
      </c>
      <c r="AG27" s="12">
        <f ca="1">IF(AND(YEAR(joulusu1+20)=Vuosi,MONTH(joulusu1+20)=12),joulusu1+20, "")</f>
        <v>43450</v>
      </c>
      <c r="AH27" s="8"/>
    </row>
    <row r="28" spans="2:34" x14ac:dyDescent="0.2">
      <c r="B28" s="6"/>
      <c r="C28" s="12">
        <f ca="1">IF(AND(YEAR(maalissu1+21)=Vuosi,MONTH(maalissu1+21)=3),maalissu1+21, "")</f>
        <v>43178</v>
      </c>
      <c r="D28" s="12">
        <f ca="1">IF(AND(YEAR(maalissu1+22)=Vuosi,MONTH(maalissu1+22)=3),maalissu1+22, "")</f>
        <v>43179</v>
      </c>
      <c r="E28" s="12">
        <f ca="1">IF(AND(YEAR(maalissu1+23)=Vuosi,MONTH(maalissu1+23)=3),maalissu1+23, "")</f>
        <v>43180</v>
      </c>
      <c r="F28" s="12">
        <f ca="1">IF(AND(YEAR(maalissu1+24)=Vuosi,MONTH(maalissu1+24)=3),maalissu1+24, "")</f>
        <v>43181</v>
      </c>
      <c r="G28" s="12">
        <f ca="1">IF(AND(YEAR(maalissu1+25)=Vuosi,MONTH(maalissu1+25)=3),maalissu1+25, "")</f>
        <v>43182</v>
      </c>
      <c r="H28" s="12">
        <f ca="1">IF(AND(YEAR(maalissu1+26)=Vuosi,MONTH(maalissu1+26)=3),maalissu1+26, "")</f>
        <v>43183</v>
      </c>
      <c r="I28" s="12">
        <f ca="1">IF(AND(YEAR(maalissu1+27)=Vuosi,MONTH(maalissu1+27)=3),maalissu1+27, "")</f>
        <v>43184</v>
      </c>
      <c r="J28" s="7"/>
      <c r="K28" s="12">
        <f ca="1">IF(AND(YEAR(kesäsu1+21)=Vuosi,MONTH(kesäsu1+21)=6),kesäsu1+21, "")</f>
        <v>43269</v>
      </c>
      <c r="L28" s="12">
        <f ca="1">IF(AND(YEAR(kesäsu1+22)=Vuosi,MONTH(kesäsu1+22)=6),kesäsu1+22, "")</f>
        <v>43270</v>
      </c>
      <c r="M28" s="12">
        <f ca="1">IF(AND(YEAR(kesäsu1+23)=Vuosi,MONTH(kesäsu1+23)=6),kesäsu1+23, "")</f>
        <v>43271</v>
      </c>
      <c r="N28" s="12">
        <f ca="1">IF(AND(YEAR(kesäsu1+24)=Vuosi,MONTH(kesäsu1+24)=6),kesäsu1+24, "")</f>
        <v>43272</v>
      </c>
      <c r="O28" s="12">
        <f ca="1">IF(AND(YEAR(kesäsu1+25)=Vuosi,MONTH(kesäsu1+25)=6),kesäsu1+25, "")</f>
        <v>43273</v>
      </c>
      <c r="P28" s="12">
        <f ca="1">IF(AND(YEAR(kesäsu1+26)=Vuosi,MONTH(kesäsu1+26)=6),kesäsu1+26, "")</f>
        <v>43274</v>
      </c>
      <c r="Q28" s="12">
        <f ca="1">IF(AND(YEAR(kesäsu1+27)=Vuosi,MONTH(kesäsu1+27)=6),kesäsu1+27, "")</f>
        <v>43275</v>
      </c>
      <c r="R28" s="7"/>
      <c r="S28" s="12">
        <f ca="1">IF(AND(YEAR(syyssu1+21)=Vuosi,MONTH(syyssu1+21)=9),syyssu1+21, "")</f>
        <v>43360</v>
      </c>
      <c r="T28" s="12">
        <f ca="1">IF(AND(YEAR(syyssu1+22)=Vuosi,MONTH(syyssu1+22)=9),syyssu1+22, "")</f>
        <v>43361</v>
      </c>
      <c r="U28" s="12">
        <f ca="1">IF(AND(YEAR(syyssu1+23)=Vuosi,MONTH(syyssu1+23)=9),syyssu1+23, "")</f>
        <v>43362</v>
      </c>
      <c r="V28" s="12">
        <f ca="1">IF(AND(YEAR(syyssu1+24)=Vuosi,MONTH(syyssu1+24)=9),syyssu1+24, "")</f>
        <v>43363</v>
      </c>
      <c r="W28" s="12">
        <f ca="1">IF(AND(YEAR(syyssu1+25)=Vuosi,MONTH(syyssu1+25)=9),syyssu1+25, "")</f>
        <v>43364</v>
      </c>
      <c r="X28" s="12">
        <f ca="1">IF(AND(YEAR(syyssu1+26)=Vuosi,MONTH(syyssu1+26)=9),syyssu1+26, "")</f>
        <v>43365</v>
      </c>
      <c r="Y28" s="12">
        <f ca="1">IF(AND(YEAR(syyssu1+27)=Vuosi,MONTH(syyssu1+27)=9),syyssu1+27, "")</f>
        <v>43366</v>
      </c>
      <c r="Z28" s="7"/>
      <c r="AA28" s="12">
        <f ca="1">IF(AND(YEAR(joulusu1+21)=Vuosi,MONTH(joulusu1+21)=12),joulusu1+21, "")</f>
        <v>43451</v>
      </c>
      <c r="AB28" s="12">
        <f ca="1">IF(AND(YEAR(joulusu1+22)=Vuosi,MONTH(joulusu1+22)=12),joulusu1+22, "")</f>
        <v>43452</v>
      </c>
      <c r="AC28" s="12">
        <f ca="1">IF(AND(YEAR(joulusu1+23)=Vuosi,MONTH(joulusu1+23)=12),joulusu1+23, "")</f>
        <v>43453</v>
      </c>
      <c r="AD28" s="12">
        <f ca="1">IF(AND(YEAR(joulusu1+24)=Vuosi,MONTH(joulusu1+24)=12),joulusu1+24, "")</f>
        <v>43454</v>
      </c>
      <c r="AE28" s="12">
        <f ca="1">IF(AND(YEAR(joulusu1+25)=Vuosi,MONTH(joulusu1+25)=12),joulusu1+25, "")</f>
        <v>43455</v>
      </c>
      <c r="AF28" s="12">
        <f ca="1">IF(AND(YEAR(joulusu1+26)=Vuosi,MONTH(joulusu1+26)=12),joulusu1+26, "")</f>
        <v>43456</v>
      </c>
      <c r="AG28" s="12">
        <f ca="1">IF(AND(YEAR(joulusu1+27)=Vuosi,MONTH(joulusu1+27)=12),joulusu1+27, "")</f>
        <v>43457</v>
      </c>
      <c r="AH28" s="8"/>
    </row>
    <row r="29" spans="2:34" x14ac:dyDescent="0.2">
      <c r="B29" s="6"/>
      <c r="C29" s="12">
        <f ca="1">IF(AND(YEAR(maalissu1+28)=Vuosi,MONTH(maalissu1+28)=3),maalissu1+28, "")</f>
        <v>43185</v>
      </c>
      <c r="D29" s="12">
        <f ca="1">IF(AND(YEAR(maalissu1+29)=Vuosi,MONTH(maalissu1+29)=3),maalissu1+29, "")</f>
        <v>43186</v>
      </c>
      <c r="E29" s="12">
        <f ca="1">IF(AND(YEAR(maalissu1+30)=Vuosi,MONTH(maalissu1+30)=3),maalissu1+30, "")</f>
        <v>43187</v>
      </c>
      <c r="F29" s="12">
        <f ca="1">IF(AND(YEAR(maalissu1+31)=Vuosi,MONTH(maalissu1+31)=3),maalissu1+31, "")</f>
        <v>43188</v>
      </c>
      <c r="G29" s="12">
        <f ca="1">IF(AND(YEAR(maalissu1+32)=Vuosi,MONTH(maalissu1+32)=3),maalissu1+32, "")</f>
        <v>43189</v>
      </c>
      <c r="H29" s="12">
        <f ca="1">IF(AND(YEAR(maalissu1+33)=Vuosi,MONTH(maalissu1+33)=3),maalissu1+33, "")</f>
        <v>43190</v>
      </c>
      <c r="I29" s="12" t="str">
        <f ca="1">IF(AND(YEAR(maalissu1+34)=Vuosi,MONTH(maalissu1+34)=3),maalissu1+34, "")</f>
        <v/>
      </c>
      <c r="J29" s="7"/>
      <c r="K29" s="12">
        <f ca="1">IF(AND(YEAR(kesäsu1+28)=Vuosi,MONTH(kesäsu1+28)=6),kesäsu1+28, "")</f>
        <v>43276</v>
      </c>
      <c r="L29" s="12">
        <f ca="1">IF(AND(YEAR(kesäsu1+29)=Vuosi,MONTH(kesäsu1+29)=6),kesäsu1+29, "")</f>
        <v>43277</v>
      </c>
      <c r="M29" s="12">
        <f ca="1">IF(AND(YEAR(kesäsu1+30)=Vuosi,MONTH(kesäsu1+30)=6),kesäsu1+30, "")</f>
        <v>43278</v>
      </c>
      <c r="N29" s="12">
        <f ca="1">IF(AND(YEAR(kesäsu1+31)=Vuosi,MONTH(kesäsu1+31)=6),kesäsu1+31, "")</f>
        <v>43279</v>
      </c>
      <c r="O29" s="12">
        <f ca="1">IF(AND(YEAR(kesäsu1+32)=Vuosi,MONTH(kesäsu1+32)=6),kesäsu1+32, "")</f>
        <v>43280</v>
      </c>
      <c r="P29" s="12">
        <f ca="1">IF(AND(YEAR(kesäsu1+33)=Vuosi,MONTH(kesäsu1+33)=6),kesäsu1+33, "")</f>
        <v>43281</v>
      </c>
      <c r="Q29" s="12" t="str">
        <f ca="1">IF(AND(YEAR(kesäsu1+34)=Vuosi,MONTH(kesäsu1+34)=6),kesäsu1+34, "")</f>
        <v/>
      </c>
      <c r="R29" s="7"/>
      <c r="S29" s="12">
        <f ca="1">IF(AND(YEAR(syyssu1+28)=Vuosi,MONTH(syyssu1+28)=9),syyssu1+28, "")</f>
        <v>43367</v>
      </c>
      <c r="T29" s="12">
        <f ca="1">IF(AND(YEAR(syyssu1+29)=Vuosi,MONTH(syyssu1+29)=9),syyssu1+29, "")</f>
        <v>43368</v>
      </c>
      <c r="U29" s="12">
        <f ca="1">IF(AND(YEAR(syyssu1+30)=Vuosi,MONTH(syyssu1+30)=9),syyssu1+30, "")</f>
        <v>43369</v>
      </c>
      <c r="V29" s="12">
        <f ca="1">IF(AND(YEAR(syyssu1+31)=Vuosi,MONTH(syyssu1+31)=9),syyssu1+31, "")</f>
        <v>43370</v>
      </c>
      <c r="W29" s="12">
        <f ca="1">IF(AND(YEAR(syyssu1+32)=Vuosi,MONTH(syyssu1+32)=9),syyssu1+32, "")</f>
        <v>43371</v>
      </c>
      <c r="X29" s="12">
        <f ca="1">IF(AND(YEAR(syyssu1+33)=Vuosi,MONTH(syyssu1+33)=9),syyssu1+33, "")</f>
        <v>43372</v>
      </c>
      <c r="Y29" s="12">
        <f ca="1">IF(AND(YEAR(syyssu1+34)=Vuosi,MONTH(syyssu1+34)=9),syyssu1+34, "")</f>
        <v>43373</v>
      </c>
      <c r="Z29" s="7"/>
      <c r="AA29" s="12">
        <f ca="1">IF(AND(YEAR(joulusu1+28)=Vuosi,MONTH(joulusu1+28)=12),joulusu1+28, "")</f>
        <v>43458</v>
      </c>
      <c r="AB29" s="12">
        <f ca="1">IF(AND(YEAR(joulusu1+29)=Vuosi,MONTH(joulusu1+29)=12),joulusu1+29, "")</f>
        <v>43459</v>
      </c>
      <c r="AC29" s="12">
        <f ca="1">IF(AND(YEAR(joulusu1+30)=Vuosi,MONTH(joulusu1+30)=12),joulusu1+30, "")</f>
        <v>43460</v>
      </c>
      <c r="AD29" s="12">
        <f ca="1">IF(AND(YEAR(joulusu1+31)=Vuosi,MONTH(joulusu1+31)=12),joulusu1+31, "")</f>
        <v>43461</v>
      </c>
      <c r="AE29" s="12">
        <f ca="1">IF(AND(YEAR(joulusu1+32)=Vuosi,MONTH(joulusu1+32)=12),joulusu1+32, "")</f>
        <v>43462</v>
      </c>
      <c r="AF29" s="12">
        <f ca="1">IF(AND(YEAR(joulusu1+33)=Vuosi,MONTH(joulusu1+33)=12),joulusu1+33, "")</f>
        <v>43463</v>
      </c>
      <c r="AG29" s="12">
        <f ca="1">IF(AND(YEAR(joulusu1+34)=Vuosi,MONTH(joulusu1+34)=12),joulusu1+34, "")</f>
        <v>43464</v>
      </c>
      <c r="AH29" s="8"/>
    </row>
    <row r="30" spans="2:34" x14ac:dyDescent="0.2">
      <c r="B30" s="6"/>
      <c r="C30" s="12" t="str">
        <f ca="1">IF(AND(YEAR(maalissu1+35)=Vuosi,MONTH(maalissu1+35)=3),maalissu1+35, "")</f>
        <v/>
      </c>
      <c r="D30" s="12" t="str">
        <f ca="1">IF(AND(YEAR(maalissu1+36)=Vuosi,MONTH(maalissu1+36)=3),maalissu1+36, "")</f>
        <v/>
      </c>
      <c r="E30" s="12" t="str">
        <f ca="1">IF(AND(YEAR(maalissu1+37)=Vuosi,MONTH(maalissu1+37)=3),maalissu1+37, "")</f>
        <v/>
      </c>
      <c r="F30" s="12" t="str">
        <f ca="1">IF(AND(YEAR(maalissu1+38)=Vuosi,MONTH(maalissu1+38)=3),maalissu1+38, "")</f>
        <v/>
      </c>
      <c r="G30" s="12" t="str">
        <f ca="1">IF(AND(YEAR(maalissu1+39)=Vuosi,MONTH(maalissu1+39)=3),maalissu1+39, "")</f>
        <v/>
      </c>
      <c r="H30" s="12" t="str">
        <f ca="1">IF(AND(YEAR(maalissu1+40)=Vuosi,MONTH(maalissu1+40)=3),maalissu1+40, "")</f>
        <v/>
      </c>
      <c r="I30" s="12" t="str">
        <f ca="1">IF(AND(YEAR(maalissu1+41)=Vuosi,MONTH(maalissu1+41)=3),maalissu1+41, "")</f>
        <v/>
      </c>
      <c r="J30" s="14"/>
      <c r="K30" s="12" t="str">
        <f ca="1">IF(AND(YEAR(kesäsu1+35)=Vuosi,MONTH(kesäsu1+35)=6),kesäsu1+35, "")</f>
        <v/>
      </c>
      <c r="L30" s="12" t="str">
        <f ca="1">IF(AND(YEAR(kesäsu1+36)=Vuosi,MONTH(kesäsu1+36)=6),kesäsu1+36, "")</f>
        <v/>
      </c>
      <c r="M30" s="12" t="str">
        <f ca="1">IF(AND(YEAR(kesäsu1+37)=Vuosi,MONTH(kesäsu1+37)=6),kesäsu1+37, "")</f>
        <v/>
      </c>
      <c r="N30" s="12" t="str">
        <f ca="1">IF(AND(YEAR(kesäsu1+38)=Vuosi,MONTH(kesäsu1+38)=6),kesäsu1+38, "")</f>
        <v/>
      </c>
      <c r="O30" s="12" t="str">
        <f ca="1">IF(AND(YEAR(kesäsu1+39)=Vuosi,MONTH(kesäsu1+39)=6),kesäsu1+39, "")</f>
        <v/>
      </c>
      <c r="P30" s="12" t="str">
        <f ca="1">IF(AND(YEAR(kesäsu1+40)=Vuosi,MONTH(kesäsu1+40)=6),kesäsu1+40, "")</f>
        <v/>
      </c>
      <c r="Q30" s="12" t="str">
        <f ca="1">IF(AND(YEAR(kesäsu1+41)=Vuosi,MONTH(kesäsu1+41)=6),kesäsu1+41, "")</f>
        <v/>
      </c>
      <c r="R30" s="14"/>
      <c r="S30" s="12" t="str">
        <f ca="1">IF(AND(YEAR(syyssu1+35)=Vuosi,MONTH(syyssu1+35)=9),syyssu1+35, "")</f>
        <v/>
      </c>
      <c r="T30" s="12" t="str">
        <f ca="1">IF(AND(YEAR(syyssu1+36)=Vuosi,MONTH(syyssu1+36)=9),syyssu1+36, "")</f>
        <v/>
      </c>
      <c r="U30" s="12" t="str">
        <f ca="1">IF(AND(YEAR(syyssu1+37)=Vuosi,MONTH(syyssu1+37)=9),syyssu1+37, "")</f>
        <v/>
      </c>
      <c r="V30" s="12" t="str">
        <f ca="1">IF(AND(YEAR(syyssu1+38)=Vuosi,MONTH(syyssu1+38)=9),syyssu1+38, "")</f>
        <v/>
      </c>
      <c r="W30" s="12" t="str">
        <f ca="1">IF(AND(YEAR(syyssu1+39)=Vuosi,MONTH(syyssu1+39)=9),syyssu1+39, "")</f>
        <v/>
      </c>
      <c r="X30" s="12" t="str">
        <f ca="1">IF(AND(YEAR(syyssu1+40)=Vuosi,MONTH(syyssu1+40)=9),syyssu1+40, "")</f>
        <v/>
      </c>
      <c r="Y30" s="12" t="str">
        <f ca="1">IF(AND(YEAR(syyssu1+41)=Vuosi,MONTH(syyssu1+41)=9),syyssu1+41, "")</f>
        <v/>
      </c>
      <c r="Z30" s="14"/>
      <c r="AA30" s="12">
        <f ca="1">IF(AND(YEAR(joulusu1+35)=Vuosi,MONTH(joulusu1+35)=12),joulusu1+35, "")</f>
        <v>43465</v>
      </c>
      <c r="AB30" s="12" t="str">
        <f ca="1">IF(AND(YEAR(joulusu1+36)=Vuosi,MONTH(joulusu1+36)=12),joulusu1+36, "")</f>
        <v/>
      </c>
      <c r="AC30" s="12" t="str">
        <f ca="1">IF(AND(YEAR(joulusu1+37)=Vuosi,MONTH(joulusu1+37)=12),joulusu1+37, "")</f>
        <v/>
      </c>
      <c r="AD30" s="12" t="str">
        <f ca="1">IF(AND(YEAR(joulusu1+38)=Vuosi,MONTH(joulusu1+38)=12),joulusu1+38, "")</f>
        <v/>
      </c>
      <c r="AE30" s="12" t="str">
        <f ca="1">IF(AND(YEAR(joulusu1+39)=Vuosi,MONTH(joulusu1+39)=12),joulusu1+39, "")</f>
        <v/>
      </c>
      <c r="AF30" s="12" t="str">
        <f ca="1">IF(AND(YEAR(joulusu1+40)=Vuosi,MONTH(joulusu1+40)=12),joulusu1+40, "")</f>
        <v/>
      </c>
      <c r="AG30" s="12" t="str">
        <f ca="1">IF(AND(YEAR(joulusu1+41)=Vuosi,MONTH(joulusu1+41)=12),joulusu1+41, "")</f>
        <v/>
      </c>
      <c r="AH30" s="8"/>
    </row>
    <row r="31" spans="2:34" ht="13.5" customHeight="1" thickBot="1" x14ac:dyDescent="0.2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disablePrompts="1" count="1">
    <dataValidation type="whole" allowBlank="1" showInputMessage="1" showErrorMessage="1" errorTitle="Virheellinen vuosi" error="Kirjoita vuosi väliltä 1900–9999 tai etsi vuosi vierityspalkin avulla." sqref="B2:AH3" xr:uid="{00000000-0002-0000-0000-000000000000}">
      <formula1>1900</formula1>
      <formula2>9999</formula2>
    </dataValidation>
  </dataValidations>
  <printOptions horizontalCentered="1" verticalCentered="1"/>
  <pageMargins left="0.51181102362204722" right="0.51181102362204722" top="0.51181102362204722" bottom="0.51181102362204722" header="0.31496062992125984" footer="0.31496062992125984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Vierityspalkki1">
          <controlPr print="0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Vierityspalkki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Mikä tahansa vuosi</vt:lpstr>
      <vt:lpstr>'Mikä tahansa vuosi'!Tulostusalue</vt:lpstr>
      <vt:lpstr>Vuosi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2017-11-29T09:28:09Z</dcterms:created>
  <dcterms:modified xsi:type="dcterms:W3CDTF">2018-02-05T03:43:39Z</dcterms:modified>
</cp:coreProperties>
</file>