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81.xml" ContentType="application/vnd.openxmlformats-officedocument.spreadsheetml.table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2.xml" ContentType="application/vnd.openxmlformats-officedocument.spreadsheetml.worksheet+xml"/>
  <Override PartName="/xl/tables/table32.xml" ContentType="application/vnd.openxmlformats-officedocument.spreadsheetml.table+xml"/>
  <Override PartName="/xl/worksheets/sheet73.xml" ContentType="application/vnd.openxmlformats-officedocument.spreadsheetml.worksheet+xml"/>
  <Override PartName="/xl/tables/table73.xml" ContentType="application/vnd.openxmlformats-officedocument.spreadsheetml.table+xml"/>
  <Override PartName="/xl/worksheets/sheet124.xml" ContentType="application/vnd.openxmlformats-officedocument.spreadsheetml.worksheet+xml"/>
  <Override PartName="/xl/tables/table124.xml" ContentType="application/vnd.openxmlformats-officedocument.spreadsheetml.table+xml"/>
  <Override PartName="/customXml/item12.xml" ContentType="application/xml"/>
  <Override PartName="/customXml/itemProps12.xml" ContentType="application/vnd.openxmlformats-officedocument.customXmlProperties+xml"/>
  <Override PartName="/xl/worksheets/sheet25.xml" ContentType="application/vnd.openxmlformats-officedocument.spreadsheetml.worksheet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xl/worksheets/sheet16.xml" ContentType="application/vnd.openxmlformats-officedocument.spreadsheetml.worksheet+xml"/>
  <Override PartName="/xl/tables/table16.xml" ContentType="application/vnd.openxmlformats-officedocument.spreadsheetml.table+xml"/>
  <Override PartName="/xl/worksheets/sheet67.xml" ContentType="application/vnd.openxmlformats-officedocument.spreadsheetml.worksheet+xml"/>
  <Override PartName="/xl/tables/table67.xml" ContentType="application/vnd.openxmlformats-officedocument.spreadsheetml.table+xml"/>
  <Override PartName="/xl/worksheets/sheet118.xml" ContentType="application/vnd.openxmlformats-officedocument.spreadsheetml.worksheet+xml"/>
  <Override PartName="/xl/tables/table118.xml" ContentType="application/vnd.openxmlformats-officedocument.spreadsheetml.table+xml"/>
  <Override PartName="/xl/worksheets/sheet59.xml" ContentType="application/vnd.openxmlformats-officedocument.spreadsheetml.worksheet+xml"/>
  <Override PartName="/xl/tables/table59.xml" ContentType="application/vnd.openxmlformats-officedocument.spreadsheetml.table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tables/table1010.xml" ContentType="application/vnd.openxmlformats-officedocument.spreadsheetml.table+xml"/>
  <Override PartName="/customXml/item33.xml" ContentType="application/xml"/>
  <Override PartName="/customXml/itemProps33.xml" ContentType="application/vnd.openxmlformats-officedocument.customXmlProperties+xml"/>
  <Override PartName="/xl/worksheets/sheet411.xml" ContentType="application/vnd.openxmlformats-officedocument.spreadsheetml.worksheet+xml"/>
  <Override PartName="/xl/tables/table411.xml" ContentType="application/vnd.openxmlformats-officedocument.spreadsheetml.table+xml"/>
  <Override PartName="/xl/worksheets/sheet912.xml" ContentType="application/vnd.openxmlformats-officedocument.spreadsheetml.worksheet+xml"/>
  <Override PartName="/xl/tables/table912.xml" ContentType="application/vnd.openxmlformats-officedocument.spreadsheetml.table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8"/>
  <workbookPr filterPrivacy="1" codeName="ThisWorkbook" autoCompressPictures="0"/>
  <xr:revisionPtr revIDLastSave="0" documentId="13_ncr:1_{D6727FA9-84CE-4242-AD9B-0088ADF89D5F}" xr6:coauthVersionLast="45" xr6:coauthVersionMax="45" xr10:uidLastSave="{00000000-0000-0000-0000-000000000000}"/>
  <bookViews>
    <workbookView xWindow="-120" yWindow="-120" windowWidth="29040" windowHeight="17640" tabRatio="741" xr2:uid="{00000000-000D-0000-FFFF-FFFF00000000}"/>
  </bookViews>
  <sheets>
    <sheet name="Tammi" sheetId="1" r:id="rId1"/>
    <sheet name="Helmi" sheetId="6" r:id="rId2"/>
    <sheet name="Maalis" sheetId="17" r:id="rId3"/>
    <sheet name="Huhti" sheetId="18" r:id="rId4"/>
    <sheet name="Touko" sheetId="19" r:id="rId5"/>
    <sheet name="Kesä" sheetId="20" r:id="rId6"/>
    <sheet name="Heinä" sheetId="21" r:id="rId7"/>
    <sheet name="Elo" sheetId="22" r:id="rId8"/>
    <sheet name="Syys" sheetId="23" r:id="rId9"/>
    <sheet name="Loka" sheetId="24" r:id="rId10"/>
    <sheet name="Marras" sheetId="25" r:id="rId11"/>
    <sheet name="Joulu" sheetId="26" r:id="rId12"/>
  </sheets>
  <definedNames>
    <definedName name="elosu1">DATE(Kalenterivuosi,8,1)-WEEKDAY(DATE(Kalenterivuosi,8,1))+1</definedName>
    <definedName name="heinäsu1">DATE(Kalenterivuosi,7,1)-WEEKDAY(DATE(Kalenterivuosi,7,1))+1</definedName>
    <definedName name="helmisu1">DATE(Kalenterivuosi,2,1)-WEEKDAY(DATE(Kalenterivuosi,2,1))+1</definedName>
    <definedName name="huhtisu1">DATE(Kalenterivuosi,4,1)-WEEKDAY(DATE(Kalenterivuosi,4,1))+1</definedName>
    <definedName name="joulusu1">DATE(Kalenterivuosi,12,1)-WEEKDAY(DATE(Kalenterivuosi,12,1))+1</definedName>
    <definedName name="Kalenterivuosi">Tammi!$B$1</definedName>
    <definedName name="kesäsu1">DATE(Kalenterivuosi,6,1)-WEEKDAY(DATE(Kalenterivuosi,6,1))+1</definedName>
    <definedName name="lokasu1">DATE(Kalenterivuosi,10,1)-WEEKDAY(DATE(Kalenterivuosi,10,1))+1</definedName>
    <definedName name="maalissu1">DATE(Kalenterivuosi,3,1)-WEEKDAY(DATE(Kalenterivuosi,3,1))+1</definedName>
    <definedName name="marrassu1">DATE(Kalenterivuosi,11,1)-WEEKDAY(DATE(Kalenterivuosi,11,1))+1</definedName>
    <definedName name="Otsikkoalue2..I31.1">Tammi!$A$11</definedName>
    <definedName name="Otsikkoalue2..I31.10">Loka!$A$11</definedName>
    <definedName name="Otsikkoalue2..I31.11">Marras!$A$11</definedName>
    <definedName name="Otsikkoalue2..I31.12">Joulu!$A$11</definedName>
    <definedName name="Otsikkoalue2..I31.2">Helmi!$A$11</definedName>
    <definedName name="Otsikkoalue2..I31.3">Maalis!$A$11</definedName>
    <definedName name="Otsikkoalue2..I31.4">Huhti!$A$11</definedName>
    <definedName name="Otsikkoalue2..I31.5">Touko!$A$11</definedName>
    <definedName name="Otsikkoalue2..I31.6">Kesä!$A$11</definedName>
    <definedName name="Otsikkoalue2..I31.7">Heinä!$A$11</definedName>
    <definedName name="Otsikkoalue2..I31.8">Elo!$A$11</definedName>
    <definedName name="Otsikkoalue2..I31.9">Syys!$A$11</definedName>
    <definedName name="Sarakeotsikko1">tammikuuntehtävät[[#Headers],[Viikonpäivä]]</definedName>
    <definedName name="Sarakeotsikko10">lokakuuntehtävät[[#Headers],[Viikonpäivä]]</definedName>
    <definedName name="Sarakeotsikko11">marraskuuntehtävät[[#Headers],[Viikonpäivä]]</definedName>
    <definedName name="Sarakeotsikko12">joulukuuntehtävät[[#Headers],[Viikonpäivä]]</definedName>
    <definedName name="Sarakeotsikko2">helmikuuntehtävät[[#Headers],[Viikonpäivä]]</definedName>
    <definedName name="Sarakeotsikko3">maaliskuuntehtävät[[#Headers],[Viikonpäivä]]</definedName>
    <definedName name="Sarakeotsikko4">huhtikuuntehtävät[[#Headers],[Viikonpäivä]]</definedName>
    <definedName name="Sarakeotsikko5">toukokuuntehtävät[[#Headers],[Viikonpäivä]]</definedName>
    <definedName name="Sarakeotsikko6">kesäkuuntehtävät[[#Headers],[Viikonpäivä]]</definedName>
    <definedName name="Sarakeotsikko7">heinäkuuntehtävät[[#Headers],[Viikonpäivä]]</definedName>
    <definedName name="Sarakeotsikko8">elokuuntehtävät[[#Headers],[Viikonpäivä]]</definedName>
    <definedName name="Sarakeotsikko9">syyskuuntehtävät[[#Headers],[Viikonpäivä]]</definedName>
    <definedName name="Sarakeotsikkoalue1..I8.1">Tammi!$C$2</definedName>
    <definedName name="Sarakeotsikkoalue1..I8.10">Loka!$C$2</definedName>
    <definedName name="Sarakeotsikkoalue1..I8.11">Marras!$C$2</definedName>
    <definedName name="Sarakeotsikkoalue1..I8.12">Joulu!$C$2</definedName>
    <definedName name="Sarakeotsikkoalue1..I8.2">Helmi!$C$2</definedName>
    <definedName name="Sarakeotsikkoalue1..I8.3">Maalis!$C$2</definedName>
    <definedName name="Sarakeotsikkoalue1..I8.4">Huhti!$C$2</definedName>
    <definedName name="Sarakeotsikkoalue1..I8.5">Touko!$C$2</definedName>
    <definedName name="Sarakeotsikkoalue1..I8.6">Kesä!$C$2</definedName>
    <definedName name="Sarakeotsikkoalue1..I8.7">Heinä!$C$2</definedName>
    <definedName name="Sarakeotsikkoalue1..I8.8">Elo!$C$2</definedName>
    <definedName name="Sarakeotsikkoalue1..I8.9">Syys!$C$2</definedName>
    <definedName name="syyssu1">DATE(Kalenterivuosi,9,1)-WEEKDAY(DATE(Kalenterivuosi,9,1))+1</definedName>
    <definedName name="tammisu1">DATE(Kalenterivuosi,1,1)-WEEKDAY(DATE(Kalenterivuosi,1,1))+1</definedName>
    <definedName name="Tehtäväpäivät" localSheetId="7">Elo!$K$2:$K$31</definedName>
    <definedName name="Tehtäväpäivät" localSheetId="6">Heinä!$K$2:$K$31</definedName>
    <definedName name="Tehtäväpäivät" localSheetId="1">Helmi!$K$2:$K$31</definedName>
    <definedName name="Tehtäväpäivät" localSheetId="3">Huhti!$K$2:$K$31</definedName>
    <definedName name="Tehtäväpäivät" localSheetId="11">Joulu!$K$2:$K$31</definedName>
    <definedName name="Tehtäväpäivät" localSheetId="5">Kesä!$K$2:$K$31</definedName>
    <definedName name="Tehtäväpäivät" localSheetId="9">Loka!$K$2:$K$31</definedName>
    <definedName name="Tehtäväpäivät" localSheetId="2">Maalis!$K$2:$K$31</definedName>
    <definedName name="Tehtäväpäivät" localSheetId="10">Marras!$K$2:$K$31</definedName>
    <definedName name="Tehtäväpäivät" localSheetId="8">Syys!$K$2:$K$31</definedName>
    <definedName name="Tehtäväpäivät" localSheetId="4">Touko!$K$2:$K$31</definedName>
    <definedName name="Tehtäväpäivät">Tammi!$K$2:$K$31</definedName>
    <definedName name="toukosu1">DATE(Kalenterivuosi,5,1)-WEEKDAY(DATE(Kalenterivuosi,5,1))+1</definedName>
    <definedName name="Tärkeidenpäivämäärientaulukko" localSheetId="7">Elo!$K$2:$L$6</definedName>
    <definedName name="Tärkeidenpäivämäärientaulukko" localSheetId="6">Heinä!$K$2:$L$6</definedName>
    <definedName name="Tärkeidenpäivämäärientaulukko" localSheetId="1">Helmi!$K$2:$L$6</definedName>
    <definedName name="Tärkeidenpäivämäärientaulukko" localSheetId="3">Huhti!$K$2:$L$6</definedName>
    <definedName name="Tärkeidenpäivämäärientaulukko" localSheetId="11">Joulu!$K$2:$L$6</definedName>
    <definedName name="Tärkeidenpäivämäärientaulukko" localSheetId="5">Kesä!$K$2:$L$6</definedName>
    <definedName name="Tärkeidenpäivämäärientaulukko" localSheetId="9">Loka!$K$2:$L$6</definedName>
    <definedName name="Tärkeidenpäivämäärientaulukko" localSheetId="2">Maalis!$K$2:$L$6</definedName>
    <definedName name="Tärkeidenpäivämäärientaulukko" localSheetId="10">Marras!$K$2:$L$6</definedName>
    <definedName name="Tärkeidenpäivämäärientaulukko" localSheetId="8">Syys!$K$2:$L$6</definedName>
    <definedName name="Tärkeidenpäivämäärientaulukko" localSheetId="4">Touko!$K$2:$L$6</definedName>
    <definedName name="Tärkeidenpäivämäärientaulukko">Tammi!$K$2:$L$6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6" l="1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B1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B1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B1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B1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B1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B1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B1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B1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B1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B1" i="17"/>
  <c r="B1" i="6" l="1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<sst xmlns="http://schemas.openxmlformats.org/spreadsheetml/2006/main" count="831" uniqueCount="39">
  <si>
    <t>Viikonpäivä</t>
  </si>
  <si>
    <t>Aika</t>
  </si>
  <si>
    <t>Kurssi</t>
  </si>
  <si>
    <t>TAMMI</t>
  </si>
  <si>
    <t>VIIKKOAIKATAULU</t>
  </si>
  <si>
    <t>MA</t>
  </si>
  <si>
    <t>8.00</t>
  </si>
  <si>
    <t>Ranska</t>
  </si>
  <si>
    <t>10.00</t>
  </si>
  <si>
    <t>Matematiikka</t>
  </si>
  <si>
    <t>14.00</t>
  </si>
  <si>
    <t>Englanti</t>
  </si>
  <si>
    <t>Anna kalenterivuosi vasemmalla olevaan soluun B1.</t>
  </si>
  <si>
    <t>TI</t>
  </si>
  <si>
    <t>9.00</t>
  </si>
  <si>
    <t>Taidehistoria</t>
  </si>
  <si>
    <t>16.00</t>
  </si>
  <si>
    <t>Ohjelmointi</t>
  </si>
  <si>
    <t>KE</t>
  </si>
  <si>
    <t>TO</t>
  </si>
  <si>
    <t>PE</t>
  </si>
  <si>
    <t>LA</t>
  </si>
  <si>
    <t>SU</t>
  </si>
  <si>
    <t>kalenteripäivä</t>
  </si>
  <si>
    <t>TEHTÄVÄT</t>
  </si>
  <si>
    <t>Ranska: kirjoitelman ensimmäisen luonnoksen palautus</t>
  </si>
  <si>
    <t>Taidehistoria: tentti</t>
  </si>
  <si>
    <t>HELMI</t>
  </si>
  <si>
    <t>MAALIS</t>
  </si>
  <si>
    <t>HUHTI</t>
  </si>
  <si>
    <t xml:space="preserve"> </t>
  </si>
  <si>
    <t>TOUKO</t>
  </si>
  <si>
    <t>KESÄ</t>
  </si>
  <si>
    <t>HEINÄ</t>
  </si>
  <si>
    <t>ELO</t>
  </si>
  <si>
    <t>SYYS</t>
  </si>
  <si>
    <t>LOKA</t>
  </si>
  <si>
    <t>MARRAS</t>
  </si>
  <si>
    <t>JOULU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</si>
</sst>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8" formatCode="[$-40B]mmmmm;@"/>
    <numFmt numFmtId="169" formatCode="d\.m\.yyyy\ h:mm;@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68" fontId="6" fillId="0" borderId="0" applyFill="0" applyBorder="0" applyProtection="0">
      <alignment horizontal="center" vertical="center"/>
    </xf>
    <xf numFmtId="0" fontId="7" fillId="0" borderId="0" applyFill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/>
    </xf>
    <xf numFmtId="0" fontId="8" fillId="0" borderId="0" applyFill="0" applyBorder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5" applyNumberFormat="0" applyAlignment="0" applyProtection="0"/>
    <xf numFmtId="0" fontId="5" fillId="4" borderId="1">
      <alignment horizontal="left" indent="1"/>
    </xf>
    <xf numFmtId="0" fontId="9" fillId="0" borderId="0">
      <alignment vertical="center"/>
    </xf>
    <xf numFmtId="0" fontId="9" fillId="0" borderId="6" applyNumberFormat="0" applyFont="0" applyFill="0" applyAlignment="0" applyProtection="0">
      <alignment horizontal="left" vertical="center" indent="2"/>
    </xf>
    <xf numFmtId="1" fontId="10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6" fontId="4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7">
    <xf numFmtId="0" fontId="0" fillId="0" borderId="0" xfId="0">
      <alignment wrapText="1"/>
    </xf>
    <xf numFmtId="0" fontId="8" fillId="0" borderId="7" xfId="16" applyFont="1" applyAlignment="1"/>
    <xf numFmtId="0" fontId="0" fillId="0" borderId="0" xfId="0" applyFont="1">
      <alignment wrapText="1"/>
    </xf>
    <xf numFmtId="1" fontId="10" fillId="0" borderId="0" xfId="15">
      <alignment horizontal="center"/>
    </xf>
    <xf numFmtId="0" fontId="10" fillId="0" borderId="6" xfId="14" applyFont="1" applyAlignment="1">
      <alignment horizontal="center"/>
    </xf>
    <xf numFmtId="0" fontId="0" fillId="0" borderId="0" xfId="0">
      <alignment wrapText="1"/>
    </xf>
    <xf numFmtId="0" fontId="13" fillId="0" borderId="7" xfId="16">
      <alignment horizontal="center"/>
    </xf>
    <xf numFmtId="0" fontId="0" fillId="0" borderId="0" xfId="0">
      <alignment wrapText="1"/>
    </xf>
    <xf numFmtId="0" fontId="0" fillId="0" borderId="0" xfId="0">
      <alignment wrapText="1"/>
    </xf>
    <xf numFmtId="0" fontId="5" fillId="4" borderId="9" xfId="17" applyFont="1" applyFill="1" applyAlignment="1">
      <alignment horizontal="left" indent="1"/>
    </xf>
    <xf numFmtId="0" fontId="0" fillId="0" borderId="0" xfId="0">
      <alignment wrapText="1"/>
    </xf>
    <xf numFmtId="0" fontId="8" fillId="0" borderId="6" xfId="14" applyFont="1" applyAlignment="1">
      <alignment vertical="center"/>
    </xf>
    <xf numFmtId="0" fontId="9" fillId="0" borderId="0" xfId="13">
      <alignment vertical="center"/>
    </xf>
    <xf numFmtId="0" fontId="4" fillId="0" borderId="6" xfId="14" applyNumberFormat="1" applyFont="1" applyAlignment="1">
      <alignment horizontal="left" vertical="center" indent="1"/>
    </xf>
    <xf numFmtId="0" fontId="12" fillId="0" borderId="7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8" fillId="0" borderId="0" xfId="5"/>
    <xf numFmtId="0" fontId="7" fillId="0" borderId="0" xfId="3">
      <alignment horizontal="left" vertical="center" indent="2"/>
    </xf>
    <xf numFmtId="0" fontId="12" fillId="0" borderId="0" xfId="1">
      <alignment horizontal="center" vertical="center"/>
    </xf>
    <xf numFmtId="0" fontId="0" fillId="0" borderId="9" xfId="17" applyFont="1" applyAlignment="1">
      <alignment wrapText="1"/>
    </xf>
    <xf numFmtId="0" fontId="5" fillId="4" borderId="1" xfId="12">
      <alignment horizontal="left" indent="1"/>
    </xf>
    <xf numFmtId="0" fontId="0" fillId="0" borderId="0" xfId="0" applyFont="1" applyBorder="1" applyAlignment="1">
      <alignment horizontal="left" wrapText="1"/>
    </xf>
    <xf numFmtId="0" fontId="8" fillId="0" borderId="0" xfId="5" applyFill="1"/>
    <xf numFmtId="0" fontId="8" fillId="0" borderId="0" xfId="4">
      <alignment horizontal="left" vertical="center"/>
    </xf>
    <xf numFmtId="0" fontId="0" fillId="0" borderId="0" xfId="0">
      <alignment wrapText="1"/>
    </xf>
    <xf numFmtId="0" fontId="0" fillId="0" borderId="7" xfId="16" applyFont="1" applyAlignment="1">
      <alignment wrapText="1"/>
    </xf>
    <xf numFmtId="0" fontId="0" fillId="0" borderId="7" xfId="16" applyFont="1" applyAlignment="1">
      <alignment horizontal="left" wrapText="1"/>
    </xf>
    <xf numFmtId="1" fontId="10" fillId="0" borderId="7" xfId="15" applyBorder="1">
      <alignment horizontal="center"/>
    </xf>
    <xf numFmtId="0" fontId="5" fillId="0" borderId="0" xfId="20">
      <alignment wrapText="1"/>
    </xf>
    <xf numFmtId="0" fontId="8" fillId="0" borderId="7" xfId="5" applyBorder="1"/>
    <xf numFmtId="1" fontId="10" fillId="0" borderId="6" xfId="15" applyBorder="1">
      <alignment horizontal="center"/>
    </xf>
    <xf numFmtId="1" fontId="10" fillId="0" borderId="7" xfId="16" applyNumberFormat="1" applyFont="1">
      <alignment horizontal="center"/>
    </xf>
    <xf numFmtId="0" fontId="3" fillId="0" borderId="7" xfId="16" applyFont="1" applyAlignment="1">
      <alignment horizontal="left" wrapText="1"/>
    </xf>
    <xf numFmtId="0" fontId="12" fillId="0" borderId="6" xfId="1" applyBorder="1">
      <alignment horizontal="center" vertical="center"/>
    </xf>
    <xf numFmtId="0" fontId="5" fillId="4" borderId="1" xfId="12">
      <alignment horizontal="left" indent="1"/>
    </xf>
    <xf numFmtId="0" fontId="5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1" fillId="2" borderId="9" xfId="19" applyFont="1" applyBorder="1">
      <alignment horizontal="left" vertical="top" indent="1"/>
    </xf>
    <xf numFmtId="0" fontId="11" fillId="2" borderId="9" xfId="19" applyFont="1" applyBorder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0" fillId="2" borderId="7" xfId="16" applyFont="1" applyFill="1" applyAlignment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8" fillId="0" borderId="6" xfId="5" applyBorder="1"/>
    <xf numFmtId="168" fontId="6" fillId="0" borderId="0" xfId="2" applyNumberFormat="1">
      <alignment horizontal="center" vertical="center"/>
    </xf>
    <xf numFmtId="168" fontId="6" fillId="0" borderId="6" xfId="2" applyNumberFormat="1" applyBorder="1">
      <alignment horizontal="center" vertical="center"/>
    </xf>
    <xf numFmtId="14" fontId="4" fillId="0" borderId="0" xfId="0" applyNumberFormat="1" applyFont="1" applyFill="1" applyAlignment="1">
      <alignment horizontal="left" wrapText="1"/>
    </xf>
    <xf numFmtId="168" fontId="6" fillId="0" borderId="6" xfId="14" applyNumberFormat="1" applyFont="1" applyAlignment="1">
      <alignment horizontal="center" vertical="center"/>
    </xf>
    <xf numFmtId="169" fontId="13" fillId="0" borderId="7" xfId="16" applyNumberFormat="1" applyFill="1" applyAlignment="1">
      <alignment horizontal="left" indent="1"/>
    </xf>
    <xf numFmtId="0" fontId="5" fillId="4" borderId="8" xfId="12" applyBorder="1">
      <alignment horizontal="left" indent="1"/>
    </xf>
    <xf numFmtId="0" fontId="5" fillId="4" borderId="2" xfId="12" applyBorder="1">
      <alignment horizontal="left" indent="1"/>
    </xf>
    <xf numFmtId="0" fontId="1" fillId="2" borderId="0" xfId="19" applyFont="1">
      <alignment horizontal="left" vertical="top" indent="1"/>
    </xf>
    <xf numFmtId="0" fontId="1" fillId="2" borderId="7" xfId="19" applyFont="1" applyBorder="1">
      <alignment horizontal="left" vertical="top" indent="1"/>
    </xf>
    <xf numFmtId="0" fontId="13" fillId="2" borderId="7" xfId="19" applyBorder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20" fontId="13" fillId="2" borderId="0" xfId="21" applyNumberFormat="1">
      <alignment horizontal="left" indent="1"/>
    </xf>
    <xf numFmtId="20" fontId="13" fillId="2" borderId="10" xfId="21" applyNumberFormat="1" applyBorder="1">
      <alignment horizontal="left" indent="1"/>
    </xf>
    <xf numFmtId="20" fontId="13" fillId="2" borderId="3" xfId="21" applyNumberFormat="1" applyBorder="1">
      <alignment horizontal="left" indent="1"/>
    </xf>
    <xf numFmtId="166" fontId="4" fillId="0" borderId="0" xfId="18" applyNumberFormat="1" applyFill="1" applyBorder="1">
      <alignment horizontal="left" vertical="center" indent="1"/>
    </xf>
    <xf numFmtId="166" fontId="4" fillId="0" borderId="7" xfId="16" applyNumberFormat="1" applyFont="1" applyFill="1" applyAlignment="1">
      <alignment horizontal="left" vertical="center" indent="1"/>
    </xf>
    <xf numFmtId="20" fontId="13" fillId="2" borderId="9" xfId="21" applyNumberFormat="1" applyBorder="1">
      <alignment horizontal="left" indent="1"/>
    </xf>
    <xf numFmtId="20" fontId="13" fillId="2" borderId="0" xfId="21" applyNumberFormat="1">
      <alignment horizontal="left" indent="1"/>
    </xf>
    <xf numFmtId="20" fontId="13" fillId="2" borderId="4" xfId="21" applyNumberFormat="1" applyBorder="1">
      <alignment horizontal="left" indent="1"/>
    </xf>
    <xf numFmtId="20" fontId="13" fillId="0" borderId="7" xfId="16" applyNumberFormat="1" applyFill="1" applyAlignment="1">
      <alignment horizontal="left" indent="1"/>
    </xf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Aika" xfId="21" xr:uid="{00000000-0005-0000-0000-000011000000}"/>
    <cellStyle name="Alareuna" xfId="16" xr:uid="{00000000-0005-0000-0000-000000000000}"/>
    <cellStyle name="Bad" xfId="23" builtinId="27" customBuiltin="1"/>
    <cellStyle name="Calculation" xfId="27" builtinId="22" customBuiltin="1"/>
    <cellStyle name="Check Cell" xfId="29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31" builtinId="53" customBuiltin="1"/>
    <cellStyle name="Good" xfId="2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25" builtinId="20" customBuiltin="1"/>
    <cellStyle name="Kalenterin tasaus" xfId="18" xr:uid="{00000000-0005-0000-0000-000001000000}"/>
    <cellStyle name="Linked Cell" xfId="28" builtinId="24" customBuiltin="1"/>
    <cellStyle name="Neutral" xfId="24" builtinId="28" customBuiltin="1"/>
    <cellStyle name="Normal" xfId="0" builtinId="0" customBuiltin="1"/>
    <cellStyle name="Note" xfId="11" builtinId="10" customBuiltin="1"/>
    <cellStyle name="Oikea reuna" xfId="17" xr:uid="{00000000-0005-0000-0000-00000F000000}"/>
    <cellStyle name="Otsikko" xfId="13" xr:uid="{00000000-0005-0000-0000-00000B000000}"/>
    <cellStyle name="Output" xfId="26" builtinId="21" customBuiltin="1"/>
    <cellStyle name="Percent" xfId="10" builtinId="5" customBuiltin="1"/>
    <cellStyle name="Päivämäärä" xfId="15" xr:uid="{00000000-0005-0000-0000-000006000000}"/>
    <cellStyle name="Title" xfId="1" builtinId="15" customBuiltin="1"/>
    <cellStyle name="Total" xfId="32" builtinId="25" customBuiltin="1"/>
    <cellStyle name="Tyhjä taulukon otsikko" xfId="20" xr:uid="{00000000-0005-0000-0000-000010000000}"/>
    <cellStyle name="Warning Text" xfId="30" builtinId="11" customBuiltin="1"/>
    <cellStyle name="Viikkoaikataulun täyttö" xfId="19" xr:uid="{00000000-0005-0000-0000-000015000000}"/>
    <cellStyle name="Viikonpäivät" xfId="12" xr:uid="{00000000-0005-0000-0000-000014000000}"/>
    <cellStyle name="Yläreuna" xfId="14" xr:uid="{00000000-0005-0000-0000-000013000000}"/>
  </cellStyles>
  <dxfs count="89"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PivotStyle="PivotStyleLight16">
    <tableStyle name="Tehtävät" pivot="0" count="3" xr9:uid="{00000000-0011-0000-FFFF-FFFF00000000}">
      <tableStyleElement type="wholeTable" dxfId="88"/>
      <tableStyleElement type="headerRow" dxfId="87"/>
      <tableStyleElement type="firstColumn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customXml" Target="/customXml/item2.xml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customXml" Target="/customXml/item12.xml" Id="rId17" /><Relationship Type="http://schemas.openxmlformats.org/officeDocument/2006/relationships/worksheet" Target="/xl/worksheets/sheet25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customXml" Target="/customXml/item33.xml" Id="rId19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tables/table10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lokakuuntehtävät" displayName="lokakuuntehtävät" ref="J1:L31" totalsRowShown="0">
  <autoFilter ref="J1:L31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900-000001000000}" name="Viikonpäivä" dataCellStyle="Heading 4"/>
    <tableColumn id="2" xr3:uid="{00000000-0010-0000-0900-000002000000}" name="kalenteripäivä" dataCellStyle="Päivämäärä"/>
    <tableColumn id="3" xr3:uid="{00000000-0010-0000-09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marraskuuntehtävät" displayName="marraskuuntehtävät" ref="J1:L31" totalsRowShown="0">
  <autoFilter ref="J1:L31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A00-000001000000}" name="Viikonpäivä" dataCellStyle="Heading 4"/>
    <tableColumn id="2" xr3:uid="{00000000-0010-0000-0A00-000002000000}" name="kalenteripäivä" dataCellStyle="Päivämäärä"/>
    <tableColumn id="3" xr3:uid="{00000000-0010-0000-0A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joulukuuntehtävät" displayName="joulukuuntehtävät" ref="J1:L31" totalsRowShown="0" dataCellStyle="Normal">
  <autoFilter ref="J1:L31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B00-000001000000}" name="Viikonpäivä" dataCellStyle="Heading 4"/>
    <tableColumn id="2" xr3:uid="{00000000-0010-0000-0B00-000002000000}" name="kalenteripäivä" dataCellStyle="Päivämäärä"/>
    <tableColumn id="3" xr3:uid="{00000000-0010-0000-0B00-000003000000}" name="TEHTÄVÄT" dataCellStyle="Normal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mmikuuntehtävät" displayName="tammikuuntehtävät" ref="J1:L31" totalsRowShown="0">
  <autoFilter ref="J1:L3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iikonpäivä" dataCellStyle="Heading 4"/>
    <tableColumn id="2" xr3:uid="{00000000-0010-0000-0000-000002000000}" name="kalenteripäivä" dataCellStyle="Päivämäärä"/>
    <tableColumn id="3" xr3:uid="{00000000-0010-0000-00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elmikuuntehtävät" displayName="helmikuuntehtävät" ref="J1:L31" totalsRowShown="0">
  <autoFilter ref="J1:L3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Viikonpäivä" dataCellStyle="Heading 4"/>
    <tableColumn id="2" xr3:uid="{00000000-0010-0000-0100-000002000000}" name="kalenteripäivä" dataCellStyle="Päivämäärä"/>
    <tableColumn id="3" xr3:uid="{00000000-0010-0000-0100-000003000000}" name="TEHTÄVÄT" dataCellStyle="Normal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aliskuuntehtävät" displayName="maaliskuuntehtävät" ref="J1:L31" totalsRowShown="0">
  <autoFilter ref="J1:L31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Viikonpäivä" dataCellStyle="Heading 4"/>
    <tableColumn id="2" xr3:uid="{00000000-0010-0000-0200-000002000000}" name="kalenteripäivä" dataCellStyle="Päivämäärä"/>
    <tableColumn id="3" xr3:uid="{00000000-0010-0000-02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huhtikuuntehtävät" displayName="huhtikuuntehtävät" ref="J1:L31" totalsRowShown="0">
  <autoFilter ref="J1:L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Viikonpäivä" dataCellStyle="Heading 4"/>
    <tableColumn id="2" xr3:uid="{00000000-0010-0000-0300-000002000000}" name="kalenteripäivä" dataCellStyle="Päivämäärä"/>
    <tableColumn id="3" xr3:uid="{00000000-0010-0000-03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oukokuuntehtävät" displayName="toukokuuntehtävät" ref="J1:L31" totalsRowShown="0">
  <autoFilter ref="J1:L3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Viikonpäivä" dataCellStyle="Heading 4"/>
    <tableColumn id="2" xr3:uid="{00000000-0010-0000-0400-000002000000}" name="kalenteripäivä" dataCellStyle="Päivämäärä"/>
    <tableColumn id="3" xr3:uid="{00000000-0010-0000-04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esäkuuntehtävät" displayName="kesäkuuntehtävät" ref="J1:L31" totalsRowShown="0">
  <autoFilter ref="J1:L3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Viikonpäivä" dataCellStyle="Heading 4"/>
    <tableColumn id="2" xr3:uid="{00000000-0010-0000-0500-000002000000}" name="kalenteripäivä" dataCellStyle="Päivämäärä"/>
    <tableColumn id="3" xr3:uid="{00000000-0010-0000-05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einäkuuntehtävät" displayName="heinäkuuntehtävät" ref="J1:L31" totalsRowShown="0">
  <autoFilter ref="J1:L31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Viikonpäivä" dataCellStyle="Heading 4"/>
    <tableColumn id="2" xr3:uid="{00000000-0010-0000-0600-000002000000}" name="kalenteripäivä" dataCellStyle="Päivämäärä"/>
    <tableColumn id="3" xr3:uid="{00000000-0010-0000-06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lokuuntehtävät" displayName="elokuuntehtävät" ref="J1:L31" totalsRowShown="0">
  <autoFilter ref="J1:L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700-000001000000}" name="Viikonpäivä" dataCellStyle="Heading 4"/>
    <tableColumn id="2" xr3:uid="{00000000-0010-0000-0700-000002000000}" name="kalenteripäivä"/>
    <tableColumn id="3" xr3:uid="{00000000-0010-0000-07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ables/table9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yyskuuntehtävät" displayName="syyskuuntehtävät" ref="J1:L31" totalsRowShown="0">
  <autoFilter ref="J1:L31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800-000001000000}" name="Viikonpäivä" dataCellStyle="Heading 4"/>
    <tableColumn id="2" xr3:uid="{00000000-0010-0000-0800-000002000000}" name="kalenteripäivä" dataCellStyle="Päivämäärä"/>
    <tableColumn id="3" xr3:uid="{00000000-0010-0000-0800-000003000000}" name="TEHTÄVÄT"/>
  </tableColumns>
  <tableStyleInfo name="Tehtävät" showFirstColumn="1" showLastColumn="0" showRowStripes="1" showColumnStripes="0"/>
  <extLst>
    <ext xmlns:x14="http://schemas.microsoft.com/office/spreadsheetml/2009/9/main" uri="{504A1905-F514-4f6f-8877-14C23A59335A}">
      <x14:table altTextSummary="Anna päivä ja viikonpäivän tehtävä sarakkeessa J. Tehtävät korostetaan tämän kuukauden kalenterissa tässä laskentataulukossa."/>
    </ext>
  </extLst>
</table>
</file>

<file path=xl/theme/theme1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table" Target="/xl/tables/table1010.xml" Id="rId2" /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table" Target="/xl/tables/table118.xml" Id="rId2" /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table" Target="/xl/tables/table124.xml" Id="rId2" /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table" Target="/xl/tables/table411.xml" Id="rId2" /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table" Target="/xl/tables/table59.xml" Id="rId2" /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table" Target="/xl/tables/table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81.xml" Id="rId2" /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table" Target="/xl/tables/table912.xml" Id="rId2" /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36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IF(DAY(lokasu1)=1,lokasu1-6,lokasu1+1)</f>
        <v>44466</v>
      </c>
      <c r="D3" s="61">
        <f>IF(DAY(lokasu1)=1,lokasu1-5,lokasu1+2)</f>
        <v>44467</v>
      </c>
      <c r="E3" s="61">
        <f>IF(DAY(lokasu1)=1,lokasu1-4,lokasu1+3)</f>
        <v>44468</v>
      </c>
      <c r="F3" s="61">
        <f>IF(DAY(lokasu1)=1,lokasu1-3,lokasu1+4)</f>
        <v>44469</v>
      </c>
      <c r="G3" s="61">
        <f>IF(DAY(lokasu1)=1,lokasu1-2,lokasu1+5)</f>
        <v>44470</v>
      </c>
      <c r="H3" s="61">
        <f>IF(DAY(lokasu1)=1,lokasu1-1,lokasu1+6)</f>
        <v>44471</v>
      </c>
      <c r="I3" s="61">
        <f>IF(DAY(lokasu1)=1,lokasu1,lokasu1+7)</f>
        <v>44472</v>
      </c>
      <c r="J3" s="16"/>
      <c r="K3" s="3"/>
      <c r="L3" s="10"/>
    </row>
    <row r="4" spans="1:12" ht="30" customHeight="1" x14ac:dyDescent="0.25">
      <c r="A4" s="19"/>
      <c r="C4" s="61">
        <f>IF(DAY(lokasu1)=1,lokasu1+1,lokasu1+8)</f>
        <v>44473</v>
      </c>
      <c r="D4" s="61">
        <f>IF(DAY(lokasu1)=1,lokasu1+2,lokasu1+9)</f>
        <v>44474</v>
      </c>
      <c r="E4" s="61">
        <f>IF(DAY(lokasu1)=1,lokasu1+3,lokasu1+10)</f>
        <v>44475</v>
      </c>
      <c r="F4" s="61">
        <f>IF(DAY(lokasu1)=1,lokasu1+4,lokasu1+11)</f>
        <v>44476</v>
      </c>
      <c r="G4" s="61">
        <f>IF(DAY(lokasu1)=1,lokasu1+5,lokasu1+12)</f>
        <v>44477</v>
      </c>
      <c r="H4" s="61">
        <f>IF(DAY(lokasu1)=1,lokasu1+6,lokasu1+13)</f>
        <v>44478</v>
      </c>
      <c r="I4" s="61">
        <f>IF(DAY(lokasu1)=1,lokasu1+7,lokasu1+14)</f>
        <v>44479</v>
      </c>
      <c r="J4" s="16"/>
      <c r="K4" s="3"/>
      <c r="L4" s="10"/>
    </row>
    <row r="5" spans="1:12" ht="30" customHeight="1" x14ac:dyDescent="0.25">
      <c r="A5" s="19"/>
      <c r="C5" s="61">
        <f>IF(DAY(lokasu1)=1,lokasu1+8,lokasu1+15)</f>
        <v>44480</v>
      </c>
      <c r="D5" s="61">
        <f>IF(DAY(lokasu1)=1,lokasu1+9,lokasu1+16)</f>
        <v>44481</v>
      </c>
      <c r="E5" s="61">
        <f>IF(DAY(lokasu1)=1,lokasu1+10,lokasu1+17)</f>
        <v>44482</v>
      </c>
      <c r="F5" s="61">
        <f>IF(DAY(lokasu1)=1,lokasu1+11,lokasu1+18)</f>
        <v>44483</v>
      </c>
      <c r="G5" s="61">
        <f>IF(DAY(lokasu1)=1,lokasu1+12,lokasu1+19)</f>
        <v>44484</v>
      </c>
      <c r="H5" s="61">
        <f>IF(DAY(lokasu1)=1,lokasu1+13,lokasu1+20)</f>
        <v>44485</v>
      </c>
      <c r="I5" s="61">
        <f>IF(DAY(lokasu1)=1,lokasu1+14,lokasu1+21)</f>
        <v>44486</v>
      </c>
      <c r="J5" s="16"/>
      <c r="K5" s="3"/>
      <c r="L5" s="10"/>
    </row>
    <row r="6" spans="1:12" ht="30" customHeight="1" x14ac:dyDescent="0.25">
      <c r="A6" s="19"/>
      <c r="C6" s="61">
        <f>IF(DAY(lokasu1)=1,lokasu1+15,lokasu1+22)</f>
        <v>44487</v>
      </c>
      <c r="D6" s="61">
        <f>IF(DAY(lokasu1)=1,lokasu1+16,lokasu1+23)</f>
        <v>44488</v>
      </c>
      <c r="E6" s="61">
        <f>IF(DAY(lokasu1)=1,lokasu1+17,lokasu1+24)</f>
        <v>44489</v>
      </c>
      <c r="F6" s="61">
        <f>IF(DAY(lokasu1)=1,lokasu1+18,lokasu1+25)</f>
        <v>44490</v>
      </c>
      <c r="G6" s="61">
        <f>IF(DAY(lokasu1)=1,lokasu1+19,lokasu1+26)</f>
        <v>44491</v>
      </c>
      <c r="H6" s="61">
        <f>IF(DAY(lokasu1)=1,lokasu1+20,lokasu1+27)</f>
        <v>44492</v>
      </c>
      <c r="I6" s="61">
        <f>IF(DAY(lokasu1)=1,lokasu1+21,lokasu1+28)</f>
        <v>44493</v>
      </c>
      <c r="J6" s="16"/>
      <c r="K6" s="3"/>
      <c r="L6" s="10"/>
    </row>
    <row r="7" spans="1:12" ht="30" customHeight="1" x14ac:dyDescent="0.25">
      <c r="A7" s="19"/>
      <c r="C7" s="61">
        <f>IF(DAY(lokasu1)=1,lokasu1+22,lokasu1+29)</f>
        <v>44494</v>
      </c>
      <c r="D7" s="61">
        <f>IF(DAY(lokasu1)=1,lokasu1+23,lokasu1+30)</f>
        <v>44495</v>
      </c>
      <c r="E7" s="61">
        <f>IF(DAY(lokasu1)=1,lokasu1+24,lokasu1+31)</f>
        <v>44496</v>
      </c>
      <c r="F7" s="61">
        <f>IF(DAY(lokasu1)=1,lokasu1+25,lokasu1+32)</f>
        <v>44497</v>
      </c>
      <c r="G7" s="61">
        <f>IF(DAY(lokasu1)=1,lokasu1+26,lokasu1+33)</f>
        <v>44498</v>
      </c>
      <c r="H7" s="61">
        <f>IF(DAY(lokasu1)=1,lokasu1+27,lokasu1+34)</f>
        <v>44499</v>
      </c>
      <c r="I7" s="61">
        <f>IF(DAY(lokasu1)=1,lokasu1+28,lokasu1+35)</f>
        <v>44500</v>
      </c>
      <c r="J7" s="1"/>
      <c r="K7" s="31"/>
      <c r="L7" s="26"/>
    </row>
    <row r="8" spans="1:12" ht="30" customHeight="1" x14ac:dyDescent="0.25">
      <c r="A8" s="19"/>
      <c r="B8" s="25"/>
      <c r="C8" s="61">
        <f>IF(DAY(lokasu1)=1,lokasu1+29,lokasu1+36)</f>
        <v>44501</v>
      </c>
      <c r="D8" s="61">
        <f>IF(DAY(lokasu1)=1,lokasu1+30,lokasu1+37)</f>
        <v>44502</v>
      </c>
      <c r="E8" s="61">
        <f>IF(DAY(lokasu1)=1,lokasu1+31,lokasu1+38)</f>
        <v>44503</v>
      </c>
      <c r="F8" s="61">
        <f>IF(DAY(lokasu1)=1,lokasu1+32,lokasu1+39)</f>
        <v>44504</v>
      </c>
      <c r="G8" s="61">
        <f>IF(DAY(lokasu1)=1,lokasu1+33,lokasu1+40)</f>
        <v>44505</v>
      </c>
      <c r="H8" s="61">
        <f>IF(DAY(lokasu1)=1,lokasu1+34,lokasu1+41)</f>
        <v>44506</v>
      </c>
      <c r="I8" s="61">
        <f>IF(DAY(lokasu1)=1,lokasu1+35,lokasu1+42)</f>
        <v>44507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64"/>
      <c r="D12" s="64"/>
      <c r="E12" s="64" t="s">
        <v>6</v>
      </c>
      <c r="F12" s="64"/>
      <c r="G12" s="64"/>
      <c r="H12" s="64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64" t="s">
        <v>14</v>
      </c>
      <c r="D14" s="64"/>
      <c r="E14" s="64"/>
      <c r="F14" s="64"/>
      <c r="G14" s="64" t="s">
        <v>14</v>
      </c>
      <c r="H14" s="64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64"/>
      <c r="D16" s="64"/>
      <c r="E16" s="64" t="s">
        <v>8</v>
      </c>
      <c r="F16" s="64"/>
      <c r="G16" s="64"/>
      <c r="H16" s="64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64"/>
      <c r="D18" s="64"/>
      <c r="E18" s="64"/>
      <c r="F18" s="64"/>
      <c r="G18" s="64"/>
      <c r="H18" s="64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64"/>
      <c r="D20" s="64"/>
      <c r="E20" s="64"/>
      <c r="F20" s="64"/>
      <c r="G20" s="64"/>
      <c r="H20" s="64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64"/>
      <c r="D22" s="64"/>
      <c r="E22" s="64"/>
      <c r="F22" s="64"/>
      <c r="G22" s="64"/>
      <c r="H22" s="64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64"/>
      <c r="D24" s="64"/>
      <c r="E24" s="64" t="s">
        <v>10</v>
      </c>
      <c r="F24" s="64"/>
      <c r="G24" s="64"/>
      <c r="H24" s="64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64"/>
      <c r="D26" s="64"/>
      <c r="E26" s="64"/>
      <c r="F26" s="64"/>
      <c r="G26" s="64"/>
      <c r="H26" s="64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64" t="s">
        <v>16</v>
      </c>
      <c r="D28" s="64"/>
      <c r="E28" s="64"/>
      <c r="F28" s="64"/>
      <c r="G28" s="64" t="s">
        <v>16</v>
      </c>
      <c r="H28" s="64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64"/>
      <c r="D30" s="64"/>
      <c r="E30" s="64"/>
      <c r="F30" s="64"/>
      <c r="G30" s="64"/>
      <c r="H30" s="64"/>
      <c r="I30" s="60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2" priority="8" stopIfTrue="1">
      <formula>DAY(C3)&gt;8</formula>
    </cfRule>
  </conditionalFormatting>
  <conditionalFormatting sqref="C7:I8">
    <cfRule type="expression" dxfId="21" priority="7" stopIfTrue="1">
      <formula>AND(DAY(C7)&gt;=1,DAY(C7)&lt;=15)</formula>
    </cfRule>
  </conditionalFormatting>
  <conditionalFormatting sqref="C3:I8">
    <cfRule type="expression" dxfId="20" priority="9">
      <formula>VLOOKUP(DAY(C3),Tehtäväpäivät,1,FALSE)=DAY(C3)</formula>
    </cfRule>
  </conditionalFormatting>
  <conditionalFormatting sqref="B13:I13 B15:I15 B17:I17 B19:I19 B21:I21 B23:I23 B25:I25 B27:I27 B29:I29 B31:I31">
    <cfRule type="expression" dxfId="19" priority="6">
      <formula>B13&lt;&gt;""</formula>
    </cfRule>
  </conditionalFormatting>
  <conditionalFormatting sqref="B12:I12 B14:I14 B16:I16 B18:I18 B20:I20 B22:I22 B24:I24 B26:I26 B28:I28 B30:I30">
    <cfRule type="expression" dxfId="18" priority="5">
      <formula>B12&lt;&gt;""</formula>
    </cfRule>
  </conditionalFormatting>
  <conditionalFormatting sqref="B13:I13 B15:I15 B17:I17 B19:I19 B21:I21 B23:I23 B25:I25 B27:I27 B29:I29">
    <cfRule type="expression" dxfId="17" priority="4">
      <formula>COLUMN(B11)&gt;2</formula>
    </cfRule>
    <cfRule type="expression" dxfId="16" priority="2">
      <formula>COLUMN(B13)&gt;=2</formula>
    </cfRule>
  </conditionalFormatting>
  <conditionalFormatting sqref="B31:I31">
    <cfRule type="expression" dxfId="15" priority="3">
      <formula>COLUMN(B12)&gt;2</formula>
    </cfRule>
  </conditionalFormatting>
  <conditionalFormatting sqref="B12:I31">
    <cfRule type="expression" dxfId="14" priority="1">
      <formula>COLUMN(B12)&gt;2</formula>
    </cfRule>
  </conditionalFormatting>
  <dataValidations count="13">
    <dataValidation allowBlank="1" showInputMessage="1" showErrorMessage="1" prompt="Lokakuun kalenteri korostaa automaattisesti kuukauden tehtävälistamerkinnät. Tummemmat fontit ovat tehtäviä. Vaaleammat fontit ovat päiviä, jotka kuuluvat edelliseen tai seuraavaan kuukauteen." sqref="B2" xr:uid="{00000000-0002-0000-0900-000000000000}"/>
    <dataValidation allowBlank="1" showInputMessage="1" showErrorMessage="1" prompt="Tämä on automaattisesti päivittyvä kalenterivuosi. Jos haluat vaihtaa vuotta, päivitä tammikuun taulukon solu B1." sqref="B1" xr:uid="{00000000-0002-0000-09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900-000002000000}"/>
    <dataValidation allowBlank="1" showInputMessage="1" showErrorMessage="1" prompt="Solut C2:I2 sisältävät viikonpäivät" sqref="C2" xr:uid="{00000000-0002-0000-09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9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900-000005000000}"/>
    <dataValidation allowBlank="1" showInputMessage="1" showErrorMessage="1" prompt="Enter time in this row  from columns B to I" sqref="B12" xr:uid="{00000000-0002-0000-0900-000006000000}"/>
    <dataValidation allowBlank="1" showInputMessage="1" showErrorMessage="1" prompt="Anna kurssi tälle riville sarakkeisiin B–I" sqref="B13" xr:uid="{00000000-0002-0000-09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9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9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900-00000A000000}"/>
    <dataValidation allowBlank="1" showInputMessage="1" showErrorMessage="1" prompt="Viikonpäivät ovat tällä rivillä (maanantaista perjantaihin)." sqref="B11" xr:uid="{00000000-0002-0000-09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9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37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IF(DAY(marrassu1)=1,marrassu1-6,marrassu1+1)</f>
        <v>44501</v>
      </c>
      <c r="D3" s="61">
        <f>IF(DAY(marrassu1)=1,marrassu1-5,marrassu1+2)</f>
        <v>44502</v>
      </c>
      <c r="E3" s="61">
        <f>IF(DAY(marrassu1)=1,marrassu1-4,marrassu1+3)</f>
        <v>44503</v>
      </c>
      <c r="F3" s="61">
        <f>IF(DAY(marrassu1)=1,marrassu1-3,marrassu1+4)</f>
        <v>44504</v>
      </c>
      <c r="G3" s="61">
        <f>IF(DAY(marrassu1)=1,marrassu1-2,marrassu1+5)</f>
        <v>44505</v>
      </c>
      <c r="H3" s="61">
        <f>IF(DAY(marrassu1)=1,marrassu1-1,marrassu1+6)</f>
        <v>44506</v>
      </c>
      <c r="I3" s="61">
        <f>IF(DAY(marrassu1)=1,marrassu1,marrassu1+7)</f>
        <v>44507</v>
      </c>
      <c r="J3" s="16"/>
      <c r="K3" s="3"/>
      <c r="L3" s="10"/>
    </row>
    <row r="4" spans="1:12" ht="30" customHeight="1" x14ac:dyDescent="0.25">
      <c r="A4" s="19"/>
      <c r="C4" s="61">
        <f>IF(DAY(marrassu1)=1,marrassu1+1,marrassu1+8)</f>
        <v>44508</v>
      </c>
      <c r="D4" s="61">
        <f>IF(DAY(marrassu1)=1,marrassu1+2,marrassu1+9)</f>
        <v>44509</v>
      </c>
      <c r="E4" s="61">
        <f>IF(DAY(marrassu1)=1,marrassu1+3,marrassu1+10)</f>
        <v>44510</v>
      </c>
      <c r="F4" s="61">
        <f>IF(DAY(marrassu1)=1,marrassu1+4,marrassu1+11)</f>
        <v>44511</v>
      </c>
      <c r="G4" s="61">
        <f>IF(DAY(marrassu1)=1,marrassu1+5,marrassu1+12)</f>
        <v>44512</v>
      </c>
      <c r="H4" s="61">
        <f>IF(DAY(marrassu1)=1,marrassu1+6,marrassu1+13)</f>
        <v>44513</v>
      </c>
      <c r="I4" s="61">
        <f>IF(DAY(marrassu1)=1,marrassu1+7,marrassu1+14)</f>
        <v>44514</v>
      </c>
      <c r="J4" s="16"/>
      <c r="K4" s="3"/>
      <c r="L4" s="10"/>
    </row>
    <row r="5" spans="1:12" ht="30" customHeight="1" x14ac:dyDescent="0.25">
      <c r="A5" s="19"/>
      <c r="C5" s="61">
        <f>IF(DAY(marrassu1)=1,marrassu1+8,marrassu1+15)</f>
        <v>44515</v>
      </c>
      <c r="D5" s="61">
        <f>IF(DAY(marrassu1)=1,marrassu1+9,marrassu1+16)</f>
        <v>44516</v>
      </c>
      <c r="E5" s="61">
        <f>IF(DAY(marrassu1)=1,marrassu1+10,marrassu1+17)</f>
        <v>44517</v>
      </c>
      <c r="F5" s="61">
        <f>IF(DAY(marrassu1)=1,marrassu1+11,marrassu1+18)</f>
        <v>44518</v>
      </c>
      <c r="G5" s="61">
        <f>IF(DAY(marrassu1)=1,marrassu1+12,marrassu1+19)</f>
        <v>44519</v>
      </c>
      <c r="H5" s="61">
        <f>IF(DAY(marrassu1)=1,marrassu1+13,marrassu1+20)</f>
        <v>44520</v>
      </c>
      <c r="I5" s="61">
        <f>IF(DAY(marrassu1)=1,marrassu1+14,marrassu1+21)</f>
        <v>44521</v>
      </c>
      <c r="J5" s="16"/>
      <c r="K5" s="3"/>
      <c r="L5" s="10"/>
    </row>
    <row r="6" spans="1:12" ht="30" customHeight="1" x14ac:dyDescent="0.25">
      <c r="A6" s="19"/>
      <c r="C6" s="61">
        <f>IF(DAY(marrassu1)=1,marrassu1+15,marrassu1+22)</f>
        <v>44522</v>
      </c>
      <c r="D6" s="61">
        <f>IF(DAY(marrassu1)=1,marrassu1+16,marrassu1+23)</f>
        <v>44523</v>
      </c>
      <c r="E6" s="61">
        <f>IF(DAY(marrassu1)=1,marrassu1+17,marrassu1+24)</f>
        <v>44524</v>
      </c>
      <c r="F6" s="61">
        <f>IF(DAY(marrassu1)=1,marrassu1+18,marrassu1+25)</f>
        <v>44525</v>
      </c>
      <c r="G6" s="61">
        <f>IF(DAY(marrassu1)=1,marrassu1+19,marrassu1+26)</f>
        <v>44526</v>
      </c>
      <c r="H6" s="61">
        <f>IF(DAY(marrassu1)=1,marrassu1+20,marrassu1+27)</f>
        <v>44527</v>
      </c>
      <c r="I6" s="61">
        <f>IF(DAY(marrassu1)=1,marrassu1+21,marrassu1+28)</f>
        <v>44528</v>
      </c>
      <c r="J6" s="16"/>
      <c r="K6" s="3"/>
      <c r="L6" s="10"/>
    </row>
    <row r="7" spans="1:12" ht="30" customHeight="1" x14ac:dyDescent="0.25">
      <c r="A7" s="19"/>
      <c r="C7" s="61">
        <f>IF(DAY(marrassu1)=1,marrassu1+22,marrassu1+29)</f>
        <v>44529</v>
      </c>
      <c r="D7" s="61">
        <f>IF(DAY(marrassu1)=1,marrassu1+23,marrassu1+30)</f>
        <v>44530</v>
      </c>
      <c r="E7" s="61">
        <f>IF(DAY(marrassu1)=1,marrassu1+24,marrassu1+31)</f>
        <v>44531</v>
      </c>
      <c r="F7" s="61">
        <f>IF(DAY(marrassu1)=1,marrassu1+25,marrassu1+32)</f>
        <v>44532</v>
      </c>
      <c r="G7" s="61">
        <f>IF(DAY(marrassu1)=1,marrassu1+26,marrassu1+33)</f>
        <v>44533</v>
      </c>
      <c r="H7" s="61">
        <f>IF(DAY(marrassu1)=1,marrassu1+27,marrassu1+34)</f>
        <v>44534</v>
      </c>
      <c r="I7" s="61">
        <f>IF(DAY(marrassu1)=1,marrassu1+28,marrassu1+35)</f>
        <v>44535</v>
      </c>
      <c r="J7" s="1"/>
      <c r="K7" s="31"/>
      <c r="L7" s="26"/>
    </row>
    <row r="8" spans="1:12" ht="30" customHeight="1" x14ac:dyDescent="0.25">
      <c r="A8" s="19"/>
      <c r="B8" s="25"/>
      <c r="C8" s="61">
        <f>IF(DAY(marrassu1)=1,marrassu1+29,marrassu1+36)</f>
        <v>44536</v>
      </c>
      <c r="D8" s="61">
        <f>IF(DAY(marrassu1)=1,marrassu1+30,marrassu1+37)</f>
        <v>44537</v>
      </c>
      <c r="E8" s="61">
        <f>IF(DAY(marrassu1)=1,marrassu1+31,marrassu1+38)</f>
        <v>44538</v>
      </c>
      <c r="F8" s="61">
        <f>IF(DAY(marrassu1)=1,marrassu1+32,marrassu1+39)</f>
        <v>44539</v>
      </c>
      <c r="G8" s="61">
        <f>IF(DAY(marrassu1)=1,marrassu1+33,marrassu1+40)</f>
        <v>44540</v>
      </c>
      <c r="H8" s="61">
        <f>IF(DAY(marrassu1)=1,marrassu1+34,marrassu1+41)</f>
        <v>44541</v>
      </c>
      <c r="I8" s="61">
        <f>IF(DAY(marrassu1)=1,marrassu1+35,marrassu1+42)</f>
        <v>44542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13" priority="6" stopIfTrue="1">
      <formula>DAY(C3)&gt;8</formula>
    </cfRule>
  </conditionalFormatting>
  <conditionalFormatting sqref="C7:I8">
    <cfRule type="expression" dxfId="12" priority="5" stopIfTrue="1">
      <formula>AND(DAY(C7)&gt;=1,DAY(C7)&lt;=15)</formula>
    </cfRule>
  </conditionalFormatting>
  <conditionalFormatting sqref="C3:I8">
    <cfRule type="expression" dxfId="11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10" priority="4">
      <formula>B13&lt;&gt;""</formula>
    </cfRule>
  </conditionalFormatting>
  <conditionalFormatting sqref="B12:I12 B14:I14 B16:I16 B18:I18 B20:I20 B22:I22 B24:I24 B26:I26 B28:I28 B30:I30">
    <cfRule type="expression" dxfId="9" priority="3">
      <formula>B12&lt;&gt;""</formula>
    </cfRule>
  </conditionalFormatting>
  <conditionalFormatting sqref="B13:I13 B15:I15 B17:I17 B19:I19 B21:I21 B23:I23 B25:I25 B27:I27 B29:I29">
    <cfRule type="expression" dxfId="8" priority="2">
      <formula>COLUMN(B13)&gt;=2</formula>
    </cfRule>
  </conditionalFormatting>
  <conditionalFormatting sqref="B12:I31">
    <cfRule type="expression" dxfId="7" priority="1">
      <formula>COLUMN(B12)&gt;2</formula>
    </cfRule>
  </conditionalFormatting>
  <dataValidations xWindow="136" yWindow="382" count="13">
    <dataValidation allowBlank="1" showInputMessage="1" showErrorMessage="1" prompt="Anna kurssi tälle riville sarakkeisiin B–I" sqref="B13" xr:uid="{00000000-0002-0000-0A00-000000000000}"/>
    <dataValidation allowBlank="1" showInputMessage="1" showErrorMessage="1" prompt="Enter time in this row  from columns B to I" sqref="B12" xr:uid="{00000000-0002-0000-0A00-000001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A00-000002000000}"/>
    <dataValidation allowBlank="1" showInputMessage="1" showErrorMessage="1" prompt="Jos tässä solussa ei ole numeroa 1, siinä on edellisen kuukauden päivä. Solut C3:I8 sisältävät nykyisen kuukauden päivämäärät." sqref="C3" xr:uid="{00000000-0002-0000-0A00-000003000000}"/>
    <dataValidation allowBlank="1" showInputMessage="1" showErrorMessage="1" prompt="Solut C2:I2 sisältävät viikonpäivät" sqref="C2" xr:uid="{00000000-0002-0000-0A00-000004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A00-000005000000}"/>
    <dataValidation allowBlank="1" showInputMessage="1" showErrorMessage="1" prompt="Tämä on automaattisesti päivittyvä kalenterivuosi. Jos haluat vaihtaa vuotta, päivitä tammikuun taulukon solu B1." sqref="B1" xr:uid="{00000000-0002-0000-0A00-000006000000}"/>
    <dataValidation allowBlank="1" showInputMessage="1" showErrorMessage="1" prompt="Marraskuun kalenteri korostaa automaattisesti kuukauden tehtävälistamerkinnät. Tummemmat fontit ovat tehtäviä. Vaaleammat fontit ovat päiviä, jotka kuuluvat edelliseen tai seuraavaan kuukauteen." sqref="B2" xr:uid="{00000000-0002-0000-0A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A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A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A00-00000A000000}"/>
    <dataValidation allowBlank="1" showInputMessage="1" showErrorMessage="1" prompt="Viikonpäivät ovat tällä rivillä (maanantaista perjantaihin)." sqref="B11" xr:uid="{00000000-0002-0000-0A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A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38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"/>
      <c r="L2" s="24"/>
    </row>
    <row r="3" spans="1:12" ht="30" customHeight="1" x14ac:dyDescent="0.25">
      <c r="A3" s="19"/>
      <c r="C3" s="61">
        <f>IF(DAY(joulusu1)=1,joulusu1-6,joulusu1+1)</f>
        <v>44529</v>
      </c>
      <c r="D3" s="61">
        <f>IF(DAY(joulusu1)=1,joulusu1-5,joulusu1+2)</f>
        <v>44530</v>
      </c>
      <c r="E3" s="61">
        <f>IF(DAY(joulusu1)=1,joulusu1-4,joulusu1+3)</f>
        <v>44531</v>
      </c>
      <c r="F3" s="61">
        <f>IF(DAY(joulusu1)=1,joulusu1-3,joulusu1+4)</f>
        <v>44532</v>
      </c>
      <c r="G3" s="61">
        <f>IF(DAY(joulusu1)=1,joulusu1-2,joulusu1+5)</f>
        <v>44533</v>
      </c>
      <c r="H3" s="61">
        <f>IF(DAY(joulusu1)=1,joulusu1-1,joulusu1+6)</f>
        <v>44534</v>
      </c>
      <c r="I3" s="61">
        <f>IF(DAY(joulusu1)=1,joulusu1,joulusu1+7)</f>
        <v>44535</v>
      </c>
      <c r="J3" s="16"/>
      <c r="K3" s="3"/>
      <c r="L3" s="24"/>
    </row>
    <row r="4" spans="1:12" ht="30" customHeight="1" x14ac:dyDescent="0.25">
      <c r="A4" s="19"/>
      <c r="C4" s="61">
        <f>IF(DAY(joulusu1)=1,joulusu1+1,joulusu1+8)</f>
        <v>44536</v>
      </c>
      <c r="D4" s="61">
        <f>IF(DAY(joulusu1)=1,joulusu1+2,joulusu1+9)</f>
        <v>44537</v>
      </c>
      <c r="E4" s="61">
        <f>IF(DAY(joulusu1)=1,joulusu1+3,joulusu1+10)</f>
        <v>44538</v>
      </c>
      <c r="F4" s="61">
        <f>IF(DAY(joulusu1)=1,joulusu1+4,joulusu1+11)</f>
        <v>44539</v>
      </c>
      <c r="G4" s="61">
        <f>IF(DAY(joulusu1)=1,joulusu1+5,joulusu1+12)</f>
        <v>44540</v>
      </c>
      <c r="H4" s="61">
        <f>IF(DAY(joulusu1)=1,joulusu1+6,joulusu1+13)</f>
        <v>44541</v>
      </c>
      <c r="I4" s="61">
        <f>IF(DAY(joulusu1)=1,joulusu1+7,joulusu1+14)</f>
        <v>44542</v>
      </c>
      <c r="J4" s="16"/>
      <c r="K4" s="3"/>
      <c r="L4" s="24"/>
    </row>
    <row r="5" spans="1:12" ht="30" customHeight="1" x14ac:dyDescent="0.25">
      <c r="A5" s="19"/>
      <c r="C5" s="61">
        <f>IF(DAY(joulusu1)=1,joulusu1+8,joulusu1+15)</f>
        <v>44543</v>
      </c>
      <c r="D5" s="61">
        <f>IF(DAY(joulusu1)=1,joulusu1+9,joulusu1+16)</f>
        <v>44544</v>
      </c>
      <c r="E5" s="61">
        <f>IF(DAY(joulusu1)=1,joulusu1+10,joulusu1+17)</f>
        <v>44545</v>
      </c>
      <c r="F5" s="61">
        <f>IF(DAY(joulusu1)=1,joulusu1+11,joulusu1+18)</f>
        <v>44546</v>
      </c>
      <c r="G5" s="61">
        <f>IF(DAY(joulusu1)=1,joulusu1+12,joulusu1+19)</f>
        <v>44547</v>
      </c>
      <c r="H5" s="61">
        <f>IF(DAY(joulusu1)=1,joulusu1+13,joulusu1+20)</f>
        <v>44548</v>
      </c>
      <c r="I5" s="61">
        <f>IF(DAY(joulusu1)=1,joulusu1+14,joulusu1+21)</f>
        <v>44549</v>
      </c>
      <c r="J5" s="16"/>
      <c r="K5" s="3"/>
      <c r="L5" s="24"/>
    </row>
    <row r="6" spans="1:12" ht="30" customHeight="1" x14ac:dyDescent="0.25">
      <c r="A6" s="19"/>
      <c r="C6" s="61">
        <f>IF(DAY(joulusu1)=1,joulusu1+15,joulusu1+22)</f>
        <v>44550</v>
      </c>
      <c r="D6" s="61">
        <f>IF(DAY(joulusu1)=1,joulusu1+16,joulusu1+23)</f>
        <v>44551</v>
      </c>
      <c r="E6" s="61">
        <f>IF(DAY(joulusu1)=1,joulusu1+17,joulusu1+24)</f>
        <v>44552</v>
      </c>
      <c r="F6" s="61">
        <f>IF(DAY(joulusu1)=1,joulusu1+18,joulusu1+25)</f>
        <v>44553</v>
      </c>
      <c r="G6" s="61">
        <f>IF(DAY(joulusu1)=1,joulusu1+19,joulusu1+26)</f>
        <v>44554</v>
      </c>
      <c r="H6" s="61">
        <f>IF(DAY(joulusu1)=1,joulusu1+20,joulusu1+27)</f>
        <v>44555</v>
      </c>
      <c r="I6" s="61">
        <f>IF(DAY(joulusu1)=1,joulusu1+21,joulusu1+28)</f>
        <v>44556</v>
      </c>
      <c r="J6" s="16"/>
      <c r="K6" s="3"/>
      <c r="L6" s="24"/>
    </row>
    <row r="7" spans="1:12" ht="30" customHeight="1" x14ac:dyDescent="0.25">
      <c r="A7" s="19"/>
      <c r="C7" s="61">
        <f>IF(DAY(joulusu1)=1,joulusu1+22,joulusu1+29)</f>
        <v>44557</v>
      </c>
      <c r="D7" s="61">
        <f>IF(DAY(joulusu1)=1,joulusu1+23,joulusu1+30)</f>
        <v>44558</v>
      </c>
      <c r="E7" s="61">
        <f>IF(DAY(joulusu1)=1,joulusu1+24,joulusu1+31)</f>
        <v>44559</v>
      </c>
      <c r="F7" s="61">
        <f>IF(DAY(joulusu1)=1,joulusu1+25,joulusu1+32)</f>
        <v>44560</v>
      </c>
      <c r="G7" s="61">
        <f>IF(DAY(joulusu1)=1,joulusu1+26,joulusu1+33)</f>
        <v>44561</v>
      </c>
      <c r="H7" s="61">
        <f>IF(DAY(joulusu1)=1,joulusu1+27,joulusu1+34)</f>
        <v>44562</v>
      </c>
      <c r="I7" s="61">
        <f>IF(DAY(joulusu1)=1,joulusu1+28,joulusu1+35)</f>
        <v>44563</v>
      </c>
      <c r="J7" s="29"/>
      <c r="K7" s="27"/>
      <c r="L7" s="25"/>
    </row>
    <row r="8" spans="1:12" ht="30" customHeight="1" x14ac:dyDescent="0.25">
      <c r="A8" s="19"/>
      <c r="B8" s="25"/>
      <c r="C8" s="61">
        <f>IF(DAY(joulusu1)=1,joulusu1+29,joulusu1+36)</f>
        <v>44564</v>
      </c>
      <c r="D8" s="61">
        <f>IF(DAY(joulusu1)=1,joulusu1+30,joulusu1+37)</f>
        <v>44565</v>
      </c>
      <c r="E8" s="61">
        <f>IF(DAY(joulusu1)=1,joulusu1+31,joulusu1+38)</f>
        <v>44566</v>
      </c>
      <c r="F8" s="61">
        <f>IF(DAY(joulusu1)=1,joulusu1+32,joulusu1+39)</f>
        <v>44567</v>
      </c>
      <c r="G8" s="61">
        <f>IF(DAY(joulusu1)=1,joulusu1+33,joulusu1+40)</f>
        <v>44568</v>
      </c>
      <c r="H8" s="61">
        <f>IF(DAY(joulusu1)=1,joulusu1+34,joulusu1+41)</f>
        <v>44569</v>
      </c>
      <c r="I8" s="61">
        <f>IF(DAY(joulusu1)=1,joulusu1+35,joulusu1+42)</f>
        <v>44570</v>
      </c>
      <c r="J8" s="16" t="s">
        <v>13</v>
      </c>
      <c r="K8" s="3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24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9"/>
      <c r="K31" s="27"/>
      <c r="L31" s="25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" priority="6" stopIfTrue="1">
      <formula>DAY(C3)&gt;8</formula>
    </cfRule>
  </conditionalFormatting>
  <conditionalFormatting sqref="C7:I8">
    <cfRule type="expression" dxfId="5" priority="5" stopIfTrue="1">
      <formula>AND(DAY(C7)&gt;=1,DAY(C7)&lt;=15)</formula>
    </cfRule>
  </conditionalFormatting>
  <conditionalFormatting sqref="C3:I8">
    <cfRule type="expression" dxfId="4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3" priority="4">
      <formula>B13&lt;&gt;""</formula>
    </cfRule>
  </conditionalFormatting>
  <conditionalFormatting sqref="B12:I12 B14:I14 B16:I16 B18:I18 B20:I20 B22:I22 B24:I24 B26:I26 B28:I28 B30:I30">
    <cfRule type="expression" dxfId="2" priority="3">
      <formula>B12&lt;&gt;""</formula>
    </cfRule>
  </conditionalFormatting>
  <conditionalFormatting sqref="B13:I13 B15:I15 B17:I17 B19:I19 B21:I21 B23:I23 B25:I25 B27:I27 B29:I29">
    <cfRule type="expression" dxfId="1" priority="2">
      <formula>COLUMN(B13)&gt;=2</formula>
    </cfRule>
  </conditionalFormatting>
  <conditionalFormatting sqref="B12:I31">
    <cfRule type="expression" dxfId="0" priority="1">
      <formula>COLUMN(B12)&gt;2</formula>
    </cfRule>
  </conditionalFormatting>
  <dataValidations xWindow="282" yWindow="695" count="13">
    <dataValidation allowBlank="1" showInputMessage="1" showErrorMessage="1" prompt="Joulukuun kalenteri korostaa automaattisesti kuukauden tehtävälistamerkinnät. Tummemmat fontit ovat tehtäviä. Vaaleammat fontit ovat päiviä, jotka kuuluvat edelliseen tai seuraavaan kuukauteen." sqref="B2" xr:uid="{00000000-0002-0000-0B00-000000000000}"/>
    <dataValidation allowBlank="1" showInputMessage="1" showErrorMessage="1" prompt="Tämä on automaattisesti päivittyvä kalenterivuosi. Jos haluat vaihtaa vuotta, päivitä tammikuun taulukon solu B1." sqref="B1" xr:uid="{00000000-0002-0000-0B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B00-000002000000}"/>
    <dataValidation allowBlank="1" showInputMessage="1" showErrorMessage="1" prompt="Solut C2:I2 sisältävät viikonpäivät" sqref="C2" xr:uid="{00000000-0002-0000-0B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B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B00-000005000000}"/>
    <dataValidation allowBlank="1" showInputMessage="1" showErrorMessage="1" prompt="Enter time in this row  from columns B to I" sqref="B12" xr:uid="{00000000-0002-0000-0B00-000006000000}"/>
    <dataValidation allowBlank="1" showInputMessage="1" showErrorMessage="1" prompt="Anna kurssi tälle riville sarakkeisiin B–I" sqref="B13" xr:uid="{00000000-0002-0000-0B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B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B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B00-00000A000000}"/>
    <dataValidation allowBlank="1" showInputMessage="1" showErrorMessage="1" prompt="Viikonpäivät ovat tällä rivillä (maanantaista perjantaihin)." sqref="B11" xr:uid="{00000000-0002-0000-0B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B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0.625" customWidth="1"/>
    <col min="3" max="8" width="10.625" customWidth="1"/>
    <col min="9" max="9" width="20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24"/>
      <c r="B1" s="14">
        <v>2021</v>
      </c>
      <c r="C1" s="12" t="s">
        <v>12</v>
      </c>
      <c r="D1" s="2"/>
      <c r="E1" s="2"/>
      <c r="F1" s="2"/>
      <c r="G1" s="2"/>
      <c r="H1" s="2"/>
      <c r="I1" s="2"/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7" t="s">
        <v>3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">
        <v>4</v>
      </c>
      <c r="L2" s="21" t="s">
        <v>25</v>
      </c>
    </row>
    <row r="3" spans="1:12" ht="30" customHeight="1" x14ac:dyDescent="0.25">
      <c r="A3" s="19"/>
      <c r="B3" s="24"/>
      <c r="C3" s="61">
        <f>IF(DAY(tammisu1)=1,tammisu1-6,tammisu1+1)</f>
        <v>44193</v>
      </c>
      <c r="D3" s="61">
        <f>IF(DAY(tammisu1)=1,tammisu1-5,tammisu1+2)</f>
        <v>44194</v>
      </c>
      <c r="E3" s="61">
        <f>IF(DAY(tammisu1)=1,tammisu1-4,tammisu1+3)</f>
        <v>44195</v>
      </c>
      <c r="F3" s="61">
        <f>IF(DAY(tammisu1)=1,tammisu1-3,tammisu1+4)</f>
        <v>44196</v>
      </c>
      <c r="G3" s="61">
        <f>IF(DAY(tammisu1)=1,tammisu1-2,tammisu1+5)</f>
        <v>44197</v>
      </c>
      <c r="H3" s="61">
        <f>IF(DAY(tammisu1)=1,tammisu1-1,tammisu1+6)</f>
        <v>44198</v>
      </c>
      <c r="I3" s="61">
        <f>IF(DAY(tammisu1)=1,tammisu1,tammisu1+7)</f>
        <v>44199</v>
      </c>
      <c r="J3" s="16"/>
      <c r="K3" s="3"/>
      <c r="L3" s="21"/>
    </row>
    <row r="4" spans="1:12" ht="30" customHeight="1" x14ac:dyDescent="0.25">
      <c r="A4" s="19"/>
      <c r="B4" s="24"/>
      <c r="C4" s="61">
        <f>IF(DAY(tammisu1)=1,tammisu1+1,tammisu1+8)</f>
        <v>44200</v>
      </c>
      <c r="D4" s="61">
        <f>IF(DAY(tammisu1)=1,tammisu1+2,tammisu1+9)</f>
        <v>44201</v>
      </c>
      <c r="E4" s="61">
        <f>IF(DAY(tammisu1)=1,tammisu1+3,tammisu1+10)</f>
        <v>44202</v>
      </c>
      <c r="F4" s="61">
        <f>IF(DAY(tammisu1)=1,tammisu1+4,tammisu1+11)</f>
        <v>44203</v>
      </c>
      <c r="G4" s="61">
        <f>IF(DAY(tammisu1)=1,tammisu1+5,tammisu1+12)</f>
        <v>44204</v>
      </c>
      <c r="H4" s="61">
        <f>IF(DAY(tammisu1)=1,tammisu1+6,tammisu1+13)</f>
        <v>44205</v>
      </c>
      <c r="I4" s="61">
        <f>IF(DAY(tammisu1)=1,tammisu1+7,tammisu1+14)</f>
        <v>44206</v>
      </c>
      <c r="J4" s="16"/>
      <c r="K4" s="3"/>
      <c r="L4" s="21"/>
    </row>
    <row r="5" spans="1:12" ht="30" customHeight="1" x14ac:dyDescent="0.25">
      <c r="A5" s="19"/>
      <c r="B5" s="24"/>
      <c r="C5" s="61">
        <f>IF(DAY(tammisu1)=1,tammisu1+8,tammisu1+15)</f>
        <v>44207</v>
      </c>
      <c r="D5" s="61">
        <f>IF(DAY(tammisu1)=1,tammisu1+9,tammisu1+16)</f>
        <v>44208</v>
      </c>
      <c r="E5" s="61">
        <f>IF(DAY(tammisu1)=1,tammisu1+10,tammisu1+17)</f>
        <v>44209</v>
      </c>
      <c r="F5" s="61">
        <f>IF(DAY(tammisu1)=1,tammisu1+11,tammisu1+18)</f>
        <v>44210</v>
      </c>
      <c r="G5" s="61">
        <f>IF(DAY(tammisu1)=1,tammisu1+12,tammisu1+19)</f>
        <v>44211</v>
      </c>
      <c r="H5" s="61">
        <f>IF(DAY(tammisu1)=1,tammisu1+13,tammisu1+20)</f>
        <v>44212</v>
      </c>
      <c r="I5" s="61">
        <f>IF(DAY(tammisu1)=1,tammisu1+14,tammisu1+21)</f>
        <v>44213</v>
      </c>
      <c r="J5" s="16"/>
      <c r="K5" s="3"/>
      <c r="L5" s="21"/>
    </row>
    <row r="6" spans="1:12" ht="30" customHeight="1" x14ac:dyDescent="0.25">
      <c r="A6" s="19"/>
      <c r="B6" s="24"/>
      <c r="C6" s="61">
        <f>IF(DAY(tammisu1)=1,tammisu1+15,tammisu1+22)</f>
        <v>44214</v>
      </c>
      <c r="D6" s="61">
        <f>IF(DAY(tammisu1)=1,tammisu1+16,tammisu1+23)</f>
        <v>44215</v>
      </c>
      <c r="E6" s="61">
        <f>IF(DAY(tammisu1)=1,tammisu1+17,tammisu1+24)</f>
        <v>44216</v>
      </c>
      <c r="F6" s="61">
        <f>IF(DAY(tammisu1)=1,tammisu1+18,tammisu1+25)</f>
        <v>44217</v>
      </c>
      <c r="G6" s="61">
        <f>IF(DAY(tammisu1)=1,tammisu1+19,tammisu1+26)</f>
        <v>44218</v>
      </c>
      <c r="H6" s="61">
        <f>IF(DAY(tammisu1)=1,tammisu1+20,tammisu1+27)</f>
        <v>44219</v>
      </c>
      <c r="I6" s="61">
        <f>IF(DAY(tammisu1)=1,tammisu1+21,tammisu1+28)</f>
        <v>44220</v>
      </c>
      <c r="J6" s="16"/>
      <c r="K6" s="3"/>
      <c r="L6" s="21"/>
    </row>
    <row r="7" spans="1:12" ht="30" customHeight="1" x14ac:dyDescent="0.25">
      <c r="A7" s="19"/>
      <c r="B7" s="24"/>
      <c r="C7" s="61">
        <f>IF(DAY(tammisu1)=1,tammisu1+22,tammisu1+29)</f>
        <v>44221</v>
      </c>
      <c r="D7" s="61">
        <f>IF(DAY(tammisu1)=1,tammisu1+23,tammisu1+30)</f>
        <v>44222</v>
      </c>
      <c r="E7" s="61">
        <f>IF(DAY(tammisu1)=1,tammisu1+24,tammisu1+31)</f>
        <v>44223</v>
      </c>
      <c r="F7" s="61">
        <f>IF(DAY(tammisu1)=1,tammisu1+25,tammisu1+32)</f>
        <v>44224</v>
      </c>
      <c r="G7" s="61">
        <f>IF(DAY(tammisu1)=1,tammisu1+26,tammisu1+33)</f>
        <v>44225</v>
      </c>
      <c r="H7" s="61">
        <f>IF(DAY(tammisu1)=1,tammisu1+27,tammisu1+34)</f>
        <v>44226</v>
      </c>
      <c r="I7" s="61">
        <f>IF(DAY(tammisu1)=1,tammisu1+28,tammisu1+35)</f>
        <v>44227</v>
      </c>
      <c r="J7" s="29"/>
      <c r="K7" s="27"/>
      <c r="L7" s="25"/>
    </row>
    <row r="8" spans="1:12" ht="30" customHeight="1" x14ac:dyDescent="0.25">
      <c r="A8" s="19"/>
      <c r="B8" s="25"/>
      <c r="C8" s="62">
        <f>IF(DAY(tammisu1)=1,tammisu1+29,tammisu1+36)</f>
        <v>44228</v>
      </c>
      <c r="D8" s="62">
        <f>IF(DAY(tammisu1)=1,tammisu1+30,tammisu1+37)</f>
        <v>44229</v>
      </c>
      <c r="E8" s="62">
        <f>IF(DAY(tammisu1)=1,tammisu1+31,tammisu1+38)</f>
        <v>44230</v>
      </c>
      <c r="F8" s="62">
        <f>IF(DAY(tammisu1)=1,tammisu1+32,tammisu1+39)</f>
        <v>44231</v>
      </c>
      <c r="G8" s="62">
        <f>IF(DAY(tammisu1)=1,tammisu1+33,tammisu1+40)</f>
        <v>44232</v>
      </c>
      <c r="H8" s="62">
        <f>IF(DAY(tammisu1)=1,tammisu1+34,tammisu1+41)</f>
        <v>44233</v>
      </c>
      <c r="I8" s="62">
        <f>IF(DAY(tammisu1)=1,tammisu1+35,tammisu1+42)</f>
        <v>44234</v>
      </c>
      <c r="J8" s="16" t="s">
        <v>13</v>
      </c>
      <c r="K8" s="3">
        <v>19</v>
      </c>
      <c r="L8" s="21" t="s">
        <v>26</v>
      </c>
    </row>
    <row r="9" spans="1:12" ht="30" customHeight="1" x14ac:dyDescent="0.25">
      <c r="A9" s="19"/>
      <c r="B9" s="24"/>
      <c r="J9" s="16"/>
      <c r="K9" s="3"/>
      <c r="L9" s="21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1"/>
    </row>
    <row r="11" spans="1:12" ht="30" customHeight="1" x14ac:dyDescent="0.25">
      <c r="A11" s="35" t="s">
        <v>0</v>
      </c>
      <c r="B11" s="20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21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3" t="s">
        <v>6</v>
      </c>
      <c r="J12" s="16"/>
      <c r="K12" s="3"/>
      <c r="L12" s="21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37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3"/>
      <c r="J14" s="16" t="s">
        <v>18</v>
      </c>
      <c r="K14" s="3"/>
      <c r="L14" s="21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37"/>
      <c r="J15" s="16"/>
      <c r="K15" s="3"/>
      <c r="L15" s="21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3" t="s">
        <v>8</v>
      </c>
      <c r="J16" s="16"/>
      <c r="K16" s="3"/>
      <c r="L16" s="21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37" t="s">
        <v>9</v>
      </c>
      <c r="J17" s="16"/>
      <c r="K17" s="3"/>
      <c r="L17" s="21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3"/>
      <c r="J18" s="16"/>
      <c r="K18" s="3"/>
      <c r="L18" s="21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38"/>
      <c r="J19" s="29"/>
      <c r="K19" s="27"/>
      <c r="L19" s="26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3"/>
      <c r="J20" s="16" t="s">
        <v>19</v>
      </c>
      <c r="K20" s="3"/>
      <c r="L20" s="21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37"/>
      <c r="J21" s="16"/>
      <c r="K21" s="3"/>
      <c r="L21" s="21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3"/>
      <c r="J22" s="16"/>
      <c r="K22" s="3"/>
      <c r="L22" s="21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37"/>
      <c r="J23" s="16"/>
      <c r="K23" s="3"/>
      <c r="L23" s="21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3" t="s">
        <v>10</v>
      </c>
      <c r="J24" s="16"/>
      <c r="K24" s="3"/>
      <c r="L24" s="21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37" t="s">
        <v>11</v>
      </c>
      <c r="J25" s="29"/>
      <c r="K25" s="27"/>
      <c r="L25" s="26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3"/>
      <c r="J26" s="16" t="s">
        <v>20</v>
      </c>
      <c r="K26" s="3"/>
      <c r="L26" s="21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37"/>
      <c r="J27" s="16"/>
      <c r="K27" s="3"/>
      <c r="L27" s="21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3"/>
      <c r="J28" s="16"/>
      <c r="K28" s="3"/>
      <c r="L28" s="21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37"/>
      <c r="J29" s="16"/>
      <c r="K29" s="3"/>
      <c r="L29" s="21"/>
    </row>
    <row r="30" spans="1:12" ht="30" customHeight="1" x14ac:dyDescent="0.25">
      <c r="A30" s="35" t="s">
        <v>1</v>
      </c>
      <c r="B30" s="58"/>
      <c r="C30" s="64"/>
      <c r="D30" s="64"/>
      <c r="E30" s="64"/>
      <c r="F30" s="64"/>
      <c r="G30" s="64"/>
      <c r="H30" s="64"/>
      <c r="I30" s="63"/>
      <c r="J30" s="16"/>
      <c r="K30" s="3"/>
      <c r="L30" s="21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2"/>
      <c r="K31" s="3"/>
      <c r="L31" s="21"/>
    </row>
  </sheetData>
  <dataConsolidate/>
  <mergeCells count="63">
    <mergeCell ref="G11:H11"/>
    <mergeCell ref="G12:H12"/>
    <mergeCell ref="G13:H13"/>
    <mergeCell ref="G16:H16"/>
    <mergeCell ref="G17:H17"/>
    <mergeCell ref="G18:H18"/>
    <mergeCell ref="G19:H19"/>
    <mergeCell ref="G14:H14"/>
    <mergeCell ref="G15:H15"/>
    <mergeCell ref="G27:H27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E19:F19"/>
    <mergeCell ref="E18:F18"/>
    <mergeCell ref="E17:F17"/>
    <mergeCell ref="E16:F16"/>
    <mergeCell ref="E15:F15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</mergeCells>
  <phoneticPr fontId="2" type="noConversion"/>
  <conditionalFormatting sqref="C3:H3">
    <cfRule type="expression" dxfId="85" priority="9" stopIfTrue="1">
      <formula>DAY(C3)&gt;8</formula>
    </cfRule>
  </conditionalFormatting>
  <conditionalFormatting sqref="C7:I8">
    <cfRule type="expression" dxfId="84" priority="8" stopIfTrue="1">
      <formula>AND(DAY(C7)&gt;=1,DAY(C7)&lt;=15)</formula>
    </cfRule>
  </conditionalFormatting>
  <conditionalFormatting sqref="C3:I8">
    <cfRule type="expression" dxfId="83" priority="20">
      <formula>VLOOKUP(DAY(C3),Tehtäväpäivät,1,FALSE)=DAY(C3)</formula>
    </cfRule>
  </conditionalFormatting>
  <conditionalFormatting sqref="B12:I12 B14:I14 B16:I16 B18:I18 B20:I20 B22:I22 B24:I24 B26:I26 B28:I28 B30:I30">
    <cfRule type="expression" dxfId="82" priority="6">
      <formula>B12&lt;&gt;""</formula>
    </cfRule>
  </conditionalFormatting>
  <conditionalFormatting sqref="B13:I13 B15:I15 B17:I17 B19:I19 B21:I21 B23:I23 B25:I25 B27:I27 B29:I29 B31:I31">
    <cfRule type="expression" dxfId="81" priority="4">
      <formula>B13&lt;&gt;""</formula>
    </cfRule>
  </conditionalFormatting>
  <conditionalFormatting sqref="B13:I13 B15:I15 B17:I17 B19:I19 B21:I21 B23:I23 B25:I25 B27:I27 B29:I29">
    <cfRule type="expression" dxfId="80" priority="3">
      <formula>COLUMN(B12)&gt;=2</formula>
    </cfRule>
  </conditionalFormatting>
  <conditionalFormatting sqref="B12:I31">
    <cfRule type="expression" dxfId="79" priority="1">
      <formula>COLUMN(B11)&gt;2</formula>
    </cfRule>
  </conditionalFormatting>
  <dataValidations xWindow="250" yWindow="581" count="13">
    <dataValidation allowBlank="1" showInputMessage="1" showErrorMessage="1" prompt="Kirjoita vuosi tähän soluun" sqref="B1" xr:uid="{00000000-0002-0000-0000-000000000000}"/>
    <dataValidation allowBlank="1" showInputMessage="1" showErrorMessage="1" prompt="Tämän laskentataulukon avulla voit valmistella viikkoaikataulun ja luoda tehtävälistan. Tehtävälistan merkinnät korostetaan automaattisesti kuukausikalenterissa. Anna kalenterivuosi soluun B1." sqref="A1" xr:uid="{00000000-0002-0000-0000-000001000000}"/>
    <dataValidation allowBlank="1" showInputMessage="1" showErrorMessage="1" prompt="Tammikuun kalenteri korostaa automaattisesti kuukauden tehtävälistamerkinnät. Tummemmat fontit ovat tehtäviä. Vaaleammat fontit ovat päiviä, jotka kuuluvat edelliseen tai seuraavaan kuukauteen." sqref="B2" xr:uid="{00000000-0002-0000-0000-000002000000}"/>
    <dataValidation allowBlank="1" showInputMessage="1" showErrorMessage="1" prompt="Solut C2:I2 sisältävät viikonpäivät" sqref="C2" xr:uid="{00000000-0002-0000-00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000-000004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000-000005000000}"/>
    <dataValidation allowBlank="1" showInputMessage="1" showErrorMessage="1" prompt="Anna kurssi tälle riville sarakkeisiin B–I" sqref="B13" xr:uid="{00000000-0002-0000-0000-000006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000-000007000000}"/>
    <dataValidation allowBlank="1" showInputMessage="1" showErrorMessage="1" prompt="Enter time in this row  from columns B to I" sqref="B12" xr:uid="{00000000-0002-0000-00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000-000009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000-00000A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000-00000B000000}"/>
    <dataValidation allowBlank="1" showInputMessage="1" showErrorMessage="1" prompt="Viikonpäivät ovat tällä rivillä (maanantaista perjantaihin)." sqref="B11" xr:uid="{00000000-0002-0000-00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" customWidth="1"/>
    <col min="11" max="11" width="10.625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33" t="s">
        <v>27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24"/>
    </row>
    <row r="3" spans="1:12" ht="30" customHeight="1" x14ac:dyDescent="0.25">
      <c r="A3" s="19"/>
      <c r="C3" s="61">
        <f>IF(DAY(helmisu1)=1,helmisu1-6,helmisu1+1)</f>
        <v>44228</v>
      </c>
      <c r="D3" s="61">
        <f>IF(DAY(helmisu1)=1,helmisu1-5,helmisu1+2)</f>
        <v>44229</v>
      </c>
      <c r="E3" s="61">
        <f>IF(DAY(helmisu1)=1,helmisu1-4,helmisu1+3)</f>
        <v>44230</v>
      </c>
      <c r="F3" s="61">
        <f>IF(DAY(helmisu1)=1,helmisu1-3,helmisu1+4)</f>
        <v>44231</v>
      </c>
      <c r="G3" s="61">
        <f>IF(DAY(helmisu1)=1,helmisu1-2,helmisu1+5)</f>
        <v>44232</v>
      </c>
      <c r="H3" s="61">
        <f>IF(DAY(helmisu1)=1,helmisu1-1,helmisu1+6)</f>
        <v>44233</v>
      </c>
      <c r="I3" s="61">
        <f>IF(DAY(helmisu1)=1,helmisu1,helmisu1+7)</f>
        <v>44234</v>
      </c>
      <c r="J3" s="16"/>
      <c r="K3" s="3"/>
      <c r="L3" s="24"/>
    </row>
    <row r="4" spans="1:12" ht="30" customHeight="1" x14ac:dyDescent="0.25">
      <c r="A4" s="19"/>
      <c r="C4" s="61">
        <f>IF(DAY(helmisu1)=1,helmisu1+1,helmisu1+8)</f>
        <v>44235</v>
      </c>
      <c r="D4" s="61">
        <f>IF(DAY(helmisu1)=1,helmisu1+2,helmisu1+9)</f>
        <v>44236</v>
      </c>
      <c r="E4" s="61">
        <f>IF(DAY(helmisu1)=1,helmisu1+3,helmisu1+10)</f>
        <v>44237</v>
      </c>
      <c r="F4" s="61">
        <f>IF(DAY(helmisu1)=1,helmisu1+4,helmisu1+11)</f>
        <v>44238</v>
      </c>
      <c r="G4" s="61">
        <f>IF(DAY(helmisu1)=1,helmisu1+5,helmisu1+12)</f>
        <v>44239</v>
      </c>
      <c r="H4" s="61">
        <f>IF(DAY(helmisu1)=1,helmisu1+6,helmisu1+13)</f>
        <v>44240</v>
      </c>
      <c r="I4" s="61">
        <f>IF(DAY(helmisu1)=1,helmisu1+7,helmisu1+14)</f>
        <v>44241</v>
      </c>
      <c r="J4" s="16"/>
      <c r="K4" s="3"/>
      <c r="L4" s="24"/>
    </row>
    <row r="5" spans="1:12" ht="30" customHeight="1" x14ac:dyDescent="0.25">
      <c r="A5" s="19"/>
      <c r="C5" s="61">
        <f>IF(DAY(helmisu1)=1,helmisu1+8,helmisu1+15)</f>
        <v>44242</v>
      </c>
      <c r="D5" s="61">
        <f>IF(DAY(helmisu1)=1,helmisu1+9,helmisu1+16)</f>
        <v>44243</v>
      </c>
      <c r="E5" s="61">
        <f>IF(DAY(helmisu1)=1,helmisu1+10,helmisu1+17)</f>
        <v>44244</v>
      </c>
      <c r="F5" s="61">
        <f>IF(DAY(helmisu1)=1,helmisu1+11,helmisu1+18)</f>
        <v>44245</v>
      </c>
      <c r="G5" s="61">
        <f>IF(DAY(helmisu1)=1,helmisu1+12,helmisu1+19)</f>
        <v>44246</v>
      </c>
      <c r="H5" s="61">
        <f>IF(DAY(helmisu1)=1,helmisu1+13,helmisu1+20)</f>
        <v>44247</v>
      </c>
      <c r="I5" s="61">
        <f>IF(DAY(helmisu1)=1,helmisu1+14,helmisu1+21)</f>
        <v>44248</v>
      </c>
      <c r="J5" s="16"/>
      <c r="K5" s="3"/>
      <c r="L5" s="24"/>
    </row>
    <row r="6" spans="1:12" ht="30" customHeight="1" x14ac:dyDescent="0.25">
      <c r="A6" s="19"/>
      <c r="C6" s="61">
        <f>IF(DAY(helmisu1)=1,helmisu1+15,helmisu1+22)</f>
        <v>44249</v>
      </c>
      <c r="D6" s="61">
        <f>IF(DAY(helmisu1)=1,helmisu1+16,helmisu1+23)</f>
        <v>44250</v>
      </c>
      <c r="E6" s="61">
        <f>IF(DAY(helmisu1)=1,helmisu1+17,helmisu1+24)</f>
        <v>44251</v>
      </c>
      <c r="F6" s="61">
        <f>IF(DAY(helmisu1)=1,helmisu1+18,helmisu1+25)</f>
        <v>44252</v>
      </c>
      <c r="G6" s="61">
        <f>IF(DAY(helmisu1)=1,helmisu1+19,helmisu1+26)</f>
        <v>44253</v>
      </c>
      <c r="H6" s="61">
        <f>IF(DAY(helmisu1)=1,helmisu1+20,helmisu1+27)</f>
        <v>44254</v>
      </c>
      <c r="I6" s="61">
        <f>IF(DAY(helmisu1)=1,helmisu1+21,helmisu1+28)</f>
        <v>44255</v>
      </c>
      <c r="J6" s="16"/>
      <c r="K6" s="3"/>
      <c r="L6" s="24"/>
    </row>
    <row r="7" spans="1:12" ht="30" customHeight="1" x14ac:dyDescent="0.25">
      <c r="A7" s="19"/>
      <c r="C7" s="61">
        <f>IF(DAY(helmisu1)=1,helmisu1+22,helmisu1+29)</f>
        <v>44256</v>
      </c>
      <c r="D7" s="61">
        <f>IF(DAY(helmisu1)=1,helmisu1+23,helmisu1+30)</f>
        <v>44257</v>
      </c>
      <c r="E7" s="61">
        <f>IF(DAY(helmisu1)=1,helmisu1+24,helmisu1+31)</f>
        <v>44258</v>
      </c>
      <c r="F7" s="61">
        <f>IF(DAY(helmisu1)=1,helmisu1+25,helmisu1+32)</f>
        <v>44259</v>
      </c>
      <c r="G7" s="61">
        <f>IF(DAY(helmisu1)=1,helmisu1+26,helmisu1+33)</f>
        <v>44260</v>
      </c>
      <c r="H7" s="61">
        <f>IF(DAY(helmisu1)=1,helmisu1+27,helmisu1+34)</f>
        <v>44261</v>
      </c>
      <c r="I7" s="61">
        <f>IF(DAY(helmisu1)=1,helmisu1+28,helmisu1+35)</f>
        <v>44262</v>
      </c>
      <c r="J7" s="29"/>
      <c r="K7" s="27"/>
      <c r="L7" s="25"/>
    </row>
    <row r="8" spans="1:12" ht="30" customHeight="1" x14ac:dyDescent="0.25">
      <c r="A8" s="19"/>
      <c r="B8" s="25"/>
      <c r="C8" s="61">
        <f>IF(DAY(helmisu1)=1,helmisu1+29,helmisu1+36)</f>
        <v>44263</v>
      </c>
      <c r="D8" s="61">
        <f>IF(DAY(helmisu1)=1,helmisu1+30,helmisu1+37)</f>
        <v>44264</v>
      </c>
      <c r="E8" s="61">
        <f>IF(DAY(helmisu1)=1,helmisu1+31,helmisu1+38)</f>
        <v>44265</v>
      </c>
      <c r="F8" s="61">
        <f>IF(DAY(helmisu1)=1,helmisu1+32,helmisu1+39)</f>
        <v>44266</v>
      </c>
      <c r="G8" s="61">
        <f>IF(DAY(helmisu1)=1,helmisu1+33,helmisu1+40)</f>
        <v>44267</v>
      </c>
      <c r="H8" s="61">
        <f>IF(DAY(helmisu1)=1,helmisu1+34,helmisu1+41)</f>
        <v>44268</v>
      </c>
      <c r="I8" s="61">
        <f>IF(DAY(helmisu1)=1,helmisu1+35,helmisu1+42)</f>
        <v>44269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8"/>
      <c r="C14" s="64" t="s">
        <v>14</v>
      </c>
      <c r="D14" s="64"/>
      <c r="E14" s="64"/>
      <c r="F14" s="64"/>
      <c r="G14" s="64" t="s">
        <v>14</v>
      </c>
      <c r="H14" s="64"/>
      <c r="I14" s="60"/>
      <c r="J14" s="1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58" t="s">
        <v>8</v>
      </c>
      <c r="C16" s="64"/>
      <c r="D16" s="64"/>
      <c r="E16" s="64" t="s">
        <v>8</v>
      </c>
      <c r="F16" s="64"/>
      <c r="G16" s="64"/>
      <c r="H16" s="64"/>
      <c r="I16" s="65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8"/>
      <c r="C18" s="64"/>
      <c r="D18" s="64"/>
      <c r="E18" s="64"/>
      <c r="F18" s="64"/>
      <c r="G18" s="64"/>
      <c r="H18" s="64"/>
      <c r="I18" s="60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58"/>
      <c r="C20" s="64"/>
      <c r="D20" s="64"/>
      <c r="E20" s="64"/>
      <c r="F20" s="64"/>
      <c r="G20" s="64"/>
      <c r="H20" s="64"/>
      <c r="I20" s="60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58"/>
      <c r="C22" s="64"/>
      <c r="D22" s="64"/>
      <c r="E22" s="64"/>
      <c r="F22" s="64"/>
      <c r="G22" s="64"/>
      <c r="H22" s="64"/>
      <c r="I22" s="60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58" t="s">
        <v>10</v>
      </c>
      <c r="C24" s="64"/>
      <c r="D24" s="64"/>
      <c r="E24" s="64" t="s">
        <v>10</v>
      </c>
      <c r="F24" s="64"/>
      <c r="G24" s="64"/>
      <c r="H24" s="64"/>
      <c r="I24" s="60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8"/>
      <c r="C26" s="64"/>
      <c r="D26" s="64"/>
      <c r="E26" s="64"/>
      <c r="F26" s="64"/>
      <c r="G26" s="64"/>
      <c r="H26" s="64"/>
      <c r="I26" s="60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58"/>
      <c r="C28" s="64" t="s">
        <v>16</v>
      </c>
      <c r="D28" s="64"/>
      <c r="E28" s="64"/>
      <c r="F28" s="64"/>
      <c r="G28" s="64" t="s">
        <v>16</v>
      </c>
      <c r="H28" s="64"/>
      <c r="I28" s="60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58"/>
      <c r="C30" s="64"/>
      <c r="D30" s="64"/>
      <c r="E30" s="64"/>
      <c r="F30" s="64"/>
      <c r="G30" s="64"/>
      <c r="H30" s="64"/>
      <c r="I30" s="60"/>
      <c r="J30" s="16"/>
      <c r="K30" s="3"/>
      <c r="L30" s="24"/>
    </row>
    <row r="31" spans="1:12" ht="30" customHeight="1" x14ac:dyDescent="0.25">
      <c r="A31" s="35" t="s">
        <v>2</v>
      </c>
      <c r="B31" s="43"/>
      <c r="C31" s="56"/>
      <c r="D31" s="56"/>
      <c r="E31" s="56"/>
      <c r="F31" s="56"/>
      <c r="G31" s="56"/>
      <c r="H31" s="56"/>
      <c r="I31" s="40"/>
      <c r="J31" s="16"/>
      <c r="K31" s="27"/>
      <c r="L31" s="24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78" priority="9" stopIfTrue="1">
      <formula>DAY(C3)&gt;8</formula>
    </cfRule>
  </conditionalFormatting>
  <conditionalFormatting sqref="C7:I8">
    <cfRule type="expression" dxfId="77" priority="8" stopIfTrue="1">
      <formula>AND(DAY(C7)&gt;=1,DAY(C7)&lt;=15)</formula>
    </cfRule>
  </conditionalFormatting>
  <conditionalFormatting sqref="C3:I8">
    <cfRule type="expression" dxfId="76" priority="10">
      <formula>VLOOKUP(DAY(C3),Tehtäväpäivät,1,FALSE)=DAY(C3)</formula>
    </cfRule>
  </conditionalFormatting>
  <conditionalFormatting sqref="B13:I13 B15:I15 B17:I17 B19:I19 B21:I21 B23:I23 B25:I25 B27:I27 B29:I29 B31:I31">
    <cfRule type="expression" dxfId="75" priority="7">
      <formula>B13&lt;&gt;""</formula>
    </cfRule>
  </conditionalFormatting>
  <conditionalFormatting sqref="B12:I12 B14:I14 B16:I16 B18:I18 B20:I20 B22:I22 B24:I24 B26:I26 B28:I28 B30:I30">
    <cfRule type="expression" dxfId="74" priority="6">
      <formula>B12&lt;&gt;""</formula>
    </cfRule>
  </conditionalFormatting>
  <conditionalFormatting sqref="B13:I13 B15:I15 B17:I17 B19:I19 B21:I21 B23:I23 B25:I25 B27:I27 B29:I29">
    <cfRule type="expression" dxfId="73" priority="4">
      <formula>COLUMN(B12)&gt;=2</formula>
    </cfRule>
  </conditionalFormatting>
  <conditionalFormatting sqref="B12:I31">
    <cfRule type="expression" dxfId="72" priority="1">
      <formula>COLUMN(B12)&gt;2</formula>
    </cfRule>
  </conditionalFormatting>
  <dataValidations xWindow="95" yWindow="532" count="13">
    <dataValidation allowBlank="1" showInputMessage="1" showErrorMessage="1" prompt="Helmikuun kalenteri korostaa automaattisesti kuukauden tehtävälistamerkinnät. Tummemmat fontit ovat tehtäviä. Vaaleammat fontit ovat päiviä, jotka kuuluvat edelliseen tai seuraavaan kuukauteen." sqref="B2" xr:uid="{00000000-0002-0000-0100-000000000000}"/>
    <dataValidation allowBlank="1" showInputMessage="1" showErrorMessage="1" prompt="Tämä on automaattisesti päivittyvä kalenterivuosi. Jos haluat vaihtaa vuotta, päivitä tammikuun taulukon solu B1." sqref="B1" xr:uid="{00000000-0002-0000-01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100-000002000000}"/>
    <dataValidation allowBlank="1" showInputMessage="1" showErrorMessage="1" prompt="Solut C2:I2 sisältävät viikonpäivät" sqref="C2" xr:uid="{00000000-0002-0000-01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1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100-000005000000}"/>
    <dataValidation allowBlank="1" showInputMessage="1" showErrorMessage="1" prompt="Enter time in this row  from columns B to I" sqref="B12" xr:uid="{00000000-0002-0000-0100-000006000000}"/>
    <dataValidation allowBlank="1" showInputMessage="1" showErrorMessage="1" prompt="Anna kurssi tälle riville sarakkeisiin B–I" sqref="B13" xr:uid="{00000000-0002-0000-01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1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1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100-00000A000000}"/>
    <dataValidation allowBlank="1" showInputMessage="1" showErrorMessage="1" prompt="Viikonpäivät ovat tällä rivillä (maanantaista perjantaihin)." sqref="B11" xr:uid="{00000000-0002-0000-01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1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28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IF(DAY(maalissu1)=1,maalissu1-6,maalissu1+1)</f>
        <v>44256</v>
      </c>
      <c r="D3" s="61">
        <f>IF(DAY(maalissu1)=1,maalissu1-5,maalissu1+2)</f>
        <v>44257</v>
      </c>
      <c r="E3" s="61">
        <f>IF(DAY(maalissu1)=1,maalissu1-4,maalissu1+3)</f>
        <v>44258</v>
      </c>
      <c r="F3" s="61">
        <f>IF(DAY(maalissu1)=1,maalissu1-3,maalissu1+4)</f>
        <v>44259</v>
      </c>
      <c r="G3" s="61">
        <f>IF(DAY(maalissu1)=1,maalissu1-2,maalissu1+5)</f>
        <v>44260</v>
      </c>
      <c r="H3" s="61">
        <f>IF(DAY(maalissu1)=1,maalissu1-1,maalissu1+6)</f>
        <v>44261</v>
      </c>
      <c r="I3" s="61">
        <f>IF(DAY(maalissu1)=1,maalissu1,maalissu1+7)</f>
        <v>44262</v>
      </c>
      <c r="J3" s="16"/>
      <c r="K3" s="3"/>
      <c r="L3" s="10"/>
    </row>
    <row r="4" spans="1:12" ht="30" customHeight="1" x14ac:dyDescent="0.25">
      <c r="A4" s="19"/>
      <c r="C4" s="61">
        <f>IF(DAY(maalissu1)=1,maalissu1+1,maalissu1+8)</f>
        <v>44263</v>
      </c>
      <c r="D4" s="61">
        <f>IF(DAY(maalissu1)=1,maalissu1+2,maalissu1+9)</f>
        <v>44264</v>
      </c>
      <c r="E4" s="61">
        <f>IF(DAY(maalissu1)=1,maalissu1+3,maalissu1+10)</f>
        <v>44265</v>
      </c>
      <c r="F4" s="61">
        <f>IF(DAY(maalissu1)=1,maalissu1+4,maalissu1+11)</f>
        <v>44266</v>
      </c>
      <c r="G4" s="61">
        <f>IF(DAY(maalissu1)=1,maalissu1+5,maalissu1+12)</f>
        <v>44267</v>
      </c>
      <c r="H4" s="61">
        <f>IF(DAY(maalissu1)=1,maalissu1+6,maalissu1+13)</f>
        <v>44268</v>
      </c>
      <c r="I4" s="61">
        <f>IF(DAY(maalissu1)=1,maalissu1+7,maalissu1+14)</f>
        <v>44269</v>
      </c>
      <c r="J4" s="16"/>
      <c r="K4" s="3"/>
      <c r="L4" s="10"/>
    </row>
    <row r="5" spans="1:12" ht="30" customHeight="1" x14ac:dyDescent="0.25">
      <c r="A5" s="19"/>
      <c r="C5" s="61">
        <f>IF(DAY(maalissu1)=1,maalissu1+8,maalissu1+15)</f>
        <v>44270</v>
      </c>
      <c r="D5" s="61">
        <f>IF(DAY(maalissu1)=1,maalissu1+9,maalissu1+16)</f>
        <v>44271</v>
      </c>
      <c r="E5" s="61">
        <f>IF(DAY(maalissu1)=1,maalissu1+10,maalissu1+17)</f>
        <v>44272</v>
      </c>
      <c r="F5" s="61">
        <f>IF(DAY(maalissu1)=1,maalissu1+11,maalissu1+18)</f>
        <v>44273</v>
      </c>
      <c r="G5" s="61">
        <f>IF(DAY(maalissu1)=1,maalissu1+12,maalissu1+19)</f>
        <v>44274</v>
      </c>
      <c r="H5" s="61">
        <f>IF(DAY(maalissu1)=1,maalissu1+13,maalissu1+20)</f>
        <v>44275</v>
      </c>
      <c r="I5" s="61">
        <f>IF(DAY(maalissu1)=1,maalissu1+14,maalissu1+21)</f>
        <v>44276</v>
      </c>
      <c r="J5" s="16"/>
      <c r="K5" s="3"/>
      <c r="L5" s="10"/>
    </row>
    <row r="6" spans="1:12" ht="30" customHeight="1" x14ac:dyDescent="0.25">
      <c r="A6" s="19"/>
      <c r="C6" s="61">
        <f>IF(DAY(maalissu1)=1,maalissu1+15,maalissu1+22)</f>
        <v>44277</v>
      </c>
      <c r="D6" s="61">
        <f>IF(DAY(maalissu1)=1,maalissu1+16,maalissu1+23)</f>
        <v>44278</v>
      </c>
      <c r="E6" s="61">
        <f>IF(DAY(maalissu1)=1,maalissu1+17,maalissu1+24)</f>
        <v>44279</v>
      </c>
      <c r="F6" s="61">
        <f>IF(DAY(maalissu1)=1,maalissu1+18,maalissu1+25)</f>
        <v>44280</v>
      </c>
      <c r="G6" s="61">
        <f>IF(DAY(maalissu1)=1,maalissu1+19,maalissu1+26)</f>
        <v>44281</v>
      </c>
      <c r="H6" s="61">
        <f>IF(DAY(maalissu1)=1,maalissu1+20,maalissu1+27)</f>
        <v>44282</v>
      </c>
      <c r="I6" s="61">
        <f>IF(DAY(maalissu1)=1,maalissu1+21,maalissu1+28)</f>
        <v>44283</v>
      </c>
      <c r="J6" s="16"/>
      <c r="K6" s="3"/>
      <c r="L6" s="10"/>
    </row>
    <row r="7" spans="1:12" ht="30" customHeight="1" x14ac:dyDescent="0.25">
      <c r="A7" s="19"/>
      <c r="C7" s="61">
        <f>IF(DAY(maalissu1)=1,maalissu1+22,maalissu1+29)</f>
        <v>44284</v>
      </c>
      <c r="D7" s="61">
        <f>IF(DAY(maalissu1)=1,maalissu1+23,maalissu1+30)</f>
        <v>44285</v>
      </c>
      <c r="E7" s="61">
        <f>IF(DAY(maalissu1)=1,maalissu1+24,maalissu1+31)</f>
        <v>44286</v>
      </c>
      <c r="F7" s="61">
        <f>IF(DAY(maalissu1)=1,maalissu1+25,maalissu1+32)</f>
        <v>44287</v>
      </c>
      <c r="G7" s="61">
        <f>IF(DAY(maalissu1)=1,maalissu1+26,maalissu1+33)</f>
        <v>44288</v>
      </c>
      <c r="H7" s="61">
        <f>IF(DAY(maalissu1)=1,maalissu1+27,maalissu1+34)</f>
        <v>44289</v>
      </c>
      <c r="I7" s="61">
        <f>IF(DAY(maalissu1)=1,maalissu1+28,maalissu1+35)</f>
        <v>44290</v>
      </c>
      <c r="J7" s="1"/>
      <c r="K7" s="31"/>
      <c r="L7" s="26"/>
    </row>
    <row r="8" spans="1:12" ht="30" customHeight="1" x14ac:dyDescent="0.25">
      <c r="A8" s="19"/>
      <c r="B8" s="25"/>
      <c r="C8" s="61">
        <f>IF(DAY(maalissu1)=1,maalissu1+29,maalissu1+36)</f>
        <v>44291</v>
      </c>
      <c r="D8" s="61">
        <f>IF(DAY(maalissu1)=1,maalissu1+30,maalissu1+37)</f>
        <v>44292</v>
      </c>
      <c r="E8" s="61">
        <f>IF(DAY(maalissu1)=1,maalissu1+31,maalissu1+38)</f>
        <v>44293</v>
      </c>
      <c r="F8" s="61">
        <f>IF(DAY(maalissu1)=1,maalissu1+32,maalissu1+39)</f>
        <v>44294</v>
      </c>
      <c r="G8" s="61">
        <f>IF(DAY(maalissu1)=1,maalissu1+33,maalissu1+40)</f>
        <v>44295</v>
      </c>
      <c r="H8" s="61">
        <f>IF(DAY(maalissu1)=1,maalissu1+34,maalissu1+41)</f>
        <v>44296</v>
      </c>
      <c r="I8" s="61">
        <f>IF(DAY(maalissu1)=1,maalissu1+35,maalissu1+42)</f>
        <v>44297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1" priority="6" stopIfTrue="1">
      <formula>DAY(C3)&gt;8</formula>
    </cfRule>
  </conditionalFormatting>
  <conditionalFormatting sqref="C7:I8">
    <cfRule type="expression" dxfId="70" priority="5" stopIfTrue="1">
      <formula>AND(DAY(C7)&gt;=1,DAY(C7)&lt;=15)</formula>
    </cfRule>
  </conditionalFormatting>
  <conditionalFormatting sqref="C3:I8">
    <cfRule type="expression" dxfId="69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68" priority="4">
      <formula>B13&lt;&gt;""</formula>
    </cfRule>
  </conditionalFormatting>
  <conditionalFormatting sqref="B12:I12 B14:I14 B16:I16 B18:I18 B20:I20 B22:I22 B24:I24 B26:I26 B28:I28 B30:I30">
    <cfRule type="expression" dxfId="67" priority="3">
      <formula>B12&lt;&gt;""</formula>
    </cfRule>
  </conditionalFormatting>
  <conditionalFormatting sqref="B13:I13 B15:I15 B17:I17 B19:I19 B21:I21 B23:I23 B25:I25 B27:I27 B29:I29">
    <cfRule type="expression" dxfId="66" priority="2">
      <formula>COLUMN(B12)&gt;=2</formula>
    </cfRule>
  </conditionalFormatting>
  <conditionalFormatting sqref="B12:I31">
    <cfRule type="expression" dxfId="65" priority="1">
      <formula>COLUMN(B12)&gt;2</formula>
    </cfRule>
  </conditionalFormatting>
  <dataValidations count="13">
    <dataValidation allowBlank="1" showInputMessage="1" showErrorMessage="1" prompt="Anna kurssi tälle riville sarakkeisiin B–I" sqref="B13" xr:uid="{00000000-0002-0000-0200-000000000000}"/>
    <dataValidation allowBlank="1" showInputMessage="1" showErrorMessage="1" prompt="Enter time in this row  from columns B to I" sqref="B12" xr:uid="{00000000-0002-0000-0200-000001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200-000002000000}"/>
    <dataValidation allowBlank="1" showInputMessage="1" showErrorMessage="1" prompt="Jos tässä solussa ei ole numeroa 1, siinä on edellisen kuukauden päivä. Solut C3:I8 sisältävät nykyisen kuukauden päivämäärät." sqref="C3" xr:uid="{00000000-0002-0000-0200-000003000000}"/>
    <dataValidation allowBlank="1" showInputMessage="1" showErrorMessage="1" prompt="Solut C2:I2 sisältävät viikonpäivät" sqref="C2" xr:uid="{00000000-0002-0000-0200-000004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200-000005000000}"/>
    <dataValidation allowBlank="1" showInputMessage="1" showErrorMessage="1" prompt="Tämä on automaattisesti päivittyvä kalenterivuosi. Jos haluat vaihtaa vuotta, päivitä tammikuun taulukon solu B1." sqref="B1" xr:uid="{00000000-0002-0000-0200-000006000000}"/>
    <dataValidation allowBlank="1" showInputMessage="1" showErrorMessage="1" prompt="Maaliskuun kalenteri korostaa automaattisesti kuukauden tehtävälistamerkinnät. Tummemmat fontit ovat tehtäviä. Vaaleammat fontit ovat päiviä, jotka kuuluvat edelliseen tai seuraavaan kuukauteen." sqref="B2" xr:uid="{00000000-0002-0000-02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2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2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200-00000A000000}"/>
    <dataValidation allowBlank="1" showInputMessage="1" showErrorMessage="1" prompt="Viikonpäivät ovat tällä rivillä (maanantaista perjantaihin)." sqref="B11" xr:uid="{00000000-0002-0000-02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2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16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50" t="s">
        <v>29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IF(DAY(huhtisu1)=1,huhtisu1-6,huhtisu1+1)</f>
        <v>44284</v>
      </c>
      <c r="D3" s="61">
        <f>IF(DAY(huhtisu1)=1,huhtisu1-5,huhtisu1+2)</f>
        <v>44285</v>
      </c>
      <c r="E3" s="61">
        <f>IF(DAY(huhtisu1)=1,huhtisu1-4,huhtisu1+3)</f>
        <v>44286</v>
      </c>
      <c r="F3" s="61">
        <f>IF(DAY(huhtisu1)=1,huhtisu1-3,huhtisu1+4)</f>
        <v>44287</v>
      </c>
      <c r="G3" s="61">
        <f>IF(DAY(huhtisu1)=1,huhtisu1-2,huhtisu1+5)</f>
        <v>44288</v>
      </c>
      <c r="H3" s="61">
        <f>IF(DAY(huhtisu1)=1,huhtisu1-1,huhtisu1+6)</f>
        <v>44289</v>
      </c>
      <c r="I3" s="61">
        <f>IF(DAY(huhtisu1)=1,huhtisu1,huhtisu1+7)</f>
        <v>44290</v>
      </c>
      <c r="K3" s="3"/>
      <c r="L3" s="10"/>
    </row>
    <row r="4" spans="1:12" ht="30" customHeight="1" x14ac:dyDescent="0.25">
      <c r="A4" s="19"/>
      <c r="C4" s="61">
        <f>IF(DAY(huhtisu1)=1,huhtisu1+1,huhtisu1+8)</f>
        <v>44291</v>
      </c>
      <c r="D4" s="61">
        <f>IF(DAY(huhtisu1)=1,huhtisu1+2,huhtisu1+9)</f>
        <v>44292</v>
      </c>
      <c r="E4" s="61">
        <f>IF(DAY(huhtisu1)=1,huhtisu1+3,huhtisu1+10)</f>
        <v>44293</v>
      </c>
      <c r="F4" s="61">
        <f>IF(DAY(huhtisu1)=1,huhtisu1+4,huhtisu1+11)</f>
        <v>44294</v>
      </c>
      <c r="G4" s="61">
        <f>IF(DAY(huhtisu1)=1,huhtisu1+5,huhtisu1+12)</f>
        <v>44295</v>
      </c>
      <c r="H4" s="61">
        <f>IF(DAY(huhtisu1)=1,huhtisu1+6,huhtisu1+13)</f>
        <v>44296</v>
      </c>
      <c r="I4" s="61">
        <f>IF(DAY(huhtisu1)=1,huhtisu1+7,huhtisu1+14)</f>
        <v>44297</v>
      </c>
      <c r="K4" s="3"/>
      <c r="L4" s="10"/>
    </row>
    <row r="5" spans="1:12" ht="30" customHeight="1" x14ac:dyDescent="0.25">
      <c r="A5" s="19"/>
      <c r="C5" s="61">
        <f>IF(DAY(huhtisu1)=1,huhtisu1+8,huhtisu1+15)</f>
        <v>44298</v>
      </c>
      <c r="D5" s="61">
        <f>IF(DAY(huhtisu1)=1,huhtisu1+9,huhtisu1+16)</f>
        <v>44299</v>
      </c>
      <c r="E5" s="61">
        <f>IF(DAY(huhtisu1)=1,huhtisu1+10,huhtisu1+17)</f>
        <v>44300</v>
      </c>
      <c r="F5" s="61">
        <f>IF(DAY(huhtisu1)=1,huhtisu1+11,huhtisu1+18)</f>
        <v>44301</v>
      </c>
      <c r="G5" s="61">
        <f>IF(DAY(huhtisu1)=1,huhtisu1+12,huhtisu1+19)</f>
        <v>44302</v>
      </c>
      <c r="H5" s="61">
        <f>IF(DAY(huhtisu1)=1,huhtisu1+13,huhtisu1+20)</f>
        <v>44303</v>
      </c>
      <c r="I5" s="61">
        <f>IF(DAY(huhtisu1)=1,huhtisu1+14,huhtisu1+21)</f>
        <v>44304</v>
      </c>
      <c r="K5" s="3"/>
      <c r="L5" s="10"/>
    </row>
    <row r="6" spans="1:12" ht="30" customHeight="1" x14ac:dyDescent="0.25">
      <c r="A6" s="19"/>
      <c r="C6" s="61">
        <f>IF(DAY(huhtisu1)=1,huhtisu1+15,huhtisu1+22)</f>
        <v>44305</v>
      </c>
      <c r="D6" s="61">
        <f>IF(DAY(huhtisu1)=1,huhtisu1+16,huhtisu1+23)</f>
        <v>44306</v>
      </c>
      <c r="E6" s="61">
        <f>IF(DAY(huhtisu1)=1,huhtisu1+17,huhtisu1+24)</f>
        <v>44307</v>
      </c>
      <c r="F6" s="61">
        <f>IF(DAY(huhtisu1)=1,huhtisu1+18,huhtisu1+25)</f>
        <v>44308</v>
      </c>
      <c r="G6" s="61">
        <f>IF(DAY(huhtisu1)=1,huhtisu1+19,huhtisu1+26)</f>
        <v>44309</v>
      </c>
      <c r="H6" s="61">
        <f>IF(DAY(huhtisu1)=1,huhtisu1+20,huhtisu1+27)</f>
        <v>44310</v>
      </c>
      <c r="I6" s="61">
        <f>IF(DAY(huhtisu1)=1,huhtisu1+21,huhtisu1+28)</f>
        <v>44311</v>
      </c>
      <c r="K6" s="3"/>
      <c r="L6" s="10"/>
    </row>
    <row r="7" spans="1:12" ht="30" customHeight="1" x14ac:dyDescent="0.25">
      <c r="A7" s="19"/>
      <c r="C7" s="61">
        <f>IF(DAY(huhtisu1)=1,huhtisu1+22,huhtisu1+29)</f>
        <v>44312</v>
      </c>
      <c r="D7" s="61">
        <f>IF(DAY(huhtisu1)=1,huhtisu1+23,huhtisu1+30)</f>
        <v>44313</v>
      </c>
      <c r="E7" s="61">
        <f>IF(DAY(huhtisu1)=1,huhtisu1+24,huhtisu1+31)</f>
        <v>44314</v>
      </c>
      <c r="F7" s="61">
        <f>IF(DAY(huhtisu1)=1,huhtisu1+25,huhtisu1+32)</f>
        <v>44315</v>
      </c>
      <c r="G7" s="61">
        <f>IF(DAY(huhtisu1)=1,huhtisu1+26,huhtisu1+33)</f>
        <v>44316</v>
      </c>
      <c r="H7" s="61">
        <f>IF(DAY(huhtisu1)=1,huhtisu1+27,huhtisu1+34)</f>
        <v>44317</v>
      </c>
      <c r="I7" s="61">
        <f>IF(DAY(huhtisu1)=1,huhtisu1+28,huhtisu1+35)</f>
        <v>44318</v>
      </c>
      <c r="J7" s="1"/>
      <c r="K7" s="31"/>
      <c r="L7" s="26"/>
    </row>
    <row r="8" spans="1:12" ht="30" customHeight="1" x14ac:dyDescent="0.25">
      <c r="A8" s="19"/>
      <c r="B8" s="25"/>
      <c r="C8" s="61">
        <f>IF(DAY(huhtisu1)=1,huhtisu1+29,huhtisu1+36)</f>
        <v>44319</v>
      </c>
      <c r="D8" s="61">
        <f>IF(DAY(huhtisu1)=1,huhtisu1+30,huhtisu1+37)</f>
        <v>44320</v>
      </c>
      <c r="E8" s="61">
        <f>IF(DAY(huhtisu1)=1,huhtisu1+31,huhtisu1+38)</f>
        <v>44321</v>
      </c>
      <c r="F8" s="61">
        <f>IF(DAY(huhtisu1)=1,huhtisu1+32,huhtisu1+39)</f>
        <v>44322</v>
      </c>
      <c r="G8" s="61">
        <f>IF(DAY(huhtisu1)=1,huhtisu1+33,huhtisu1+40)</f>
        <v>44323</v>
      </c>
      <c r="H8" s="61">
        <f>IF(DAY(huhtisu1)=1,huhtisu1+34,huhtisu1+41)</f>
        <v>44324</v>
      </c>
      <c r="I8" s="61">
        <f>IF(DAY(huhtisu1)=1,huhtisu1+35,huhtisu1+42)</f>
        <v>44325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 t="s">
        <v>30</v>
      </c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64" priority="6" stopIfTrue="1">
      <formula>DAY(C3)&gt;8</formula>
    </cfRule>
  </conditionalFormatting>
  <conditionalFormatting sqref="C7:I8">
    <cfRule type="expression" dxfId="63" priority="5" stopIfTrue="1">
      <formula>AND(DAY(C7)&gt;=1,DAY(C7)&lt;=15)</formula>
    </cfRule>
  </conditionalFormatting>
  <conditionalFormatting sqref="C3:I8">
    <cfRule type="expression" dxfId="62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61" priority="4">
      <formula>B13&lt;&gt;""</formula>
    </cfRule>
  </conditionalFormatting>
  <conditionalFormatting sqref="B12:I12 B14:I14 B16:I16 B18:I18 B20:I20 B22:I22 B24:I24 B26:I26 B28:I28 B30:I30">
    <cfRule type="expression" dxfId="60" priority="3">
      <formula>B12&lt;&gt;""</formula>
    </cfRule>
  </conditionalFormatting>
  <conditionalFormatting sqref="B13:I13 B15:I15 B17:I17 B19:I19 B21:I21 B23:I23 B25:I25 B27:I27 B29:I29">
    <cfRule type="expression" dxfId="59" priority="2">
      <formula>COLUMN(B12)&gt;=2</formula>
    </cfRule>
  </conditionalFormatting>
  <conditionalFormatting sqref="B12:I31">
    <cfRule type="expression" dxfId="58" priority="1">
      <formula>COLUMN(B12)&gt;2</formula>
    </cfRule>
  </conditionalFormatting>
  <dataValidations xWindow="209" yWindow="929" count="13">
    <dataValidation allowBlank="1" showInputMessage="1" showErrorMessage="1" prompt="Huhtikuun kalenteri korostaa automaattisesti kuukauden tehtävälistamerkinnät. Tummemmat fontit ovat tehtäviä. Vaaleammat fontit ovat päiviä, jotka kuuluvat edelliseen tai seuraavaan kuukauteen." sqref="B2" xr:uid="{00000000-0002-0000-0300-000000000000}"/>
    <dataValidation allowBlank="1" showInputMessage="1" showErrorMessage="1" prompt="Tämä on automaattisesti päivittyvä kalenterivuosi. Jos haluat vaihtaa vuotta, päivitä tammikuun taulukon solu B1." sqref="B1" xr:uid="{00000000-0002-0000-03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300-000002000000}"/>
    <dataValidation allowBlank="1" showInputMessage="1" showErrorMessage="1" prompt="Solut C2:I2 sisältävät viikonpäivät" sqref="C2" xr:uid="{00000000-0002-0000-03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3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300-000005000000}"/>
    <dataValidation allowBlank="1" showInputMessage="1" showErrorMessage="1" prompt="Enter time in this row  from columns B to I" sqref="B12" xr:uid="{00000000-0002-0000-0300-000006000000}"/>
    <dataValidation allowBlank="1" showInputMessage="1" showErrorMessage="1" prompt="Anna kurssi tälle riville sarakkeisiin B–I" sqref="B13" xr:uid="{00000000-0002-0000-03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3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3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300-00000A000000}"/>
    <dataValidation allowBlank="1" showInputMessage="1" showErrorMessage="1" prompt="Viikonpäivät ovat tällä rivillä (maanantaista perjantaihin)." sqref="B11" xr:uid="{00000000-0002-0000-03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3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50" t="s">
        <v>31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24"/>
    </row>
    <row r="3" spans="1:12" ht="30" customHeight="1" x14ac:dyDescent="0.25">
      <c r="A3" s="19"/>
      <c r="C3" s="61">
        <f>IF(DAY(toukosu1)=1,toukosu1-6,toukosu1+1)</f>
        <v>44312</v>
      </c>
      <c r="D3" s="61">
        <f>IF(DAY(toukosu1)=1,toukosu1-5,toukosu1+2)</f>
        <v>44313</v>
      </c>
      <c r="E3" s="61">
        <f>IF(DAY(toukosu1)=1,toukosu1-4,toukosu1+3)</f>
        <v>44314</v>
      </c>
      <c r="F3" s="61">
        <f>IF(DAY(toukosu1)=1,toukosu1-3,toukosu1+4)</f>
        <v>44315</v>
      </c>
      <c r="G3" s="61">
        <f>IF(DAY(toukosu1)=1,toukosu1-2,toukosu1+5)</f>
        <v>44316</v>
      </c>
      <c r="H3" s="61">
        <f>IF(DAY(toukosu1)=1,toukosu1-1,toukosu1+6)</f>
        <v>44317</v>
      </c>
      <c r="I3" s="61">
        <f>IF(DAY(toukosu1)=1,toukosu1,toukosu1+7)</f>
        <v>44318</v>
      </c>
      <c r="J3" s="16"/>
      <c r="K3" s="3"/>
      <c r="L3" s="24"/>
    </row>
    <row r="4" spans="1:12" ht="30" customHeight="1" x14ac:dyDescent="0.25">
      <c r="A4" s="19"/>
      <c r="C4" s="61">
        <f>IF(DAY(toukosu1)=1,toukosu1+1,toukosu1+8)</f>
        <v>44319</v>
      </c>
      <c r="D4" s="61">
        <f>IF(DAY(toukosu1)=1,toukosu1+2,toukosu1+9)</f>
        <v>44320</v>
      </c>
      <c r="E4" s="61">
        <f>IF(DAY(toukosu1)=1,toukosu1+3,toukosu1+10)</f>
        <v>44321</v>
      </c>
      <c r="F4" s="61">
        <f>IF(DAY(toukosu1)=1,toukosu1+4,toukosu1+11)</f>
        <v>44322</v>
      </c>
      <c r="G4" s="61">
        <f>IF(DAY(toukosu1)=1,toukosu1+5,toukosu1+12)</f>
        <v>44323</v>
      </c>
      <c r="H4" s="61">
        <f>IF(DAY(toukosu1)=1,toukosu1+6,toukosu1+13)</f>
        <v>44324</v>
      </c>
      <c r="I4" s="61">
        <f>IF(DAY(toukosu1)=1,toukosu1+7,toukosu1+14)</f>
        <v>44325</v>
      </c>
      <c r="J4" s="16"/>
      <c r="K4" s="3"/>
      <c r="L4" s="24"/>
    </row>
    <row r="5" spans="1:12" ht="30" customHeight="1" x14ac:dyDescent="0.25">
      <c r="A5" s="19"/>
      <c r="C5" s="61">
        <f>IF(DAY(toukosu1)=1,toukosu1+8,toukosu1+15)</f>
        <v>44326</v>
      </c>
      <c r="D5" s="61">
        <f>IF(DAY(toukosu1)=1,toukosu1+9,toukosu1+16)</f>
        <v>44327</v>
      </c>
      <c r="E5" s="61">
        <f>IF(DAY(toukosu1)=1,toukosu1+10,toukosu1+17)</f>
        <v>44328</v>
      </c>
      <c r="F5" s="61">
        <f>IF(DAY(toukosu1)=1,toukosu1+11,toukosu1+18)</f>
        <v>44329</v>
      </c>
      <c r="G5" s="61">
        <f>IF(DAY(toukosu1)=1,toukosu1+12,toukosu1+19)</f>
        <v>44330</v>
      </c>
      <c r="H5" s="61">
        <f>IF(DAY(toukosu1)=1,toukosu1+13,toukosu1+20)</f>
        <v>44331</v>
      </c>
      <c r="I5" s="61">
        <f>IF(DAY(toukosu1)=1,toukosu1+14,toukosu1+21)</f>
        <v>44332</v>
      </c>
      <c r="J5" s="16"/>
      <c r="K5" s="3"/>
      <c r="L5" s="24"/>
    </row>
    <row r="6" spans="1:12" ht="30" customHeight="1" x14ac:dyDescent="0.25">
      <c r="A6" s="19"/>
      <c r="C6" s="61">
        <f>IF(DAY(toukosu1)=1,toukosu1+15,toukosu1+22)</f>
        <v>44333</v>
      </c>
      <c r="D6" s="61">
        <f>IF(DAY(toukosu1)=1,toukosu1+16,toukosu1+23)</f>
        <v>44334</v>
      </c>
      <c r="E6" s="61">
        <f>IF(DAY(toukosu1)=1,toukosu1+17,toukosu1+24)</f>
        <v>44335</v>
      </c>
      <c r="F6" s="61">
        <f>IF(DAY(toukosu1)=1,toukosu1+18,toukosu1+25)</f>
        <v>44336</v>
      </c>
      <c r="G6" s="61">
        <f>IF(DAY(toukosu1)=1,toukosu1+19,toukosu1+26)</f>
        <v>44337</v>
      </c>
      <c r="H6" s="61">
        <f>IF(DAY(toukosu1)=1,toukosu1+20,toukosu1+27)</f>
        <v>44338</v>
      </c>
      <c r="I6" s="61">
        <f>IF(DAY(toukosu1)=1,toukosu1+21,toukosu1+28)</f>
        <v>44339</v>
      </c>
      <c r="J6" s="16"/>
      <c r="K6" s="3"/>
      <c r="L6" s="24"/>
    </row>
    <row r="7" spans="1:12" ht="30" customHeight="1" x14ac:dyDescent="0.25">
      <c r="A7" s="19"/>
      <c r="C7" s="61">
        <f>IF(DAY(toukosu1)=1,toukosu1+22,toukosu1+29)</f>
        <v>44340</v>
      </c>
      <c r="D7" s="61">
        <f>IF(DAY(toukosu1)=1,toukosu1+23,toukosu1+30)</f>
        <v>44341</v>
      </c>
      <c r="E7" s="61">
        <f>IF(DAY(toukosu1)=1,toukosu1+24,toukosu1+31)</f>
        <v>44342</v>
      </c>
      <c r="F7" s="61">
        <f>IF(DAY(toukosu1)=1,toukosu1+25,toukosu1+32)</f>
        <v>44343</v>
      </c>
      <c r="G7" s="61">
        <f>IF(DAY(toukosu1)=1,toukosu1+26,toukosu1+33)</f>
        <v>44344</v>
      </c>
      <c r="H7" s="61">
        <f>IF(DAY(toukosu1)=1,toukosu1+27,toukosu1+34)</f>
        <v>44345</v>
      </c>
      <c r="I7" s="61">
        <f>IF(DAY(toukosu1)=1,toukosu1+28,toukosu1+35)</f>
        <v>44346</v>
      </c>
      <c r="J7" s="29"/>
      <c r="K7" s="27"/>
      <c r="L7" s="25"/>
    </row>
    <row r="8" spans="1:12" ht="30" customHeight="1" x14ac:dyDescent="0.25">
      <c r="A8" s="19"/>
      <c r="B8" s="25"/>
      <c r="C8" s="61">
        <f>IF(DAY(toukosu1)=1,toukosu1+29,toukosu1+36)</f>
        <v>44347</v>
      </c>
      <c r="D8" s="61">
        <f>IF(DAY(toukosu1)=1,toukosu1+30,toukosu1+37)</f>
        <v>44348</v>
      </c>
      <c r="E8" s="61">
        <f>IF(DAY(toukosu1)=1,toukosu1+31,toukosu1+38)</f>
        <v>44349</v>
      </c>
      <c r="F8" s="61">
        <f>IF(DAY(toukosu1)=1,toukosu1+32,toukosu1+39)</f>
        <v>44350</v>
      </c>
      <c r="G8" s="61">
        <f>IF(DAY(toukosu1)=1,toukosu1+33,toukosu1+40)</f>
        <v>44351</v>
      </c>
      <c r="H8" s="61">
        <f>IF(DAY(toukosu1)=1,toukosu1+34,toukosu1+41)</f>
        <v>44352</v>
      </c>
      <c r="I8" s="61">
        <f>IF(DAY(toukosu1)=1,toukosu1+35,toukosu1+42)</f>
        <v>44353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8">
        <v>0.33333333333333331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4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24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24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27"/>
      <c r="L19" s="25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24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24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24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24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24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24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24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29"/>
      <c r="K31" s="27"/>
      <c r="L31" s="25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7" priority="6" stopIfTrue="1">
      <formula>DAY(C3)&gt;8</formula>
    </cfRule>
  </conditionalFormatting>
  <conditionalFormatting sqref="C7:I8">
    <cfRule type="expression" dxfId="56" priority="5" stopIfTrue="1">
      <formula>AND(DAY(C7)&gt;=1,DAY(C7)&lt;=15)</formula>
    </cfRule>
  </conditionalFormatting>
  <conditionalFormatting sqref="C3:I8">
    <cfRule type="expression" dxfId="55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54" priority="4">
      <formula>B13&lt;&gt;""</formula>
    </cfRule>
  </conditionalFormatting>
  <conditionalFormatting sqref="B12:I12 B14:I14 B16:I16 B18:I18 B20:I20 B22:I22 B24:I24 B26:I26 B28:I28 B30:I30">
    <cfRule type="expression" dxfId="53" priority="3">
      <formula>B12&lt;&gt;""</formula>
    </cfRule>
  </conditionalFormatting>
  <conditionalFormatting sqref="B13:I13 B15:I15 B17:I17 B19:I19 B21:I21 B23:I23 B25:I25 B27:I27 B29:I29">
    <cfRule type="expression" dxfId="52" priority="2">
      <formula>COLUMN(B12)&gt;=2</formula>
    </cfRule>
  </conditionalFormatting>
  <conditionalFormatting sqref="B12:I31">
    <cfRule type="expression" dxfId="51" priority="1">
      <formula>COLUMN(B11)&gt;2</formula>
    </cfRule>
  </conditionalFormatting>
  <dataValidations count="13">
    <dataValidation allowBlank="1" showInputMessage="1" showErrorMessage="1" prompt="Anna kurssi tälle riville sarakkeisiin B–I" sqref="B13" xr:uid="{00000000-0002-0000-0400-000000000000}"/>
    <dataValidation allowBlank="1" showInputMessage="1" showErrorMessage="1" prompt="Enter time in this row  from columns B to I" sqref="B12" xr:uid="{00000000-0002-0000-0400-000001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400-000002000000}"/>
    <dataValidation allowBlank="1" showInputMessage="1" showErrorMessage="1" prompt="Jos tässä solussa ei ole numeroa 1, siinä on edellisen kuukauden päivä. Solut C3:I8 sisältävät nykyisen kuukauden päivämäärät." sqref="C3" xr:uid="{00000000-0002-0000-0400-000003000000}"/>
    <dataValidation allowBlank="1" showInputMessage="1" showErrorMessage="1" prompt="Solut C2:I2 sisältävät viikonpäivät" sqref="C2" xr:uid="{00000000-0002-0000-0400-000004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400-000005000000}"/>
    <dataValidation allowBlank="1" showInputMessage="1" showErrorMessage="1" prompt="Tämä on automaattisesti päivittyvä kalenterivuosi. Jos haluat vaihtaa vuotta, päivitä tammikuun taulukon solu B1." sqref="B1" xr:uid="{00000000-0002-0000-0400-000006000000}"/>
    <dataValidation allowBlank="1" showInputMessage="1" showErrorMessage="1" prompt="Toukokuun kalenteri korostaa automaattisesti kuukauden tehtävälistamerkinnät. Tummemmat fontit ovat tehtäviä. Vaaleammat fontit ovat päiviä, jotka kuuluvat edelliseen tai seuraavaan kuukauteen." sqref="B2" xr:uid="{00000000-0002-0000-04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4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4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400-00000A000000}"/>
    <dataValidation allowBlank="1" showInputMessage="1" showErrorMessage="1" prompt="Viikonpäivät ovat tällä rivillä (maanantaista perjantaihin)." sqref="B11" xr:uid="{00000000-0002-0000-04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4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50" t="s">
        <v>32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IF(DAY(kesäsu1)=1,kesäsu1-6,kesäsu1+1)</f>
        <v>44347</v>
      </c>
      <c r="D3" s="61">
        <f>IF(DAY(kesäsu1)=1,kesäsu1-5,kesäsu1+2)</f>
        <v>44348</v>
      </c>
      <c r="E3" s="61">
        <f>IF(DAY(kesäsu1)=1,kesäsu1-4,kesäsu1+3)</f>
        <v>44349</v>
      </c>
      <c r="F3" s="61">
        <f>IF(DAY(kesäsu1)=1,kesäsu1-3,kesäsu1+4)</f>
        <v>44350</v>
      </c>
      <c r="G3" s="61">
        <f>IF(DAY(kesäsu1)=1,kesäsu1-2,kesäsu1+5)</f>
        <v>44351</v>
      </c>
      <c r="H3" s="61">
        <f>IF(DAY(kesäsu1)=1,kesäsu1-1,kesäsu1+6)</f>
        <v>44352</v>
      </c>
      <c r="I3" s="61">
        <f>IF(DAY(kesäsu1)=1,kesäsu1,kesäsu1+7)</f>
        <v>44353</v>
      </c>
      <c r="J3" s="16"/>
      <c r="K3" s="3"/>
      <c r="L3" s="10"/>
    </row>
    <row r="4" spans="1:12" ht="30" customHeight="1" x14ac:dyDescent="0.25">
      <c r="A4" s="19"/>
      <c r="C4" s="61">
        <f>IF(DAY(kesäsu1)=1,kesäsu1+1,kesäsu1+8)</f>
        <v>44354</v>
      </c>
      <c r="D4" s="61">
        <f>IF(DAY(kesäsu1)=1,kesäsu1+2,kesäsu1+9)</f>
        <v>44355</v>
      </c>
      <c r="E4" s="61">
        <f>IF(DAY(kesäsu1)=1,kesäsu1+3,kesäsu1+10)</f>
        <v>44356</v>
      </c>
      <c r="F4" s="61">
        <f>IF(DAY(kesäsu1)=1,kesäsu1+4,kesäsu1+11)</f>
        <v>44357</v>
      </c>
      <c r="G4" s="61">
        <f>IF(DAY(kesäsu1)=1,kesäsu1+5,kesäsu1+12)</f>
        <v>44358</v>
      </c>
      <c r="H4" s="61">
        <f>IF(DAY(kesäsu1)=1,kesäsu1+6,kesäsu1+13)</f>
        <v>44359</v>
      </c>
      <c r="I4" s="61">
        <f>IF(DAY(kesäsu1)=1,kesäsu1+7,kesäsu1+14)</f>
        <v>44360</v>
      </c>
      <c r="J4" s="16"/>
      <c r="K4" s="3"/>
      <c r="L4" s="10"/>
    </row>
    <row r="5" spans="1:12" ht="30" customHeight="1" x14ac:dyDescent="0.25">
      <c r="A5" s="19"/>
      <c r="C5" s="61">
        <f>IF(DAY(kesäsu1)=1,kesäsu1+8,kesäsu1+15)</f>
        <v>44361</v>
      </c>
      <c r="D5" s="61">
        <f>IF(DAY(kesäsu1)=1,kesäsu1+9,kesäsu1+16)</f>
        <v>44362</v>
      </c>
      <c r="E5" s="61">
        <f>IF(DAY(kesäsu1)=1,kesäsu1+10,kesäsu1+17)</f>
        <v>44363</v>
      </c>
      <c r="F5" s="61">
        <f>IF(DAY(kesäsu1)=1,kesäsu1+11,kesäsu1+18)</f>
        <v>44364</v>
      </c>
      <c r="G5" s="61">
        <f>IF(DAY(kesäsu1)=1,kesäsu1+12,kesäsu1+19)</f>
        <v>44365</v>
      </c>
      <c r="H5" s="61">
        <f>IF(DAY(kesäsu1)=1,kesäsu1+13,kesäsu1+20)</f>
        <v>44366</v>
      </c>
      <c r="I5" s="61">
        <f>IF(DAY(kesäsu1)=1,kesäsu1+14,kesäsu1+21)</f>
        <v>44367</v>
      </c>
      <c r="J5" s="16"/>
      <c r="K5" s="3"/>
      <c r="L5" s="10"/>
    </row>
    <row r="6" spans="1:12" ht="30" customHeight="1" x14ac:dyDescent="0.25">
      <c r="A6" s="19"/>
      <c r="C6" s="61">
        <f>IF(DAY(kesäsu1)=1,kesäsu1+15,kesäsu1+22)</f>
        <v>44368</v>
      </c>
      <c r="D6" s="61">
        <f>IF(DAY(kesäsu1)=1,kesäsu1+16,kesäsu1+23)</f>
        <v>44369</v>
      </c>
      <c r="E6" s="61">
        <f>IF(DAY(kesäsu1)=1,kesäsu1+17,kesäsu1+24)</f>
        <v>44370</v>
      </c>
      <c r="F6" s="61">
        <f>IF(DAY(kesäsu1)=1,kesäsu1+18,kesäsu1+25)</f>
        <v>44371</v>
      </c>
      <c r="G6" s="61">
        <f>IF(DAY(kesäsu1)=1,kesäsu1+19,kesäsu1+26)</f>
        <v>44372</v>
      </c>
      <c r="H6" s="61">
        <f>IF(DAY(kesäsu1)=1,kesäsu1+20,kesäsu1+27)</f>
        <v>44373</v>
      </c>
      <c r="I6" s="61">
        <f>IF(DAY(kesäsu1)=1,kesäsu1+21,kesäsu1+28)</f>
        <v>44374</v>
      </c>
      <c r="J6" s="16"/>
      <c r="K6" s="3"/>
      <c r="L6" s="10"/>
    </row>
    <row r="7" spans="1:12" ht="30" customHeight="1" x14ac:dyDescent="0.2">
      <c r="A7" s="19"/>
      <c r="C7" s="61">
        <f>IF(DAY(kesäsu1)=1,kesäsu1+22,kesäsu1+29)</f>
        <v>44375</v>
      </c>
      <c r="D7" s="61">
        <f>IF(DAY(kesäsu1)=1,kesäsu1+23,kesäsu1+30)</f>
        <v>44376</v>
      </c>
      <c r="E7" s="61">
        <f>IF(DAY(kesäsu1)=1,kesäsu1+24,kesäsu1+31)</f>
        <v>44377</v>
      </c>
      <c r="F7" s="61">
        <f>IF(DAY(kesäsu1)=1,kesäsu1+25,kesäsu1+32)</f>
        <v>44378</v>
      </c>
      <c r="G7" s="61">
        <f>IF(DAY(kesäsu1)=1,kesäsu1+26,kesäsu1+33)</f>
        <v>44379</v>
      </c>
      <c r="H7" s="61">
        <f>IF(DAY(kesäsu1)=1,kesäsu1+27,kesäsu1+34)</f>
        <v>44380</v>
      </c>
      <c r="I7" s="61">
        <f>IF(DAY(kesäsu1)=1,kesäsu1+28,kesäsu1+35)</f>
        <v>44381</v>
      </c>
      <c r="J7" s="51"/>
      <c r="K7" s="66"/>
      <c r="L7" s="51"/>
    </row>
    <row r="8" spans="1:12" ht="30" customHeight="1" x14ac:dyDescent="0.25">
      <c r="A8" s="19"/>
      <c r="B8" s="25"/>
      <c r="C8" s="61">
        <f>IF(DAY(kesäsu1)=1,kesäsu1+29,kesäsu1+36)</f>
        <v>44382</v>
      </c>
      <c r="D8" s="61">
        <f>IF(DAY(kesäsu1)=1,kesäsu1+30,kesäsu1+37)</f>
        <v>44383</v>
      </c>
      <c r="E8" s="61">
        <f>IF(DAY(kesäsu1)=1,kesäsu1+31,kesäsu1+38)</f>
        <v>44384</v>
      </c>
      <c r="F8" s="61">
        <f>IF(DAY(kesäsu1)=1,kesäsu1+32,kesäsu1+39)</f>
        <v>44385</v>
      </c>
      <c r="G8" s="61">
        <f>IF(DAY(kesäsu1)=1,kesäsu1+33,kesäsu1+40)</f>
        <v>44386</v>
      </c>
      <c r="H8" s="61">
        <f>IF(DAY(kesäsu1)=1,kesäsu1+34,kesäsu1+41)</f>
        <v>44387</v>
      </c>
      <c r="I8" s="61">
        <f>IF(DAY(kesäsu1)=1,kesäsu1+35,kesäsu1+42)</f>
        <v>44388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50" priority="6" stopIfTrue="1">
      <formula>DAY(C3)&gt;8</formula>
    </cfRule>
  </conditionalFormatting>
  <conditionalFormatting sqref="C7:I8">
    <cfRule type="expression" dxfId="49" priority="5" stopIfTrue="1">
      <formula>AND(DAY(C7)&gt;=1,DAY(C7)&lt;=15)</formula>
    </cfRule>
  </conditionalFormatting>
  <conditionalFormatting sqref="C3:I8">
    <cfRule type="expression" dxfId="48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47" priority="4">
      <formula>B13&lt;&gt;""</formula>
    </cfRule>
  </conditionalFormatting>
  <conditionalFormatting sqref="B12:I12 B14:I14 B16:I16 B18:I18 B20:I20 B22:I22 B24:I24 B26:I26 B28:I28 B30:I30">
    <cfRule type="expression" dxfId="46" priority="3">
      <formula>B12&lt;&gt;""</formula>
    </cfRule>
  </conditionalFormatting>
  <conditionalFormatting sqref="B13:I13 B15:I15 B17:I17 B19:I19 B21:I21 B23:I23 B25:I25 B27:I27 B29:I29">
    <cfRule type="expression" dxfId="45" priority="2">
      <formula>COLUMN(B13)&gt;=2</formula>
    </cfRule>
  </conditionalFormatting>
  <conditionalFormatting sqref="B12:I31">
    <cfRule type="expression" dxfId="44" priority="1">
      <formula>COLUMN(B12)&gt;2</formula>
    </cfRule>
  </conditionalFormatting>
  <dataValidations xWindow="282" yWindow="780" count="13">
    <dataValidation allowBlank="1" showInputMessage="1" showErrorMessage="1" prompt="Kesäkuun kalenteri korostaa automaattisesti kuukauden tehtävälistamerkinnät. Tummemmat fontit ovat tehtäviä. Vaaleammat fontit ovat päiviä, jotka kuuluvat edelliseen tai seuraavaan kuukauteen." sqref="B2" xr:uid="{00000000-0002-0000-0500-000000000000}"/>
    <dataValidation allowBlank="1" showInputMessage="1" showErrorMessage="1" prompt="Tämä on automaattisesti päivittyvä kalenterivuosi. Jos haluat vaihtaa vuotta, päivitä tammikuun taulukon solu B1." sqref="B1" xr:uid="{00000000-0002-0000-05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500-000002000000}"/>
    <dataValidation allowBlank="1" showInputMessage="1" showErrorMessage="1" prompt="Solut C2:I2 sisältävät viikonpäivät" sqref="C2" xr:uid="{00000000-0002-0000-05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5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500-000005000000}"/>
    <dataValidation allowBlank="1" showInputMessage="1" showErrorMessage="1" prompt="Enter time in this row  from columns B to I" sqref="B12" xr:uid="{00000000-0002-0000-0500-000006000000}"/>
    <dataValidation allowBlank="1" showInputMessage="1" showErrorMessage="1" prompt="Anna kurssi tälle riville sarakkeisiin B–I" sqref="B13" xr:uid="{00000000-0002-0000-05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5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5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500-00000A000000}"/>
    <dataValidation allowBlank="1" showInputMessage="1" showErrorMessage="1" prompt="Viikonpäivät ovat tällä rivillä (maanantaista perjantaihin)." sqref="B11" xr:uid="{00000000-0002-0000-05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5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33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IF(DAY(heinäsu1)=1,heinäsu1-6,heinäsu1+1)</f>
        <v>44375</v>
      </c>
      <c r="D3" s="61">
        <f>IF(DAY(heinäsu1)=1,heinäsu1-5,heinäsu1+2)</f>
        <v>44376</v>
      </c>
      <c r="E3" s="61">
        <f>IF(DAY(heinäsu1)=1,heinäsu1-4,heinäsu1+3)</f>
        <v>44377</v>
      </c>
      <c r="F3" s="61">
        <f>IF(DAY(heinäsu1)=1,heinäsu1-3,heinäsu1+4)</f>
        <v>44378</v>
      </c>
      <c r="G3" s="61">
        <f>IF(DAY(heinäsu1)=1,heinäsu1-2,heinäsu1+5)</f>
        <v>44379</v>
      </c>
      <c r="H3" s="61">
        <f>IF(DAY(heinäsu1)=1,heinäsu1-1,heinäsu1+6)</f>
        <v>44380</v>
      </c>
      <c r="I3" s="61">
        <f>IF(DAY(heinäsu1)=1,heinäsu1,heinäsu1+7)</f>
        <v>44381</v>
      </c>
      <c r="J3" s="16"/>
      <c r="K3" s="3"/>
      <c r="L3" s="10"/>
    </row>
    <row r="4" spans="1:12" ht="30" customHeight="1" x14ac:dyDescent="0.25">
      <c r="A4" s="19"/>
      <c r="C4" s="61">
        <f>IF(DAY(heinäsu1)=1,heinäsu1+1,heinäsu1+8)</f>
        <v>44382</v>
      </c>
      <c r="D4" s="61">
        <f>IF(DAY(heinäsu1)=1,heinäsu1+2,heinäsu1+9)</f>
        <v>44383</v>
      </c>
      <c r="E4" s="61">
        <f>IF(DAY(heinäsu1)=1,heinäsu1+3,heinäsu1+10)</f>
        <v>44384</v>
      </c>
      <c r="F4" s="61">
        <f>IF(DAY(heinäsu1)=1,heinäsu1+4,heinäsu1+11)</f>
        <v>44385</v>
      </c>
      <c r="G4" s="61">
        <f>IF(DAY(heinäsu1)=1,heinäsu1+5,heinäsu1+12)</f>
        <v>44386</v>
      </c>
      <c r="H4" s="61">
        <f>IF(DAY(heinäsu1)=1,heinäsu1+6,heinäsu1+13)</f>
        <v>44387</v>
      </c>
      <c r="I4" s="61">
        <f>IF(DAY(heinäsu1)=1,heinäsu1+7,heinäsu1+14)</f>
        <v>44388</v>
      </c>
      <c r="J4" s="16"/>
      <c r="K4" s="3"/>
      <c r="L4" s="10"/>
    </row>
    <row r="5" spans="1:12" ht="30" customHeight="1" x14ac:dyDescent="0.25">
      <c r="A5" s="19"/>
      <c r="C5" s="61">
        <f>IF(DAY(heinäsu1)=1,heinäsu1+8,heinäsu1+15)</f>
        <v>44389</v>
      </c>
      <c r="D5" s="61">
        <f>IF(DAY(heinäsu1)=1,heinäsu1+9,heinäsu1+16)</f>
        <v>44390</v>
      </c>
      <c r="E5" s="61">
        <f>IF(DAY(heinäsu1)=1,heinäsu1+10,heinäsu1+17)</f>
        <v>44391</v>
      </c>
      <c r="F5" s="61">
        <f>IF(DAY(heinäsu1)=1,heinäsu1+11,heinäsu1+18)</f>
        <v>44392</v>
      </c>
      <c r="G5" s="61">
        <f>IF(DAY(heinäsu1)=1,heinäsu1+12,heinäsu1+19)</f>
        <v>44393</v>
      </c>
      <c r="H5" s="61">
        <f>IF(DAY(heinäsu1)=1,heinäsu1+13,heinäsu1+20)</f>
        <v>44394</v>
      </c>
      <c r="I5" s="61">
        <f>IF(DAY(heinäsu1)=1,heinäsu1+14,heinäsu1+21)</f>
        <v>44395</v>
      </c>
      <c r="J5" s="16"/>
      <c r="K5" s="3"/>
      <c r="L5" s="10"/>
    </row>
    <row r="6" spans="1:12" ht="30" customHeight="1" x14ac:dyDescent="0.25">
      <c r="A6" s="19"/>
      <c r="C6" s="61">
        <f>IF(DAY(heinäsu1)=1,heinäsu1+15,heinäsu1+22)</f>
        <v>44396</v>
      </c>
      <c r="D6" s="61">
        <f>IF(DAY(heinäsu1)=1,heinäsu1+16,heinäsu1+23)</f>
        <v>44397</v>
      </c>
      <c r="E6" s="61">
        <f>IF(DAY(heinäsu1)=1,heinäsu1+17,heinäsu1+24)</f>
        <v>44398</v>
      </c>
      <c r="F6" s="61">
        <f>IF(DAY(heinäsu1)=1,heinäsu1+18,heinäsu1+25)</f>
        <v>44399</v>
      </c>
      <c r="G6" s="61">
        <f>IF(DAY(heinäsu1)=1,heinäsu1+19,heinäsu1+26)</f>
        <v>44400</v>
      </c>
      <c r="H6" s="61">
        <f>IF(DAY(heinäsu1)=1,heinäsu1+20,heinäsu1+27)</f>
        <v>44401</v>
      </c>
      <c r="I6" s="61">
        <f>IF(DAY(heinäsu1)=1,heinäsu1+21,heinäsu1+28)</f>
        <v>44402</v>
      </c>
      <c r="J6" s="16"/>
      <c r="K6" s="3"/>
      <c r="L6" s="10"/>
    </row>
    <row r="7" spans="1:12" ht="30" customHeight="1" x14ac:dyDescent="0.25">
      <c r="A7" s="19"/>
      <c r="C7" s="61">
        <f>IF(DAY(heinäsu1)=1,heinäsu1+22,heinäsu1+29)</f>
        <v>44403</v>
      </c>
      <c r="D7" s="61">
        <f>IF(DAY(heinäsu1)=1,heinäsu1+23,heinäsu1+30)</f>
        <v>44404</v>
      </c>
      <c r="E7" s="61">
        <f>IF(DAY(heinäsu1)=1,heinäsu1+24,heinäsu1+31)</f>
        <v>44405</v>
      </c>
      <c r="F7" s="61">
        <f>IF(DAY(heinäsu1)=1,heinäsu1+25,heinäsu1+32)</f>
        <v>44406</v>
      </c>
      <c r="G7" s="61">
        <f>IF(DAY(heinäsu1)=1,heinäsu1+26,heinäsu1+33)</f>
        <v>44407</v>
      </c>
      <c r="H7" s="61">
        <f>IF(DAY(heinäsu1)=1,heinäsu1+27,heinäsu1+34)</f>
        <v>44408</v>
      </c>
      <c r="I7" s="61">
        <f>IF(DAY(heinäsu1)=1,heinäsu1+28,heinäsu1+35)</f>
        <v>44409</v>
      </c>
      <c r="J7" s="1"/>
      <c r="K7" s="31"/>
      <c r="L7" s="26"/>
    </row>
    <row r="8" spans="1:12" ht="30" customHeight="1" x14ac:dyDescent="0.25">
      <c r="A8" s="19"/>
      <c r="B8" s="25"/>
      <c r="C8" s="61">
        <f>IF(DAY(heinäsu1)=1,heinäsu1+29,heinäsu1+36)</f>
        <v>44410</v>
      </c>
      <c r="D8" s="61">
        <f>IF(DAY(heinäsu1)=1,heinäsu1+30,heinäsu1+37)</f>
        <v>44411</v>
      </c>
      <c r="E8" s="61">
        <f>IF(DAY(heinäsu1)=1,heinäsu1+31,heinäsu1+38)</f>
        <v>44412</v>
      </c>
      <c r="F8" s="61">
        <f>IF(DAY(heinäsu1)=1,heinäsu1+32,heinäsu1+39)</f>
        <v>44413</v>
      </c>
      <c r="G8" s="61">
        <f>IF(DAY(heinäsu1)=1,heinäsu1+33,heinäsu1+40)</f>
        <v>44414</v>
      </c>
      <c r="H8" s="61">
        <f>IF(DAY(heinäsu1)=1,heinäsu1+34,heinäsu1+41)</f>
        <v>44415</v>
      </c>
      <c r="I8" s="61">
        <f>IF(DAY(heinäsu1)=1,heinäsu1+35,heinäsu1+42)</f>
        <v>44416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10"/>
    </row>
    <row r="31" spans="1:12" ht="30" customHeight="1" x14ac:dyDescent="0.25">
      <c r="A31" s="35" t="s">
        <v>2</v>
      </c>
      <c r="B31" s="39"/>
      <c r="C31" s="55"/>
      <c r="D31" s="55"/>
      <c r="E31" s="55"/>
      <c r="F31" s="55"/>
      <c r="G31" s="55"/>
      <c r="H31" s="55"/>
      <c r="I31" s="40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43" priority="6" stopIfTrue="1">
      <formula>DAY(C3)&gt;8</formula>
    </cfRule>
  </conditionalFormatting>
  <conditionalFormatting sqref="C7:I8">
    <cfRule type="expression" dxfId="42" priority="5" stopIfTrue="1">
      <formula>AND(DAY(C7)&gt;=1,DAY(C7)&lt;=15)</formula>
    </cfRule>
  </conditionalFormatting>
  <conditionalFormatting sqref="C3:I8">
    <cfRule type="expression" dxfId="41" priority="7">
      <formula>VLOOKUP(DAY(C3),Tehtäväpäivät,1,FALSE)=DAY(C3)</formula>
    </cfRule>
  </conditionalFormatting>
  <conditionalFormatting sqref="B12:I12 B14:I14 B16:I16 B18:I18 B20:I20 B22:I22 B24:I24 B26:I26 B28:I28 B30:I30">
    <cfRule type="expression" dxfId="40" priority="4">
      <formula>B12&lt;&gt;""</formula>
    </cfRule>
  </conditionalFormatting>
  <conditionalFormatting sqref="B13:I13 B15:I15 B17:I17 B19:I19 B21:I21 B23:I23 B25:I25 B27:I27 B29:I29 B31:I31">
    <cfRule type="expression" dxfId="39" priority="3">
      <formula>B13&lt;&gt;""</formula>
    </cfRule>
  </conditionalFormatting>
  <conditionalFormatting sqref="B13:I13 B15:I15 B17:I17 B19:I19 B21:I21 B23:I23 B25:I25 B27:I27 B29:I29">
    <cfRule type="expression" dxfId="38" priority="2">
      <formula>COLUMN(B13)&gt;=2</formula>
    </cfRule>
  </conditionalFormatting>
  <conditionalFormatting sqref="B12:I31">
    <cfRule type="expression" dxfId="37" priority="1">
      <formula>COLUMN(B12)&gt;2</formula>
    </cfRule>
  </conditionalFormatting>
  <dataValidations xWindow="239" yWindow="583" count="13">
    <dataValidation allowBlank="1" showInputMessage="1" showErrorMessage="1" prompt="Anna kurssi tälle riville sarakkeisiin B–I" sqref="B13" xr:uid="{00000000-0002-0000-0600-000000000000}"/>
    <dataValidation allowBlank="1" showInputMessage="1" showErrorMessage="1" prompt="Enter time in this row  from columns B to I" sqref="B12" xr:uid="{00000000-0002-0000-0600-000001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600-000002000000}"/>
    <dataValidation allowBlank="1" showInputMessage="1" showErrorMessage="1" prompt="Jos tässä solussa ei ole numeroa 1, siinä on edellisen kuukauden päivä. Solut C3:I8 sisältävät nykyisen kuukauden päivämäärät." sqref="C3" xr:uid="{00000000-0002-0000-0600-000003000000}"/>
    <dataValidation allowBlank="1" showInputMessage="1" showErrorMessage="1" prompt="Solut C2:I2 sisältävät viikonpäivät" sqref="C2" xr:uid="{00000000-0002-0000-0600-000004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600-000005000000}"/>
    <dataValidation allowBlank="1" showInputMessage="1" showErrorMessage="1" prompt="Tämä on automaattisesti päivittyvä kalenterivuosi. Jos haluat vaihtaa vuotta, päivitä tammikuun taulukon solu B1." sqref="B1" xr:uid="{00000000-0002-0000-0600-000006000000}"/>
    <dataValidation allowBlank="1" showInputMessage="1" showErrorMessage="1" prompt="Heinäkuun kalenteri korostaa automaattisesti kuukauden tehtävälistamerkinnät. Tummemmat fontit ovat tehtäviä. Vaaleammat fontit ovat päiviä, jotka kuuluvat edelliseen tai seuraavaan kuukauteen." sqref="B2" xr:uid="{00000000-0002-0000-06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6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6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600-00000A000000}"/>
    <dataValidation allowBlank="1" showInputMessage="1" showErrorMessage="1" prompt="Viikonpäivät ovat tällä rivillä (maanantaista perjantaihin)." sqref="B11" xr:uid="{00000000-0002-0000-06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6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34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4"/>
      <c r="L2" s="7"/>
    </row>
    <row r="3" spans="1:12" ht="30" customHeight="1" x14ac:dyDescent="0.25">
      <c r="A3" s="19"/>
      <c r="C3" s="61">
        <f>IF(DAY(elosu1)=1,elosu1-6,elosu1+1)</f>
        <v>44403</v>
      </c>
      <c r="D3" s="61">
        <f>IF(DAY(elosu1)=1,elosu1-5,elosu1+2)</f>
        <v>44404</v>
      </c>
      <c r="E3" s="61">
        <f>IF(DAY(elosu1)=1,elosu1-4,elosu1+3)</f>
        <v>44405</v>
      </c>
      <c r="F3" s="61">
        <f>IF(DAY(elosu1)=1,elosu1-3,elosu1+4)</f>
        <v>44406</v>
      </c>
      <c r="G3" s="61">
        <f>IF(DAY(elosu1)=1,elosu1-2,elosu1+5)</f>
        <v>44407</v>
      </c>
      <c r="H3" s="61">
        <f>IF(DAY(elosu1)=1,elosu1-1,elosu1+6)</f>
        <v>44408</v>
      </c>
      <c r="I3" s="61">
        <f>IF(DAY(elosu1)=1,elosu1,elosu1+7)</f>
        <v>44409</v>
      </c>
      <c r="J3" s="16"/>
      <c r="K3" s="5"/>
      <c r="L3" s="10"/>
    </row>
    <row r="4" spans="1:12" ht="30" customHeight="1" x14ac:dyDescent="0.25">
      <c r="A4" s="19"/>
      <c r="C4" s="61">
        <f>IF(DAY(elosu1)=1,elosu1+1,elosu1+8)</f>
        <v>44410</v>
      </c>
      <c r="D4" s="61">
        <f>IF(DAY(elosu1)=1,elosu1+2,elosu1+9)</f>
        <v>44411</v>
      </c>
      <c r="E4" s="61">
        <f>IF(DAY(elosu1)=1,elosu1+3,elosu1+10)</f>
        <v>44412</v>
      </c>
      <c r="F4" s="61">
        <f>IF(DAY(elosu1)=1,elosu1+4,elosu1+11)</f>
        <v>44413</v>
      </c>
      <c r="G4" s="61">
        <f>IF(DAY(elosu1)=1,elosu1+5,elosu1+12)</f>
        <v>44414</v>
      </c>
      <c r="H4" s="61">
        <f>IF(DAY(elosu1)=1,elosu1+6,elosu1+13)</f>
        <v>44415</v>
      </c>
      <c r="I4" s="61">
        <f>IF(DAY(elosu1)=1,elosu1+7,elosu1+14)</f>
        <v>44416</v>
      </c>
      <c r="J4" s="16"/>
      <c r="K4" s="5"/>
      <c r="L4" s="10"/>
    </row>
    <row r="5" spans="1:12" ht="30" customHeight="1" x14ac:dyDescent="0.25">
      <c r="A5" s="19"/>
      <c r="C5" s="61">
        <f>IF(DAY(elosu1)=1,elosu1+8,elosu1+15)</f>
        <v>44417</v>
      </c>
      <c r="D5" s="61">
        <f>IF(DAY(elosu1)=1,elosu1+9,elosu1+16)</f>
        <v>44418</v>
      </c>
      <c r="E5" s="61">
        <f>IF(DAY(elosu1)=1,elosu1+10,elosu1+17)</f>
        <v>44419</v>
      </c>
      <c r="F5" s="61">
        <f>IF(DAY(elosu1)=1,elosu1+11,elosu1+18)</f>
        <v>44420</v>
      </c>
      <c r="G5" s="61">
        <f>IF(DAY(elosu1)=1,elosu1+12,elosu1+19)</f>
        <v>44421</v>
      </c>
      <c r="H5" s="61">
        <f>IF(DAY(elosu1)=1,elosu1+13,elosu1+20)</f>
        <v>44422</v>
      </c>
      <c r="I5" s="61">
        <f>IF(DAY(elosu1)=1,elosu1+14,elosu1+21)</f>
        <v>44423</v>
      </c>
      <c r="J5" s="16"/>
      <c r="K5" s="5"/>
      <c r="L5" s="10"/>
    </row>
    <row r="6" spans="1:12" ht="30" customHeight="1" x14ac:dyDescent="0.25">
      <c r="A6" s="19"/>
      <c r="C6" s="61">
        <f>IF(DAY(elosu1)=1,elosu1+15,elosu1+22)</f>
        <v>44424</v>
      </c>
      <c r="D6" s="61">
        <f>IF(DAY(elosu1)=1,elosu1+16,elosu1+23)</f>
        <v>44425</v>
      </c>
      <c r="E6" s="61">
        <f>IF(DAY(elosu1)=1,elosu1+17,elosu1+24)</f>
        <v>44426</v>
      </c>
      <c r="F6" s="61">
        <f>IF(DAY(elosu1)=1,elosu1+18,elosu1+25)</f>
        <v>44427</v>
      </c>
      <c r="G6" s="61">
        <f>IF(DAY(elosu1)=1,elosu1+19,elosu1+26)</f>
        <v>44428</v>
      </c>
      <c r="H6" s="61">
        <f>IF(DAY(elosu1)=1,elosu1+20,elosu1+27)</f>
        <v>44429</v>
      </c>
      <c r="I6" s="61">
        <f>IF(DAY(elosu1)=1,elosu1+21,elosu1+28)</f>
        <v>44430</v>
      </c>
      <c r="J6" s="16"/>
      <c r="K6" s="5"/>
      <c r="L6" s="10"/>
    </row>
    <row r="7" spans="1:12" ht="30" customHeight="1" x14ac:dyDescent="0.25">
      <c r="A7" s="19"/>
      <c r="C7" s="61">
        <f>IF(DAY(elosu1)=1,elosu1+22,elosu1+29)</f>
        <v>44431</v>
      </c>
      <c r="D7" s="61">
        <f>IF(DAY(elosu1)=1,elosu1+23,elosu1+30)</f>
        <v>44432</v>
      </c>
      <c r="E7" s="61">
        <f>IF(DAY(elosu1)=1,elosu1+24,elosu1+31)</f>
        <v>44433</v>
      </c>
      <c r="F7" s="61">
        <f>IF(DAY(elosu1)=1,elosu1+25,elosu1+32)</f>
        <v>44434</v>
      </c>
      <c r="G7" s="61">
        <f>IF(DAY(elosu1)=1,elosu1+26,elosu1+33)</f>
        <v>44435</v>
      </c>
      <c r="H7" s="61">
        <f>IF(DAY(elosu1)=1,elosu1+27,elosu1+34)</f>
        <v>44436</v>
      </c>
      <c r="I7" s="61">
        <f>IF(DAY(elosu1)=1,elosu1+28,elosu1+35)</f>
        <v>44437</v>
      </c>
      <c r="J7" s="29"/>
      <c r="K7" s="31"/>
      <c r="L7" s="26"/>
    </row>
    <row r="8" spans="1:12" ht="30" customHeight="1" x14ac:dyDescent="0.25">
      <c r="A8" s="19"/>
      <c r="B8" s="25"/>
      <c r="C8" s="61">
        <f>IF(DAY(elosu1)=1,elosu1+29,elosu1+36)</f>
        <v>44438</v>
      </c>
      <c r="D8" s="61">
        <f>IF(DAY(elosu1)=1,elosu1+30,elosu1+37)</f>
        <v>44439</v>
      </c>
      <c r="E8" s="61">
        <f>IF(DAY(elosu1)=1,elosu1+31,elosu1+38)</f>
        <v>44440</v>
      </c>
      <c r="F8" s="61">
        <f>IF(DAY(elosu1)=1,elosu1+32,elosu1+39)</f>
        <v>44441</v>
      </c>
      <c r="G8" s="61">
        <f>IF(DAY(elosu1)=1,elosu1+33,elosu1+40)</f>
        <v>44442</v>
      </c>
      <c r="H8" s="61">
        <f>IF(DAY(elosu1)=1,elosu1+34,elosu1+41)</f>
        <v>44443</v>
      </c>
      <c r="I8" s="61">
        <f>IF(DAY(elosu1)=1,elosu1+35,elosu1+42)</f>
        <v>44444</v>
      </c>
      <c r="J8" s="16" t="s">
        <v>13</v>
      </c>
      <c r="K8" s="4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5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5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5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5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29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4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5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5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5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5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29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4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5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5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5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5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29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4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5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5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5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5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6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36" priority="6" stopIfTrue="1">
      <formula>DAY(C3)&gt;8</formula>
    </cfRule>
  </conditionalFormatting>
  <conditionalFormatting sqref="C7:I8">
    <cfRule type="expression" dxfId="35" priority="5" stopIfTrue="1">
      <formula>AND(DAY(C7)&gt;=1,DAY(C7)&lt;=15)</formula>
    </cfRule>
  </conditionalFormatting>
  <conditionalFormatting sqref="C3:I8">
    <cfRule type="expression" dxfId="34" priority="7">
      <formula>VLOOKUP(DAY(C3),Tehtäväpäivät,1,FALSE)=DAY(C3)</formula>
    </cfRule>
  </conditionalFormatting>
  <conditionalFormatting sqref="B12:I12 B14:I14 B16:I16 B18:I18 B20:I20 B22:I22 B24:I24 B26:I26 B28:I28 B30:I30">
    <cfRule type="expression" dxfId="33" priority="4">
      <formula>B12&lt;&gt;""</formula>
    </cfRule>
  </conditionalFormatting>
  <conditionalFormatting sqref="B13:I13 B15:I15 B17:I17 B19:I19 B21:I21 B23:I23 B25:I25 B27:I27 B29:I29 B31:I31">
    <cfRule type="expression" dxfId="32" priority="3">
      <formula>B12&lt;&gt;""</formula>
    </cfRule>
  </conditionalFormatting>
  <conditionalFormatting sqref="B13:I13 B15:I15 B17:I17 B19:I19 B21:I21 B23:I23 B25:I25 B27:I27 B29:I29">
    <cfRule type="expression" dxfId="31" priority="2">
      <formula>COLUMN(B13)&gt;=2</formula>
    </cfRule>
  </conditionalFormatting>
  <conditionalFormatting sqref="B12:I31">
    <cfRule type="expression" dxfId="30" priority="1">
      <formula>COLUMN(B12)&gt;2</formula>
    </cfRule>
  </conditionalFormatting>
  <dataValidations xWindow="132" yWindow="585" count="13">
    <dataValidation allowBlank="1" showInputMessage="1" showErrorMessage="1" prompt="Elokuun kalenteri korostaa automaattisesti kuukauden tehtävälistamerkinnät. Tummemmat fontit ovat tehtäviä. Vaaleammat fontit ovat päiviä, jotka kuuluvat edelliseen tai seuraavaan kuukauteen." sqref="B2" xr:uid="{00000000-0002-0000-0700-000000000000}"/>
    <dataValidation allowBlank="1" showInputMessage="1" showErrorMessage="1" prompt="Tämä on automaattisesti päivittyvä kalenterivuosi. Jos haluat vaihtaa vuotta, päivitä tammikuun taulukon solu B1." sqref="B1" xr:uid="{00000000-0002-0000-0700-000001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700-000002000000}"/>
    <dataValidation allowBlank="1" showInputMessage="1" showErrorMessage="1" prompt="Solut C2:I2 sisältävät viikonpäivät" sqref="C2" xr:uid="{00000000-0002-0000-0700-000003000000}"/>
    <dataValidation allowBlank="1" showInputMessage="1" showErrorMessage="1" prompt="Jos tässä solussa ei ole numeroa 1, siinä on edellisen kuukauden päivä. Solut C3:I8 sisältävät nykyisen kuukauden päivämäärät." sqref="C3" xr:uid="{00000000-0002-0000-0700-000004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700-000005000000}"/>
    <dataValidation allowBlank="1" showInputMessage="1" showErrorMessage="1" prompt="Enter time in this row  from columns B to I" sqref="B12" xr:uid="{00000000-0002-0000-0700-000006000000}"/>
    <dataValidation allowBlank="1" showInputMessage="1" showErrorMessage="1" prompt="Anna kurssi tälle riville sarakkeisiin B–I" sqref="B13" xr:uid="{00000000-0002-0000-07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7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7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700-00000A000000}"/>
    <dataValidation allowBlank="1" showInputMessage="1" showErrorMessage="1" prompt="Viikonpäivät ovat tällä rivillä (maanantaista perjantaihin)." sqref="B11" xr:uid="{00000000-0002-0000-07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7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Kalenterivuosi</f>
        <v>2021</v>
      </c>
      <c r="J1" s="28" t="s">
        <v>0</v>
      </c>
      <c r="K1" s="28" t="s">
        <v>23</v>
      </c>
      <c r="L1" s="17" t="s">
        <v>24</v>
      </c>
    </row>
    <row r="2" spans="1:12" ht="30" customHeight="1" x14ac:dyDescent="0.25">
      <c r="A2" s="19"/>
      <c r="B2" s="48" t="s">
        <v>35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61">
        <f>IF(DAY(syyssu1)=1,syyssu1-6,syyssu1+1)</f>
        <v>44438</v>
      </c>
      <c r="D3" s="61">
        <f>IF(DAY(syyssu1)=1,syyssu1-5,syyssu1+2)</f>
        <v>44439</v>
      </c>
      <c r="E3" s="61">
        <f>IF(DAY(syyssu1)=1,syyssu1-4,syyssu1+3)</f>
        <v>44440</v>
      </c>
      <c r="F3" s="61">
        <f>IF(DAY(syyssu1)=1,syyssu1-3,syyssu1+4)</f>
        <v>44441</v>
      </c>
      <c r="G3" s="61">
        <f>IF(DAY(syyssu1)=1,syyssu1-2,syyssu1+5)</f>
        <v>44442</v>
      </c>
      <c r="H3" s="61">
        <f>IF(DAY(syyssu1)=1,syyssu1-1,syyssu1+6)</f>
        <v>44443</v>
      </c>
      <c r="I3" s="61">
        <f>IF(DAY(syyssu1)=1,syyssu1,syyssu1+7)</f>
        <v>44444</v>
      </c>
      <c r="J3" s="16"/>
      <c r="K3" s="3"/>
      <c r="L3" s="10"/>
    </row>
    <row r="4" spans="1:12" ht="30" customHeight="1" x14ac:dyDescent="0.25">
      <c r="A4" s="19"/>
      <c r="C4" s="61">
        <f>IF(DAY(syyssu1)=1,syyssu1+1,syyssu1+8)</f>
        <v>44445</v>
      </c>
      <c r="D4" s="61">
        <f>IF(DAY(syyssu1)=1,syyssu1+2,syyssu1+9)</f>
        <v>44446</v>
      </c>
      <c r="E4" s="61">
        <f>IF(DAY(syyssu1)=1,syyssu1+3,syyssu1+10)</f>
        <v>44447</v>
      </c>
      <c r="F4" s="61">
        <f>IF(DAY(syyssu1)=1,syyssu1+4,syyssu1+11)</f>
        <v>44448</v>
      </c>
      <c r="G4" s="61">
        <f>IF(DAY(syyssu1)=1,syyssu1+5,syyssu1+12)</f>
        <v>44449</v>
      </c>
      <c r="H4" s="61">
        <f>IF(DAY(syyssu1)=1,syyssu1+6,syyssu1+13)</f>
        <v>44450</v>
      </c>
      <c r="I4" s="61">
        <f>IF(DAY(syyssu1)=1,syyssu1+7,syyssu1+14)</f>
        <v>44451</v>
      </c>
      <c r="J4" s="16"/>
      <c r="K4" s="3"/>
      <c r="L4" s="10"/>
    </row>
    <row r="5" spans="1:12" ht="30" customHeight="1" x14ac:dyDescent="0.25">
      <c r="A5" s="19"/>
      <c r="C5" s="61">
        <f>IF(DAY(syyssu1)=1,syyssu1+8,syyssu1+15)</f>
        <v>44452</v>
      </c>
      <c r="D5" s="61">
        <f>IF(DAY(syyssu1)=1,syyssu1+9,syyssu1+16)</f>
        <v>44453</v>
      </c>
      <c r="E5" s="61">
        <f>IF(DAY(syyssu1)=1,syyssu1+10,syyssu1+17)</f>
        <v>44454</v>
      </c>
      <c r="F5" s="61">
        <f>IF(DAY(syyssu1)=1,syyssu1+11,syyssu1+18)</f>
        <v>44455</v>
      </c>
      <c r="G5" s="61">
        <f>IF(DAY(syyssu1)=1,syyssu1+12,syyssu1+19)</f>
        <v>44456</v>
      </c>
      <c r="H5" s="61">
        <f>IF(DAY(syyssu1)=1,syyssu1+13,syyssu1+20)</f>
        <v>44457</v>
      </c>
      <c r="I5" s="61">
        <f>IF(DAY(syyssu1)=1,syyssu1+14,syyssu1+21)</f>
        <v>44458</v>
      </c>
      <c r="J5" s="16"/>
      <c r="K5" s="3"/>
      <c r="L5" s="10"/>
    </row>
    <row r="6" spans="1:12" ht="30" customHeight="1" x14ac:dyDescent="0.25">
      <c r="A6" s="19"/>
      <c r="C6" s="61">
        <f>IF(DAY(syyssu1)=1,syyssu1+15,syyssu1+22)</f>
        <v>44459</v>
      </c>
      <c r="D6" s="61">
        <f>IF(DAY(syyssu1)=1,syyssu1+16,syyssu1+23)</f>
        <v>44460</v>
      </c>
      <c r="E6" s="61">
        <f>IF(DAY(syyssu1)=1,syyssu1+17,syyssu1+24)</f>
        <v>44461</v>
      </c>
      <c r="F6" s="61">
        <f>IF(DAY(syyssu1)=1,syyssu1+18,syyssu1+25)</f>
        <v>44462</v>
      </c>
      <c r="G6" s="61">
        <f>IF(DAY(syyssu1)=1,syyssu1+19,syyssu1+26)</f>
        <v>44463</v>
      </c>
      <c r="H6" s="61">
        <f>IF(DAY(syyssu1)=1,syyssu1+20,syyssu1+27)</f>
        <v>44464</v>
      </c>
      <c r="I6" s="61">
        <f>IF(DAY(syyssu1)=1,syyssu1+21,syyssu1+28)</f>
        <v>44465</v>
      </c>
      <c r="J6" s="16"/>
      <c r="K6" s="3"/>
      <c r="L6" s="10"/>
    </row>
    <row r="7" spans="1:12" ht="30" customHeight="1" x14ac:dyDescent="0.25">
      <c r="A7" s="19"/>
      <c r="C7" s="61">
        <f>IF(DAY(syyssu1)=1,syyssu1+22,syyssu1+29)</f>
        <v>44466</v>
      </c>
      <c r="D7" s="61">
        <f>IF(DAY(syyssu1)=1,syyssu1+23,syyssu1+30)</f>
        <v>44467</v>
      </c>
      <c r="E7" s="61">
        <f>IF(DAY(syyssu1)=1,syyssu1+24,syyssu1+31)</f>
        <v>44468</v>
      </c>
      <c r="F7" s="61">
        <f>IF(DAY(syyssu1)=1,syyssu1+25,syyssu1+32)</f>
        <v>44469</v>
      </c>
      <c r="G7" s="61">
        <f>IF(DAY(syyssu1)=1,syyssu1+26,syyssu1+33)</f>
        <v>44470</v>
      </c>
      <c r="H7" s="61">
        <f>IF(DAY(syyssu1)=1,syyssu1+27,syyssu1+34)</f>
        <v>44471</v>
      </c>
      <c r="I7" s="61">
        <f>IF(DAY(syyssu1)=1,syyssu1+28,syyssu1+35)</f>
        <v>44472</v>
      </c>
      <c r="J7" s="1"/>
      <c r="K7" s="31"/>
      <c r="L7" s="26"/>
    </row>
    <row r="8" spans="1:12" ht="30" customHeight="1" x14ac:dyDescent="0.25">
      <c r="A8" s="19"/>
      <c r="B8" s="25"/>
      <c r="C8" s="61">
        <f>IF(DAY(syyssu1)=1,syyssu1+29,syyssu1+36)</f>
        <v>44473</v>
      </c>
      <c r="D8" s="61">
        <f>IF(DAY(syyssu1)=1,syyssu1+30,syyssu1+37)</f>
        <v>44474</v>
      </c>
      <c r="E8" s="61">
        <f>IF(DAY(syyssu1)=1,syyssu1+31,syyssu1+38)</f>
        <v>44475</v>
      </c>
      <c r="F8" s="61">
        <f>IF(DAY(syyssu1)=1,syyssu1+32,syyssu1+39)</f>
        <v>44476</v>
      </c>
      <c r="G8" s="61">
        <f>IF(DAY(syyssu1)=1,syyssu1+33,syyssu1+40)</f>
        <v>44477</v>
      </c>
      <c r="H8" s="61">
        <f>IF(DAY(syyssu1)=1,syyssu1+34,syyssu1+41)</f>
        <v>44478</v>
      </c>
      <c r="I8" s="61">
        <f>IF(DAY(syyssu1)=1,syyssu1+35,syyssu1+42)</f>
        <v>44479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0</v>
      </c>
      <c r="B11" s="34" t="s">
        <v>5</v>
      </c>
      <c r="C11" s="52" t="s">
        <v>13</v>
      </c>
      <c r="D11" s="53"/>
      <c r="E11" s="52" t="s">
        <v>18</v>
      </c>
      <c r="F11" s="53"/>
      <c r="G11" s="52" t="s">
        <v>19</v>
      </c>
      <c r="H11" s="53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8" t="s">
        <v>6</v>
      </c>
      <c r="C12" s="59"/>
      <c r="D12" s="59"/>
      <c r="E12" s="59" t="s">
        <v>6</v>
      </c>
      <c r="F12" s="59"/>
      <c r="G12" s="59"/>
      <c r="H12" s="59"/>
      <c r="I12" s="60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54"/>
      <c r="D13" s="54"/>
      <c r="E13" s="54" t="s">
        <v>7</v>
      </c>
      <c r="F13" s="54"/>
      <c r="G13" s="54"/>
      <c r="H13" s="54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8"/>
      <c r="C14" s="59" t="s">
        <v>14</v>
      </c>
      <c r="D14" s="59"/>
      <c r="E14" s="59"/>
      <c r="F14" s="59"/>
      <c r="G14" s="59" t="s">
        <v>14</v>
      </c>
      <c r="H14" s="59"/>
      <c r="I14" s="60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54" t="s">
        <v>15</v>
      </c>
      <c r="D15" s="54"/>
      <c r="E15" s="54"/>
      <c r="F15" s="54"/>
      <c r="G15" s="54" t="s">
        <v>15</v>
      </c>
      <c r="H15" s="54"/>
      <c r="I15" s="41"/>
      <c r="J15" s="16"/>
      <c r="K15" s="3"/>
      <c r="L15" s="10"/>
    </row>
    <row r="16" spans="1:12" ht="30" customHeight="1" x14ac:dyDescent="0.25">
      <c r="A16" s="35" t="s">
        <v>1</v>
      </c>
      <c r="B16" s="58" t="s">
        <v>8</v>
      </c>
      <c r="C16" s="59"/>
      <c r="D16" s="59"/>
      <c r="E16" s="59" t="s">
        <v>8</v>
      </c>
      <c r="F16" s="59"/>
      <c r="G16" s="59"/>
      <c r="H16" s="59"/>
      <c r="I16" s="65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54"/>
      <c r="D17" s="54"/>
      <c r="E17" s="54" t="s">
        <v>9</v>
      </c>
      <c r="F17" s="54"/>
      <c r="G17" s="54"/>
      <c r="H17" s="54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8"/>
      <c r="C18" s="59"/>
      <c r="D18" s="59"/>
      <c r="E18" s="59"/>
      <c r="F18" s="59"/>
      <c r="G18" s="59"/>
      <c r="H18" s="59"/>
      <c r="I18" s="60"/>
      <c r="J18" s="16"/>
      <c r="K18" s="3"/>
      <c r="L18" s="10"/>
    </row>
    <row r="19" spans="1:12" ht="30" customHeight="1" x14ac:dyDescent="0.25">
      <c r="A19" s="35" t="s">
        <v>2</v>
      </c>
      <c r="B19" s="36"/>
      <c r="C19" s="54"/>
      <c r="D19" s="54"/>
      <c r="E19" s="54"/>
      <c r="F19" s="54"/>
      <c r="G19" s="54"/>
      <c r="H19" s="54"/>
      <c r="I19" s="42"/>
      <c r="J19" s="1"/>
      <c r="K19" s="31"/>
      <c r="L19" s="32"/>
    </row>
    <row r="20" spans="1:12" ht="30" customHeight="1" x14ac:dyDescent="0.25">
      <c r="A20" s="35" t="s">
        <v>1</v>
      </c>
      <c r="B20" s="58"/>
      <c r="C20" s="59"/>
      <c r="D20" s="59"/>
      <c r="E20" s="59"/>
      <c r="F20" s="59"/>
      <c r="G20" s="59"/>
      <c r="H20" s="59"/>
      <c r="I20" s="60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54"/>
      <c r="D21" s="54"/>
      <c r="E21" s="54"/>
      <c r="F21" s="54"/>
      <c r="G21" s="54"/>
      <c r="H21" s="54"/>
      <c r="I21" s="41"/>
      <c r="J21" s="16"/>
      <c r="K21" s="3"/>
      <c r="L21" s="10"/>
    </row>
    <row r="22" spans="1:12" ht="30" customHeight="1" x14ac:dyDescent="0.25">
      <c r="A22" s="35" t="s">
        <v>1</v>
      </c>
      <c r="B22" s="58"/>
      <c r="C22" s="59"/>
      <c r="D22" s="59"/>
      <c r="E22" s="59"/>
      <c r="F22" s="59"/>
      <c r="G22" s="59"/>
      <c r="H22" s="59"/>
      <c r="I22" s="60"/>
      <c r="J22" s="16"/>
      <c r="K22" s="3"/>
      <c r="L22" s="10"/>
    </row>
    <row r="23" spans="1:12" ht="30" customHeight="1" x14ac:dyDescent="0.25">
      <c r="A23" s="35" t="s">
        <v>2</v>
      </c>
      <c r="B23" s="36"/>
      <c r="C23" s="54"/>
      <c r="D23" s="54"/>
      <c r="E23" s="54"/>
      <c r="F23" s="54"/>
      <c r="G23" s="54"/>
      <c r="H23" s="54"/>
      <c r="I23" s="41"/>
      <c r="J23" s="16"/>
      <c r="K23" s="3"/>
      <c r="L23" s="10"/>
    </row>
    <row r="24" spans="1:12" ht="30" customHeight="1" x14ac:dyDescent="0.25">
      <c r="A24" s="35" t="s">
        <v>1</v>
      </c>
      <c r="B24" s="58" t="s">
        <v>10</v>
      </c>
      <c r="C24" s="59"/>
      <c r="D24" s="59"/>
      <c r="E24" s="59" t="s">
        <v>10</v>
      </c>
      <c r="F24" s="59"/>
      <c r="G24" s="59"/>
      <c r="H24" s="59"/>
      <c r="I24" s="60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54"/>
      <c r="D25" s="54"/>
      <c r="E25" s="54" t="s">
        <v>11</v>
      </c>
      <c r="F25" s="54"/>
      <c r="G25" s="54"/>
      <c r="H25" s="54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8"/>
      <c r="C26" s="59"/>
      <c r="D26" s="59"/>
      <c r="E26" s="59"/>
      <c r="F26" s="59"/>
      <c r="G26" s="59"/>
      <c r="H26" s="59"/>
      <c r="I26" s="60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54"/>
      <c r="D27" s="54"/>
      <c r="E27" s="54"/>
      <c r="F27" s="54"/>
      <c r="G27" s="54"/>
      <c r="H27" s="54"/>
      <c r="I27" s="41"/>
      <c r="J27" s="16"/>
      <c r="K27" s="3"/>
      <c r="L27" s="10"/>
    </row>
    <row r="28" spans="1:12" ht="30" customHeight="1" x14ac:dyDescent="0.25">
      <c r="A28" s="35" t="s">
        <v>1</v>
      </c>
      <c r="B28" s="58"/>
      <c r="C28" s="59" t="s">
        <v>16</v>
      </c>
      <c r="D28" s="59"/>
      <c r="E28" s="59"/>
      <c r="F28" s="59"/>
      <c r="G28" s="59" t="s">
        <v>16</v>
      </c>
      <c r="H28" s="59"/>
      <c r="I28" s="60"/>
      <c r="J28" s="16"/>
      <c r="K28" s="3"/>
      <c r="L28" s="10"/>
    </row>
    <row r="29" spans="1:12" ht="30" customHeight="1" x14ac:dyDescent="0.25">
      <c r="A29" s="35" t="s">
        <v>2</v>
      </c>
      <c r="B29" s="36"/>
      <c r="C29" s="54" t="s">
        <v>17</v>
      </c>
      <c r="D29" s="54"/>
      <c r="E29" s="54"/>
      <c r="F29" s="54"/>
      <c r="G29" s="54" t="s">
        <v>17</v>
      </c>
      <c r="H29" s="54"/>
      <c r="I29" s="41"/>
      <c r="J29" s="16"/>
      <c r="K29" s="3"/>
      <c r="L29" s="10"/>
    </row>
    <row r="30" spans="1:12" ht="30" customHeight="1" x14ac:dyDescent="0.25">
      <c r="A30" s="35" t="s">
        <v>1</v>
      </c>
      <c r="B30" s="58"/>
      <c r="C30" s="59"/>
      <c r="D30" s="59"/>
      <c r="E30" s="59"/>
      <c r="F30" s="59"/>
      <c r="G30" s="59"/>
      <c r="H30" s="59"/>
      <c r="I30" s="60"/>
      <c r="J30" s="16"/>
      <c r="K30" s="3"/>
      <c r="L30" s="10"/>
    </row>
    <row r="31" spans="1:12" ht="30" customHeight="1" x14ac:dyDescent="0.25">
      <c r="A31" s="35" t="s">
        <v>2</v>
      </c>
      <c r="B31" s="44"/>
      <c r="C31" s="57"/>
      <c r="D31" s="57"/>
      <c r="E31" s="57"/>
      <c r="F31" s="57"/>
      <c r="G31" s="57"/>
      <c r="H31" s="57"/>
      <c r="I31" s="45"/>
      <c r="J31" s="16"/>
      <c r="K31" s="27"/>
      <c r="L31" s="49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29" priority="6" stopIfTrue="1">
      <formula>DAY(C3)&gt;8</formula>
    </cfRule>
  </conditionalFormatting>
  <conditionalFormatting sqref="C7:I8">
    <cfRule type="expression" dxfId="28" priority="5" stopIfTrue="1">
      <formula>AND(DAY(C7)&gt;=1,DAY(C7)&lt;=15)</formula>
    </cfRule>
  </conditionalFormatting>
  <conditionalFormatting sqref="C3:I8">
    <cfRule type="expression" dxfId="27" priority="7">
      <formula>VLOOKUP(DAY(C3),Tehtäväpäivät,1,FALSE)=DAY(C3)</formula>
    </cfRule>
  </conditionalFormatting>
  <conditionalFormatting sqref="B13:I13 B15:I15 B17:I17 B19:I19 B21:I21 B23:I23 B25:I25 B27:I27 B29:I29 B31:I31">
    <cfRule type="expression" dxfId="26" priority="4">
      <formula>B13&lt;&gt;""</formula>
    </cfRule>
  </conditionalFormatting>
  <conditionalFormatting sqref="B12:I12 B14:I14 B16:I16 B18:I18 B20:I20 B22:I22 B24:I24 B26:I26 B28:I28 B30:I30">
    <cfRule type="expression" dxfId="25" priority="3">
      <formula>B12&lt;&gt;""</formula>
    </cfRule>
  </conditionalFormatting>
  <conditionalFormatting sqref="B13:I13 B15:I15 B17:I17 B19:I19 B21:I21 B23:I23 B25:I25 B27:I27 B29:I29">
    <cfRule type="expression" dxfId="24" priority="2">
      <formula>COLUMN(B13)&gt;=2</formula>
    </cfRule>
  </conditionalFormatting>
  <conditionalFormatting sqref="B12:I31">
    <cfRule type="expression" dxfId="23" priority="1">
      <formula>COLUMN(B12)&gt;2</formula>
    </cfRule>
  </conditionalFormatting>
  <dataValidations count="13">
    <dataValidation allowBlank="1" showInputMessage="1" showErrorMessage="1" prompt="Anna kurssi tälle riville sarakkeisiin B–I" sqref="B13" xr:uid="{00000000-0002-0000-0800-000000000000}"/>
    <dataValidation allowBlank="1" showInputMessage="1" showErrorMessage="1" prompt="Enter time in this row  from columns B to I" sqref="B12" xr:uid="{00000000-0002-0000-0800-000001000000}"/>
    <dataValidation allowBlank="1" showInputMessage="1" showErrorMessage="1" prompt="Jos tämä rivi sisältää numeron, joka on pienempi kuin edellinen numero tai numeroiden rivi, tämä rivi sisältää seuraavan kalenterikuukauden päivämäärät." sqref="C8" xr:uid="{00000000-0002-0000-0800-000002000000}"/>
    <dataValidation allowBlank="1" showInputMessage="1" showErrorMessage="1" prompt="Jos tässä solussa ei ole numeroa 1, siinä on edellisen kuukauden päivä. Solut C3:I8 sisältävät nykyisen kuukauden päivämäärät." sqref="C3" xr:uid="{00000000-0002-0000-0800-000003000000}"/>
    <dataValidation allowBlank="1" showInputMessage="1" showErrorMessage="1" prompt="Solut C2:I2 sisältävät viikonpäivät" sqref="C2" xr:uid="{00000000-0002-0000-0800-000004000000}"/>
    <dataValidation allowBlank="1" showInputMessage="1" showErrorMessage="1" prompt="Tämän laskentataulukon avulla voit valmistella viikkoaikataulun ja luoda tehtävälistan. Tehtävät korostetaan automaattisesti kuukausikalenterissa vuodelle, joka on annettu solussa B1 tammikuun taulukossa." sqref="A1" xr:uid="{00000000-0002-0000-0800-000005000000}"/>
    <dataValidation allowBlank="1" showInputMessage="1" showErrorMessage="1" prompt="Tämä on automaattisesti päivittyvä kalenterivuosi. Jos haluat vaihtaa vuotta, päivitä tammikuun taulukon solu B1." sqref="B1" xr:uid="{00000000-0002-0000-0800-000006000000}"/>
    <dataValidation allowBlank="1" showInputMessage="1" showErrorMessage="1" prompt="Syyskuun kalenteri korostaa automaattisesti kuukauden tehtävälistamerkinnät. Tummemmat fontit ovat tehtäviä. Vaaleammat fontit ovat päiviä, jotka kuuluvat edelliseen tai seuraavaan kuukauteen." sqref="B2" xr:uid="{00000000-0002-0000-0800-000007000000}"/>
    <dataValidation allowBlank="1" showInputMessage="1" showErrorMessage="1" prompt="Viikonpäivät ryhmitellään tässä sarakkeessa, jossa on kuusi riviä kuukauden kunkin ryhmitellyn viikonpäivän tehtäville. Jos haluat lisätä enemmän tehtäviä, lisää uusia rivejä. Vasemmalla oleva kalenteri korostaa kohteet." sqref="J1" xr:uid="{00000000-0002-0000-0800-000008000000}"/>
    <dataValidation allowBlank="1" showInputMessage="1" showErrorMessage="1" prompt="Anna tehtävän tiedot tähän sarakkeeseen, joka vastaa sarakkeen J viikonpäivää ja päivää sarakkeessa K kalenterikuukaudelle vasemmalta." sqref="L1" xr:uid="{00000000-0002-0000-0800-000009000000}"/>
    <dataValidation allowBlank="1" showInputMessage="1" showErrorMessage="1" prompt="Anna tehtävän kuukauden päivä tähän sarakkeeseen, joka vastaa sarakkeen J viikonpäivää. Tämä päivämäärä korostaa tehtävän vasemmalla olevassa kalenterissa." sqref="K1" xr:uid="{00000000-0002-0000-0800-00000A000000}"/>
    <dataValidation allowBlank="1" showInputMessage="1" showErrorMessage="1" prompt="Viikonpäivät ovat tällä rivillä (maanantaista perjantaihin)." sqref="B11" xr:uid="{00000000-0002-0000-0800-00000B000000}"/>
    <dataValidation allowBlank="1" showInputMessage="1" showErrorMessage="1" prompt="Anna kurssin ajankohta tähän ja sen alle uudelle riville kurssin nimi joka viikonpäivälle sarakkeisiin B–I. Toista tämä kaikille kursseille muillakin riveillä." sqref="B10" xr:uid="{00000000-0002-0000-08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AB00EAF0-7D53-4F2E-A3F0-6ACE8DE5B762}">
  <ds:schemaRefs>
    <ds:schemaRef ds:uri="http://schemas.microsoft.com/sharepoint/v3/contenttype/forms"/>
  </ds:schemaRefs>
</ds:datastoreItem>
</file>

<file path=customXml/itemProps21.xml><?xml version="1.0" encoding="utf-8"?>
<ds:datastoreItem xmlns:ds="http://schemas.openxmlformats.org/officeDocument/2006/customXml" ds:itemID="{E8598FAC-F6FB-41C1-A8B5-3788F9907361}">
  <ds:schemaRefs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22EC134D-EF26-4489-BF4F-D004AB4EA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TM03107663</ap:Template>
  <ap:ScaleCrop>false</ap:ScaleCrop>
  <ap: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61</vt:i4>
      </vt:variant>
    </vt:vector>
  </ap:HeadingPairs>
  <ap:TitlesOfParts>
    <vt:vector baseType="lpstr" size="73">
      <vt:lpstr>Tammi</vt:lpstr>
      <vt:lpstr>Helmi</vt:lpstr>
      <vt:lpstr>Maalis</vt:lpstr>
      <vt:lpstr>Huhti</vt:lpstr>
      <vt:lpstr>Touko</vt:lpstr>
      <vt:lpstr>Kesä</vt:lpstr>
      <vt:lpstr>Heinä</vt:lpstr>
      <vt:lpstr>Elo</vt:lpstr>
      <vt:lpstr>Syys</vt:lpstr>
      <vt:lpstr>Loka</vt:lpstr>
      <vt:lpstr>Marras</vt:lpstr>
      <vt:lpstr>Joulu</vt:lpstr>
      <vt:lpstr>Kalenterivuosi</vt:lpstr>
      <vt:lpstr>Otsikkoalue2..I31.1</vt:lpstr>
      <vt:lpstr>Otsikkoalue2..I31.10</vt:lpstr>
      <vt:lpstr>Otsikkoalue2..I31.11</vt:lpstr>
      <vt:lpstr>Otsikkoalue2..I31.12</vt:lpstr>
      <vt:lpstr>Otsikkoalue2..I31.2</vt:lpstr>
      <vt:lpstr>Otsikkoalue2..I31.3</vt:lpstr>
      <vt:lpstr>Otsikkoalue2..I31.4</vt:lpstr>
      <vt:lpstr>Otsikkoalue2..I31.5</vt:lpstr>
      <vt:lpstr>Otsikkoalue2..I31.6</vt:lpstr>
      <vt:lpstr>Otsikkoalue2..I31.7</vt:lpstr>
      <vt:lpstr>Otsikkoalue2..I31.8</vt:lpstr>
      <vt:lpstr>Otsikkoalue2..I31.9</vt:lpstr>
      <vt:lpstr>Sarakeotsikko1</vt:lpstr>
      <vt:lpstr>Sarakeotsikko10</vt:lpstr>
      <vt:lpstr>Sarakeotsikko11</vt:lpstr>
      <vt:lpstr>Sarakeotsikko12</vt:lpstr>
      <vt:lpstr>Sarakeotsikko2</vt:lpstr>
      <vt:lpstr>Sarakeotsikko3</vt:lpstr>
      <vt:lpstr>Sarakeotsikko4</vt:lpstr>
      <vt:lpstr>Sarakeotsikko5</vt:lpstr>
      <vt:lpstr>Sarakeotsikko6</vt:lpstr>
      <vt:lpstr>Sarakeotsikko7</vt:lpstr>
      <vt:lpstr>Sarakeotsikko8</vt:lpstr>
      <vt:lpstr>Sarakeotsikko9</vt:lpstr>
      <vt:lpstr>Sarakeotsikkoalue1..I8.1</vt:lpstr>
      <vt:lpstr>Sarakeotsikkoalue1..I8.10</vt:lpstr>
      <vt:lpstr>Sarakeotsikkoalue1..I8.11</vt:lpstr>
      <vt:lpstr>Sarakeotsikkoalue1..I8.12</vt:lpstr>
      <vt:lpstr>Sarakeotsikkoalue1..I8.2</vt:lpstr>
      <vt:lpstr>Sarakeotsikkoalue1..I8.3</vt:lpstr>
      <vt:lpstr>Sarakeotsikkoalue1..I8.4</vt:lpstr>
      <vt:lpstr>Sarakeotsikkoalue1..I8.5</vt:lpstr>
      <vt:lpstr>Sarakeotsikkoalue1..I8.6</vt:lpstr>
      <vt:lpstr>Sarakeotsikkoalue1..I8.7</vt:lpstr>
      <vt:lpstr>Sarakeotsikkoalue1..I8.8</vt:lpstr>
      <vt:lpstr>Sarakeotsikkoalue1..I8.9</vt:lpstr>
      <vt:lpstr>Elo!Tehtäväpäivät</vt:lpstr>
      <vt:lpstr>Heinä!Tehtäväpäivät</vt:lpstr>
      <vt:lpstr>Helmi!Tehtäväpäivät</vt:lpstr>
      <vt:lpstr>Huhti!Tehtäväpäivät</vt:lpstr>
      <vt:lpstr>Joulu!Tehtäväpäivät</vt:lpstr>
      <vt:lpstr>Kesä!Tehtäväpäivät</vt:lpstr>
      <vt:lpstr>Loka!Tehtäväpäivät</vt:lpstr>
      <vt:lpstr>Maalis!Tehtäväpäivät</vt:lpstr>
      <vt:lpstr>Marras!Tehtäväpäivät</vt:lpstr>
      <vt:lpstr>Syys!Tehtäväpäivät</vt:lpstr>
      <vt:lpstr>Touko!Tehtäväpäivät</vt:lpstr>
      <vt:lpstr>Tehtäväpäivät</vt:lpstr>
      <vt:lpstr>Elo!Tärkeidenpäivämäärientaulukko</vt:lpstr>
      <vt:lpstr>Heinä!Tärkeidenpäivämäärientaulukko</vt:lpstr>
      <vt:lpstr>Helmi!Tärkeidenpäivämäärientaulukko</vt:lpstr>
      <vt:lpstr>Huhti!Tärkeidenpäivämäärientaulukko</vt:lpstr>
      <vt:lpstr>Joulu!Tärkeidenpäivämäärientaulukko</vt:lpstr>
      <vt:lpstr>Kesä!Tärkeidenpäivämäärientaulukko</vt:lpstr>
      <vt:lpstr>Loka!Tärkeidenpäivämäärientaulukko</vt:lpstr>
      <vt:lpstr>Maalis!Tärkeidenpäivämäärientaulukko</vt:lpstr>
      <vt:lpstr>Marras!Tärkeidenpäivämäärientaulukko</vt:lpstr>
      <vt:lpstr>Syys!Tärkeidenpäivämäärientaulukko</vt:lpstr>
      <vt:lpstr>Touko!Tärkeidenpäivämäärientaulukko</vt:lpstr>
      <vt:lpstr>Tärkeidenpäivämäärientaulukko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2020-07-08T21:07:10Z</dcterms:created>
  <dcterms:modified xsi:type="dcterms:W3CDTF">2020-10-30T08:37:55Z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