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haredStrings.xml" ContentType="application/vnd.openxmlformats-officedocument.spreadsheetml.sharedStrings+xml"/>
  <Override PartName="/xl/worksheets/sheet3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22.xml" ContentType="application/vnd.openxmlformats-officedocument.spreadsheetml.worksheet+xml"/>
  <Override PartName="/xl/tables/table12.xml" ContentType="application/vnd.openxmlformats-officedocument.spreadsheetml.table+xml"/>
  <Override PartName="/xl/drawings/drawing12.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worksheets/sheet13.xml" ContentType="application/vnd.openxmlformats-officedocument.spreadsheetml.worksheet+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customXml/item13.xml" ContentType="application/xml"/>
  <Override PartName="/customXml/itemProps13.xml" ContentType="application/vnd.openxmlformats-officedocument.customXmlProperties+xml"/>
  <Override PartName="/xl/worksheets/sheet44.xml" ContentType="application/vnd.openxmlformats-officedocument.spreadsheetml.worksheet+xml"/>
  <Override PartName="/xl/drawings/drawing33.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codeName="ThisWorkbook" hidePivotFieldList="1" refreshAllConnections="1"/>
  <xr:revisionPtr revIDLastSave="0" documentId="13_ncr:1_{B9C1D888-A84A-4C62-8C01-B3C46C298F2B}" xr6:coauthVersionLast="47" xr6:coauthVersionMax="47" xr10:uidLastSave="{00000000-0000-0000-0000-000000000000}"/>
  <bookViews>
    <workbookView xWindow="-120" yWindow="-120" windowWidth="28920" windowHeight="16065" xr2:uid="{00000000-000D-0000-FFFF-FFFF00000000}"/>
  </bookViews>
  <sheets>
    <sheet name="ALGUS" sheetId="4" r:id="rId1"/>
    <sheet name="PROJEKTI PARAMEETRID" sheetId="1" r:id="rId2"/>
    <sheet name="PROJEKTI ÜKSIKASJAD" sheetId="2" r:id="rId3"/>
    <sheet name="PROJEKTI KOKKUVÕTTED" sheetId="3" r:id="rId4"/>
  </sheets>
  <definedNames>
    <definedName name="_xlnm.Print_Area" localSheetId="1">'PROJEKTI PARAMEETRID'!$A$1:$I$40</definedName>
    <definedName name="_xlnm.Print_Titles" localSheetId="3">'PROJEKTI KOKKUVÕTTED'!$4:$4</definedName>
    <definedName name="_xlnm.Print_Titles" localSheetId="2">'PROJEKTI ÜKSIKASJAD'!$4:$4</definedName>
    <definedName name="ProjektiTüüp">Parameetrid[PROJEKTI TÜÜP]</definedName>
  </definedNames>
  <calcPr calcId="191029"/>
  <pivotCaches>
    <pivotCache cacheId="3"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 l="1"/>
  <c r="B3" i="3"/>
  <c r="B3" i="2" l="1"/>
  <c r="G9" i="2"/>
  <c r="F9" i="2"/>
  <c r="E9" i="2"/>
  <c r="D9" i="2"/>
  <c r="G8" i="2"/>
  <c r="F8" i="2"/>
  <c r="E8" i="2"/>
  <c r="D8" i="2"/>
  <c r="E7" i="2"/>
  <c r="D7" i="2"/>
  <c r="G6" i="2"/>
  <c r="F6" i="2"/>
  <c r="D6" i="2"/>
  <c r="E6" i="2"/>
  <c r="G5" i="2"/>
  <c r="F5" i="2"/>
  <c r="E5" i="2"/>
  <c r="D5" i="2"/>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10" i="2"/>
  <c r="H10" i="2"/>
  <c r="I6" i="1"/>
  <c r="I7" i="1"/>
  <c r="I8" i="1"/>
  <c r="I9" i="1"/>
  <c r="I10" i="1"/>
  <c r="I11" i="1"/>
  <c r="H17" i="1" l="1"/>
  <c r="H19" i="1" s="1"/>
  <c r="F17" i="1"/>
  <c r="F19" i="1" s="1"/>
  <c r="D17" i="1"/>
  <c r="D19" i="1" s="1"/>
  <c r="G17" i="1"/>
  <c r="G19" i="1" s="1"/>
  <c r="E17" i="1"/>
  <c r="E19" i="1" s="1"/>
  <c r="F16" i="1"/>
  <c r="F18" i="1" s="1"/>
  <c r="E16" i="1"/>
  <c r="E18" i="1" s="1"/>
  <c r="C17" i="1"/>
  <c r="C19" i="1" s="1"/>
  <c r="D16" i="1"/>
  <c r="D18" i="1" s="1"/>
  <c r="H16" i="1"/>
  <c r="H18" i="1" s="1"/>
  <c r="C16" i="1"/>
  <c r="C18" i="1" s="1"/>
  <c r="G16" i="1"/>
  <c r="G18" i="1" s="1"/>
  <c r="J10" i="2"/>
  <c r="K10" i="2"/>
</calcChain>
</file>

<file path=xl/sharedStrings.xml><?xml version="1.0" encoding="utf-8"?>
<sst xmlns="http://schemas.openxmlformats.org/spreadsheetml/2006/main" count="92" uniqueCount="66">
  <si>
    <t>TEAVE SELLE MALLI KOHTA</t>
  </si>
  <si>
    <t>Selle ürituse planeerimise jälgimise töövihiku abil saate jälgida projekti parameetreid, projekti üksikasju ja projekti kokkuvõtteid.</t>
  </si>
  <si>
    <t>Sisestage teave töölehele Projekti parameetrid, et värskendada tulpdiagramme, ning töölehele Projekti üksikasjad. Töölehe Projekti kokkuvõtted PivotTable-liigendtabel värskendatakse automaatselt.</t>
  </si>
  <si>
    <t>Sisestage töölehel Parameetrid ettevõtte nimi ja see värskendatakse automaatselt teistel töölehtedel.</t>
  </si>
  <si>
    <t xml:space="preserve">Märkus.  </t>
  </si>
  <si>
    <t>ÜRITUSE PLANEERIMISE JÄLGIMISE töövihiku iga töölehe veerus A on toodud lisajuhised. See tekst on tahtlikult peidetud. Teksti eemaldamiseks valige veerg A ja seejärel käsk KUSTUTA. Teksti kuvamiseks valige veerg A ja muutke seejärel fondi värvi.</t>
  </si>
  <si>
    <t>Töölehtede tabelite kohta lisateabe saamiseks vajutage tabelis tõstuklahvi (Shift) koos klahviga F10, valige suvand TABEL ja seejärel valige käsk ASETEKST.</t>
  </si>
  <si>
    <t>Ettevõtte nimi</t>
  </si>
  <si>
    <t>Ürituse haldamise projekti jälgur</t>
  </si>
  <si>
    <t>Varjustatud lahtrite väärtus arvutatakse teie eest. Te ei pea neisse midagi sisestama.</t>
  </si>
  <si>
    <t>PROJEKTI TÜÜP</t>
  </si>
  <si>
    <t>Ürituse strateegia väljatöötamine</t>
  </si>
  <si>
    <t>Ürituse plaanimine</t>
  </si>
  <si>
    <t>Ürituse kujundus</t>
  </si>
  <si>
    <t>Ürituse logistika</t>
  </si>
  <si>
    <t>Ürituse personal</t>
  </si>
  <si>
    <t>Ürituse hindamine</t>
  </si>
  <si>
    <t>Kombineeritud hinnad</t>
  </si>
  <si>
    <t>KAVANDATUD HIND</t>
  </si>
  <si>
    <t>TEGELIK HIND</t>
  </si>
  <si>
    <t>KAVANDATUD TUNNID</t>
  </si>
  <si>
    <t>TEGELIKUD TUNNID</t>
  </si>
  <si>
    <t>KONTOHALDUR</t>
  </si>
  <si>
    <t>PROJEKTIJUHT</t>
  </si>
  <si>
    <t>STRATEEGIAJUHT</t>
  </si>
  <si>
    <t>KUJUNDUSSPETSIALIST</t>
  </si>
  <si>
    <t>Tulpdiagramm, kus siis lahtris on kujutatud plaanitud ja tegeliku ajakulu võrdlus.</t>
  </si>
  <si>
    <t>ÜRITUSE PERSONAL</t>
  </si>
  <si>
    <t>HALDUSPERSONAL</t>
  </si>
  <si>
    <t>Kokku</t>
  </si>
  <si>
    <t>Sisestage teave parempoolsest lahtrist algavasse tabelisse „Projekti üksikasjad“.
TEAVE
Tabelisse paremale rea lisamiseks valige tabeli sisuosas paremas allnurgas lahter (mitte kokkuvõtterida) ja vajutage seal, kuhu soovite rea lisada tabeldusklahvi (Tab) või klahvikombinatsiooni Shift+F10 ning valige Lisa | Tabeliread üles/alla.
Veenduge, et kõik kasutamata read on kustutatud, kuna PivotTable-liigendtabel PROJEKTI KOKKUVÕTTED kasutab kõiki tabeli lahtreid ning annab vastasel korral vigaseid tulemeid.</t>
  </si>
  <si>
    <t>PROJEKTI NIMI</t>
  </si>
  <si>
    <t>Projekt 1</t>
  </si>
  <si>
    <t>Projekt 2</t>
  </si>
  <si>
    <t>Projekt 3</t>
  </si>
  <si>
    <t>Projekt 4</t>
  </si>
  <si>
    <t>Projekt 5</t>
  </si>
  <si>
    <t>KOKKU</t>
  </si>
  <si>
    <t>HINNANGULINE ALGUSAEG</t>
  </si>
  <si>
    <t>HINNANGULINE LÕPPAEG</t>
  </si>
  <si>
    <t>TEGELIK ALGUSAEG</t>
  </si>
  <si>
    <t>TEGELIK LÕPPAEG</t>
  </si>
  <si>
    <t>HINNANGULINE TÖÖ MAHT</t>
  </si>
  <si>
    <t>TEGELIK TÖÖ MAHT</t>
  </si>
  <si>
    <t>HINNANGULINE KESTUS</t>
  </si>
  <si>
    <t>TEGELIK KESTUS</t>
  </si>
  <si>
    <t xml:space="preserve">KONTOHALDUR </t>
  </si>
  <si>
    <t xml:space="preserve">PROJEKTIJUHT </t>
  </si>
  <si>
    <t xml:space="preserve">STRATEEGIAJUHT </t>
  </si>
  <si>
    <t xml:space="preserve">KUJUNDUSSPETSIALIST </t>
  </si>
  <si>
    <t xml:space="preserve">ÜRITUSE PERSONAL </t>
  </si>
  <si>
    <t xml:space="preserve">HALDUSPERSONAL </t>
  </si>
  <si>
    <t>Parempoolsest lahtrist algavat PivotTable-liigendtabelit värskendatakse automaatselt.
TEAVE
Parempoolse PivotTable-liigendtabeli värskendamiseks valige see (mis tahes lahter PivotTable-liigendtabelis) ja klõpsake siis menüüs PIVOTTABLE-LIIGENDTABELI TÖÖRIISTAD | ANALÜÜS nuppu Värskenda. Samuti võite mõnes PivotTable-liigendtabeli lahtris vajutada klahvikombinatsiooni Shift + F10 ja seejärel valida nupu Värskenda.</t>
  </si>
  <si>
    <t>Üldkokkuvõte</t>
  </si>
  <si>
    <t>KONTOHALDUR HINNANGULINE</t>
  </si>
  <si>
    <t>PROJEKTIJUHT HINNANGULINE</t>
  </si>
  <si>
    <t>STRATEEGIAJUHT HINNANGULINE</t>
  </si>
  <si>
    <t>KUJUNDUSSPETSIALIST HINNANGULINE</t>
  </si>
  <si>
    <t>ÜRITUSE PERSONAL HINNANGULINE</t>
  </si>
  <si>
    <t>HALDUSPERSONAL HINNANGULINE</t>
  </si>
  <si>
    <t>KONTOHALDUR TEGELIK</t>
  </si>
  <si>
    <t>PROJEKTIJUHT TEGELIK</t>
  </si>
  <si>
    <t>STRATEEGIAJUHT TEGELIK</t>
  </si>
  <si>
    <t>KUJUNDUSSPETSIALIST TEGELIK</t>
  </si>
  <si>
    <t>ÜRITUSE PERSONAL TEGELIK</t>
  </si>
  <si>
    <t>HALDUSPERSONAL TEGELIK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</si>
</sst>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 &quot;€&quot;"/>
    <numFmt numFmtId="167" formatCode="#,##0.00\ &quot;€&quot;"/>
  </numFmts>
  <fonts count="31" x14ac:knownFonts="1">
    <font>
      <sz val="10"/>
      <color theme="1" tint="0.24994659260841701"/>
      <name val="Cambria"/>
      <family val="2"/>
      <scheme val="minor"/>
    </font>
    <font>
      <sz val="11"/>
      <color theme="1"/>
      <name val="Cambria"/>
      <family val="2"/>
      <scheme val="minor"/>
    </font>
    <font>
      <sz val="11"/>
      <color theme="1"/>
      <name val="Cambria"/>
      <family val="1"/>
      <scheme val="minor"/>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1"/>
      <color theme="1"/>
      <name val="Cambria"/>
      <family val="1"/>
      <scheme val="minor"/>
    </font>
    <font>
      <i/>
      <sz val="10"/>
      <color theme="1"/>
      <name val="Tahoma"/>
      <family val="2"/>
      <scheme val="major"/>
    </font>
    <font>
      <sz val="10"/>
      <color theme="1"/>
      <name val="Tahoma"/>
      <family val="2"/>
      <scheme val="major"/>
    </font>
    <font>
      <sz val="10"/>
      <color theme="1"/>
      <name val="Tahoma"/>
      <family val="2"/>
      <scheme val="major"/>
    </font>
    <font>
      <sz val="11"/>
      <color theme="0"/>
      <name val="Cambria"/>
      <family val="1"/>
      <scheme val="minor"/>
    </font>
    <font>
      <sz val="16"/>
      <color theme="0"/>
      <name val="Tahoma"/>
      <family val="2"/>
      <scheme val="major"/>
    </font>
    <font>
      <sz val="11"/>
      <color theme="1" tint="0.24994659260841701"/>
      <name val="Cambria"/>
      <family val="1"/>
      <scheme val="minor"/>
    </font>
    <font>
      <b/>
      <sz val="11"/>
      <color theme="1" tint="0.24994659260841701"/>
      <name val="Cambria"/>
      <family val="1"/>
      <scheme val="minor"/>
    </font>
    <font>
      <sz val="10"/>
      <color theme="0"/>
      <name val="Cambria"/>
      <family val="2"/>
      <scheme val="minor"/>
    </font>
    <font>
      <b/>
      <sz val="10"/>
      <name val="Cambria"/>
      <family val="2"/>
      <scheme val="minor"/>
    </font>
    <font>
      <sz val="10"/>
      <color theme="1" tint="0.24994659260841701"/>
      <name val="Cambria"/>
      <family val="2"/>
      <scheme val="minor"/>
    </font>
    <font>
      <sz val="18"/>
      <color theme="3"/>
      <name val="Tahoma"/>
      <family val="2"/>
      <scheme val="major"/>
    </font>
    <font>
      <b/>
      <sz val="11"/>
      <color theme="3"/>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
      <sz val="11"/>
      <color theme="0"/>
      <name val="Cambria"/>
      <family val="2"/>
      <scheme val="minor"/>
    </font>
  </fonts>
  <fills count="36">
    <fill>
      <patternFill patternType="none"/>
    </fill>
    <fill>
      <patternFill patternType="gray125"/>
    </fill>
    <fill>
      <patternFill patternType="solid">
        <fgColor theme="0" tint="-0.14996795556505021"/>
        <bgColor indexed="64"/>
      </patternFill>
    </fill>
    <fill>
      <patternFill patternType="solid">
        <fgColor theme="5" tint="-0.249977111117893"/>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thin">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3" fillId="0" borderId="1" applyNumberFormat="0" applyFill="0" applyAlignment="0" applyProtection="0"/>
    <xf numFmtId="0" fontId="4" fillId="0" borderId="0" applyNumberFormat="0" applyFill="0" applyAlignment="0" applyProtection="0"/>
    <xf numFmtId="0" fontId="5" fillId="0" borderId="0" applyNumberFormat="0" applyFill="0" applyAlignment="0" applyProtection="0"/>
    <xf numFmtId="165" fontId="16" fillId="0" borderId="0" applyFont="0" applyFill="0" applyBorder="0" applyAlignment="0" applyProtection="0"/>
    <xf numFmtId="164"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2" applyNumberFormat="0" applyAlignment="0" applyProtection="0"/>
    <xf numFmtId="0" fontId="23" fillId="9" borderId="3" applyNumberFormat="0" applyAlignment="0" applyProtection="0"/>
    <xf numFmtId="0" fontId="24" fillId="9" borderId="2" applyNumberFormat="0" applyAlignment="0" applyProtection="0"/>
    <xf numFmtId="0" fontId="25" fillId="0" borderId="4" applyNumberFormat="0" applyFill="0" applyAlignment="0" applyProtection="0"/>
    <xf numFmtId="0" fontId="26" fillId="10" borderId="5" applyNumberFormat="0" applyAlignment="0" applyProtection="0"/>
    <xf numFmtId="0" fontId="27" fillId="0" borderId="0" applyNumberFormat="0" applyFill="0" applyBorder="0" applyAlignment="0" applyProtection="0"/>
    <xf numFmtId="0" fontId="16" fillId="11" borderId="6" applyNumberFormat="0" applyFont="0" applyAlignment="0" applyProtection="0"/>
    <xf numFmtId="0" fontId="28" fillId="0" borderId="0" applyNumberFormat="0" applyFill="0" applyBorder="0" applyAlignment="0" applyProtection="0"/>
    <xf numFmtId="0" fontId="29" fillId="0" borderId="7" applyNumberFormat="0" applyFill="0" applyAlignment="0" applyProtection="0"/>
    <xf numFmtId="0" fontId="3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34">
    <xf numFmtId="0" fontId="0" fillId="0" borderId="0" xfId="0"/>
    <xf numFmtId="0" fontId="2" fillId="0" borderId="0" xfId="0" applyFont="1"/>
    <xf numFmtId="0" fontId="3" fillId="0" borderId="1" xfId="1"/>
    <xf numFmtId="0" fontId="4" fillId="0" borderId="0" xfId="2"/>
    <xf numFmtId="0" fontId="5" fillId="0" borderId="0" xfId="3"/>
    <xf numFmtId="0" fontId="6" fillId="0" borderId="0" xfId="0" applyFont="1"/>
    <xf numFmtId="9" fontId="6" fillId="0" borderId="0" xfId="0" applyNumberFormat="1" applyFont="1"/>
    <xf numFmtId="9" fontId="6" fillId="2" borderId="0" xfId="0" applyNumberFormat="1" applyFont="1" applyFill="1"/>
    <xf numFmtId="0" fontId="7" fillId="0" borderId="0" xfId="0" applyFont="1"/>
    <xf numFmtId="0" fontId="0" fillId="0" borderId="0" xfId="0" applyAlignment="1">
      <alignment wrapText="1"/>
    </xf>
    <xf numFmtId="0" fontId="2" fillId="0" borderId="0" xfId="0" applyFont="1" applyAlignment="1">
      <alignment wrapText="1"/>
    </xf>
    <xf numFmtId="0" fontId="10" fillId="0" borderId="0" xfId="0" applyFont="1"/>
    <xf numFmtId="4" fontId="10" fillId="0" borderId="0" xfId="0" applyNumberFormat="1" applyFont="1"/>
    <xf numFmtId="0" fontId="2" fillId="0" borderId="0" xfId="0" applyFont="1" applyAlignment="1">
      <alignment vertical="center"/>
    </xf>
    <xf numFmtId="0" fontId="5" fillId="0" borderId="0" xfId="3" applyAlignment="1">
      <alignment vertical="center"/>
    </xf>
    <xf numFmtId="0" fontId="11" fillId="4" borderId="0" xfId="2" applyFont="1" applyFill="1" applyAlignment="1">
      <alignment horizontal="center"/>
    </xf>
    <xf numFmtId="0" fontId="10" fillId="0" borderId="0" xfId="0" applyFont="1" applyAlignment="1">
      <alignment vertical="center"/>
    </xf>
    <xf numFmtId="0" fontId="12" fillId="0" borderId="0" xfId="0" applyFont="1" applyAlignment="1">
      <alignment vertical="center" wrapText="1"/>
    </xf>
    <xf numFmtId="0" fontId="12" fillId="0" borderId="0" xfId="0" applyFont="1" applyAlignment="1">
      <alignment wrapText="1"/>
    </xf>
    <xf numFmtId="0" fontId="13" fillId="0" borderId="0" xfId="0" applyFont="1" applyAlignment="1">
      <alignment wrapText="1"/>
    </xf>
    <xf numFmtId="0" fontId="10" fillId="0" borderId="0" xfId="0" applyFont="1" applyAlignment="1">
      <alignment wrapText="1"/>
    </xf>
    <xf numFmtId="0" fontId="9" fillId="0" borderId="0" xfId="0" applyFont="1" applyAlignment="1">
      <alignment wrapText="1"/>
    </xf>
    <xf numFmtId="0" fontId="8" fillId="0" borderId="0" xfId="0" applyFont="1" applyAlignment="1">
      <alignment wrapText="1"/>
    </xf>
    <xf numFmtId="14" fontId="0" fillId="0" borderId="0" xfId="0" applyNumberFormat="1"/>
    <xf numFmtId="0" fontId="14" fillId="3" borderId="0" xfId="0" applyFont="1" applyFill="1" applyAlignment="1">
      <alignment wrapText="1"/>
    </xf>
    <xf numFmtId="166" fontId="6" fillId="0" borderId="0" xfId="0" applyNumberFormat="1" applyFont="1"/>
    <xf numFmtId="167" fontId="10" fillId="0" borderId="0" xfId="0" applyNumberFormat="1" applyFont="1"/>
    <xf numFmtId="166" fontId="0" fillId="0" borderId="0" xfId="0" applyNumberFormat="1"/>
    <xf numFmtId="0" fontId="10" fillId="0" borderId="0" xfId="0" applyFont="1" applyAlignment="1">
      <alignment horizontal="center"/>
    </xf>
    <xf numFmtId="0" fontId="0" fillId="0" borderId="0" xfId="0" applyFill="1"/>
    <xf numFmtId="167" fontId="0" fillId="0" borderId="0" xfId="0" applyNumberFormat="1" applyFill="1"/>
    <xf numFmtId="167" fontId="15" fillId="0" borderId="0" xfId="0" applyNumberFormat="1" applyFont="1" applyFill="1"/>
    <xf numFmtId="0" fontId="15" fillId="0" borderId="0" xfId="0" applyFont="1" applyFill="1"/>
    <xf numFmtId="0" fontId="0" fillId="0" borderId="0" xfId="0" applyFill="1" applyAlignment="1">
      <alignment wrapText="1"/>
    </xf>
  </cellXfs>
  <cellStyles count="47">
    <cellStyle name="20% – rõhk1" xfId="24" builtinId="30" customBuiltin="1"/>
    <cellStyle name="20% – rõhk2" xfId="28" builtinId="34" customBuiltin="1"/>
    <cellStyle name="20% – rõhk3" xfId="32" builtinId="38" customBuiltin="1"/>
    <cellStyle name="20% – rõhk4" xfId="36" builtinId="42" customBuiltin="1"/>
    <cellStyle name="20% – rõhk5" xfId="40" builtinId="46" customBuiltin="1"/>
    <cellStyle name="20% – rõhk6" xfId="44" builtinId="50" customBuiltin="1"/>
    <cellStyle name="40% – rõhk1" xfId="25" builtinId="31" customBuiltin="1"/>
    <cellStyle name="40% – rõhk2" xfId="29" builtinId="35" customBuiltin="1"/>
    <cellStyle name="40% – rõhk3" xfId="33" builtinId="39" customBuiltin="1"/>
    <cellStyle name="40% – rõhk4" xfId="37" builtinId="43" customBuiltin="1"/>
    <cellStyle name="40% – rõhk5" xfId="41" builtinId="47" customBuiltin="1"/>
    <cellStyle name="40% – rõhk6" xfId="45" builtinId="51" customBuiltin="1"/>
    <cellStyle name="60% – rõhk1" xfId="26" builtinId="32" customBuiltin="1"/>
    <cellStyle name="60% – rõhk2" xfId="30" builtinId="36" customBuiltin="1"/>
    <cellStyle name="60% – rõhk3" xfId="34" builtinId="40" customBuiltin="1"/>
    <cellStyle name="60% – rõhk4" xfId="38" builtinId="44" customBuiltin="1"/>
    <cellStyle name="60% – rõhk5" xfId="42" builtinId="48" customBuiltin="1"/>
    <cellStyle name="60% – rõhk6" xfId="46" builtinId="52" customBuiltin="1"/>
    <cellStyle name="Arvutus" xfId="16" builtinId="22" customBuiltin="1"/>
    <cellStyle name="Halb" xfId="12" builtinId="27" customBuiltin="1"/>
    <cellStyle name="Hea" xfId="11" builtinId="26" customBuiltin="1"/>
    <cellStyle name="Hoiatuse tekst" xfId="19" builtinId="11" customBuiltin="1"/>
    <cellStyle name="Kokku" xfId="22" builtinId="25" customBuiltin="1"/>
    <cellStyle name="Koma" xfId="4" builtinId="3" customBuiltin="1"/>
    <cellStyle name="Koma [0]" xfId="5" builtinId="6" customBuiltin="1"/>
    <cellStyle name="Kontrolli lahtrit" xfId="18" builtinId="23" customBuiltin="1"/>
    <cellStyle name="Lingitud lahter" xfId="17" builtinId="24" customBuiltin="1"/>
    <cellStyle name="Märkus" xfId="20" builtinId="10" customBuiltin="1"/>
    <cellStyle name="Neutraalne" xfId="13" builtinId="28" customBuiltin="1"/>
    <cellStyle name="Normaallaad" xfId="0" builtinId="0" customBuiltin="1"/>
    <cellStyle name="Pealkiri 1" xfId="1" builtinId="16" customBuiltin="1"/>
    <cellStyle name="Pealkiri 2" xfId="2" builtinId="17" customBuiltin="1"/>
    <cellStyle name="Pealkiri 3" xfId="3" builtinId="18" customBuiltin="1"/>
    <cellStyle name="Pealkiri 4" xfId="10" builtinId="19" customBuiltin="1"/>
    <cellStyle name="Protsent" xfId="8" builtinId="5" customBuiltin="1"/>
    <cellStyle name="Rõhk1" xfId="23" builtinId="29" customBuiltin="1"/>
    <cellStyle name="Rõhk2" xfId="27" builtinId="33" customBuiltin="1"/>
    <cellStyle name="Rõhk3" xfId="31" builtinId="37" customBuiltin="1"/>
    <cellStyle name="Rõhk4" xfId="35" builtinId="41" customBuiltin="1"/>
    <cellStyle name="Rõhk5" xfId="39" builtinId="45" customBuiltin="1"/>
    <cellStyle name="Rõhk6" xfId="43" builtinId="49" customBuiltin="1"/>
    <cellStyle name="Selgitav tekst" xfId="21" builtinId="53" customBuiltin="1"/>
    <cellStyle name="Sisend" xfId="14" builtinId="20" customBuiltin="1"/>
    <cellStyle name="Valuuta" xfId="6" builtinId="4" customBuiltin="1"/>
    <cellStyle name="Valuuta [0]" xfId="7" builtinId="7" customBuiltin="1"/>
    <cellStyle name="Väljund" xfId="15" builtinId="21" customBuiltin="1"/>
    <cellStyle name="Üldpealkiri" xfId="9" builtinId="15" customBuiltin="1"/>
  </cellStyles>
  <dxfs count="135">
    <dxf>
      <fill>
        <patternFill patternType="solid">
          <bgColor theme="0"/>
        </patternFill>
      </fill>
    </dxf>
    <dxf>
      <fill>
        <patternFill patternType="solid">
          <bgColor theme="0"/>
        </patternFill>
      </fill>
    </dxf>
    <dxf>
      <font>
        <b/>
      </font>
    </dxf>
    <dxf>
      <fill>
        <patternFill patternType="none">
          <bgColor auto="1"/>
        </patternFill>
      </fill>
    </dxf>
    <dxf>
      <fill>
        <patternFill patternType="none">
          <bgColor auto="1"/>
        </patternFill>
      </fill>
    </dxf>
    <dxf>
      <fill>
        <patternFill patternType="none">
          <bgColor auto="1"/>
        </patternFill>
      </fill>
    </dxf>
    <dxf>
      <font>
        <b/>
      </font>
    </dxf>
    <dxf>
      <font>
        <b/>
      </font>
    </dxf>
    <dxf>
      <font>
        <color theme="0"/>
      </font>
    </dxf>
    <dxf>
      <font>
        <color theme="0"/>
      </font>
    </dxf>
    <dxf>
      <fill>
        <patternFill patternType="solid">
          <bgColor theme="0"/>
        </patternFill>
      </fill>
    </dxf>
    <dxf>
      <fill>
        <patternFill patternType="solid">
          <bgColor theme="0"/>
        </patternFill>
      </fill>
    </dxf>
    <dxf>
      <font>
        <color theme="1"/>
      </font>
    </dxf>
    <dxf>
      <font>
        <color theme="1"/>
      </font>
    </dxf>
    <dxf>
      <fill>
        <patternFill patternType="none">
          <bgColor auto="1"/>
        </patternFill>
      </fill>
    </dxf>
    <dxf>
      <fill>
        <patternFill patternType="none">
          <bgColor auto="1"/>
        </patternFill>
      </fill>
    </dxf>
    <dxf>
      <fill>
        <patternFill>
          <bgColor auto="1"/>
        </patternFill>
      </fill>
    </dxf>
    <dxf>
      <fill>
        <patternFill>
          <bgColor auto="1"/>
        </patternFill>
      </fill>
    </dxf>
    <dxf>
      <font>
        <color auto="1"/>
      </font>
    </dxf>
    <dxf>
      <font>
        <color auto="1"/>
      </fon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alignment wrapText="1"/>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alignment wrapText="1"/>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font>
        <color auto="1"/>
      </font>
    </dxf>
    <dxf>
      <font>
        <color auto="1"/>
      </font>
    </dxf>
    <dxf>
      <fill>
        <patternFill>
          <bgColor auto="1"/>
        </patternFill>
      </fill>
    </dxf>
    <dxf>
      <fill>
        <patternFill>
          <bgColor auto="1"/>
        </patternFill>
      </fill>
    </dxf>
    <dxf>
      <fill>
        <patternFill patternType="none">
          <bgColor auto="1"/>
        </patternFill>
      </fill>
    </dxf>
    <dxf>
      <fill>
        <patternFill patternType="none">
          <bgColor auto="1"/>
        </patternFill>
      </fill>
    </dxf>
    <dxf>
      <font>
        <color theme="1"/>
      </font>
    </dxf>
    <dxf>
      <font>
        <color theme="1"/>
      </font>
    </dxf>
    <dxf>
      <fill>
        <patternFill patternType="solid">
          <bgColor theme="0"/>
        </patternFill>
      </fill>
    </dxf>
    <dxf>
      <fill>
        <patternFill patternType="solid">
          <bgColor theme="0"/>
        </patternFill>
      </fill>
    </dxf>
    <dxf>
      <font>
        <color theme="0"/>
      </font>
    </dxf>
    <dxf>
      <font>
        <color theme="0"/>
      </font>
    </dxf>
    <dxf>
      <font>
        <b/>
      </font>
    </dxf>
    <dxf>
      <font>
        <b/>
      </font>
    </dxf>
    <dxf>
      <fill>
        <patternFill patternType="none">
          <bgColor auto="1"/>
        </patternFill>
      </fill>
    </dxf>
    <dxf>
      <fill>
        <patternFill patternType="none">
          <bgColor auto="1"/>
        </patternFill>
      </fill>
    </dxf>
    <dxf>
      <fill>
        <patternFill patternType="none">
          <bgColor auto="1"/>
        </patternFill>
      </fill>
    </dxf>
    <dxf>
      <font>
        <b/>
      </font>
    </dxf>
    <dxf>
      <fill>
        <patternFill patternType="solid">
          <bgColor theme="0"/>
        </patternFill>
      </fill>
    </dxf>
    <dxf>
      <fill>
        <patternFill patternType="solid">
          <bgColor theme="0"/>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8"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8"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8"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8"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8"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8"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8"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8"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8"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8"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8"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8"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0" formatCode="General"/>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0" formatCode="General"/>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9" formatCode="dd/mm/yyyy"/>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9" formatCode="dd/mm/yyyy"/>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9" formatCode="dd/mm/yyyy"/>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9" formatCode="dd/mm/yyyy"/>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1"/>
        <name val="Tahoma"/>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
      <border>
        <top style="thin">
          <color theme="5" tint="0.79998168889431442"/>
        </top>
        <bottom style="thin">
          <color theme="5" tint="0.79998168889431442"/>
        </bottom>
      </border>
    </dxf>
    <dxf>
      <border>
        <top style="thin">
          <color theme="5" tint="0.79998168889431442"/>
        </top>
        <bottom style="thin">
          <color theme="5" tint="0.79998168889431442"/>
        </bottom>
      </border>
    </dxf>
    <dxf>
      <fill>
        <patternFill patternType="solid">
          <fgColor theme="5" tint="0.79998168889431442"/>
          <bgColor theme="5" tint="0.79998168889431442"/>
        </patternFill>
      </fill>
      <border>
        <bottom style="thin">
          <color theme="5"/>
        </bottom>
      </border>
    </dxf>
    <dxf>
      <font>
        <color theme="0"/>
      </font>
      <fill>
        <patternFill patternType="solid">
          <fgColor theme="5" tint="0.39997558519241921"/>
          <bgColor theme="5" tint="0.39997558519241921"/>
        </patternFill>
      </fill>
      <border>
        <bottom style="thin">
          <color theme="5" tint="0.79998168889431442"/>
        </bottom>
        <horizontal style="thin">
          <color theme="5" tint="0.39997558519241921"/>
        </horizontal>
      </border>
    </dxf>
    <dxf>
      <border>
        <bottom style="thin">
          <color theme="5" tint="0.59999389629810485"/>
        </bottom>
      </border>
    </dxf>
    <dxf>
      <font>
        <b/>
        <color theme="1"/>
      </font>
      <fill>
        <patternFill patternType="solid">
          <fgColor theme="0" tint="-0.14999847407452621"/>
          <bgColor theme="0" tint="-0.14999847407452621"/>
        </patternFill>
      </fill>
    </dxf>
    <dxf>
      <font>
        <b/>
        <color theme="0"/>
      </font>
      <fill>
        <patternFill patternType="solid">
          <fgColor theme="5" tint="0.39997558519241921"/>
          <bgColor theme="5" tint="0.39997558519241921"/>
        </patternFill>
      </fill>
    </dxf>
    <dxf>
      <font>
        <b/>
        <color theme="0"/>
      </font>
    </dxf>
    <dxf>
      <border>
        <left style="thin">
          <color theme="5" tint="-0.249977111117893"/>
        </left>
        <right style="thin">
          <color theme="5" tint="-0.249977111117893"/>
        </right>
      </border>
    </dxf>
    <dxf>
      <border>
        <top style="thin">
          <color theme="5" tint="-0.249977111117893"/>
        </top>
        <bottom style="thin">
          <color theme="5" tint="-0.249977111117893"/>
        </bottom>
        <horizontal style="thin">
          <color theme="5" tint="-0.249977111117893"/>
        </horizontal>
      </border>
    </dxf>
    <dxf>
      <font>
        <color auto="1"/>
      </font>
      <border>
        <top style="double">
          <color theme="5" tint="-0.249977111117893"/>
        </top>
      </border>
    </dxf>
    <dxf>
      <font>
        <color theme="0"/>
      </font>
      <fill>
        <patternFill patternType="solid">
          <fgColor theme="5" tint="-0.249977111117893"/>
          <bgColor theme="5" tint="-0.249977111117893"/>
        </patternFill>
      </fill>
      <border>
        <horizontal style="thin">
          <color theme="5" tint="-0.249977111117893"/>
        </horizontal>
      </border>
    </dxf>
  </dxfs>
  <tableStyles count="1" defaultTableStyle="TableStyleMedium3" defaultPivotStyle="PivotStyleLight16">
    <tableStyle name="ProjektiJälgimine" table="0" count="12" xr9:uid="{23DA97AA-2C17-4E01-857D-321976E8BB89}">
      <tableStyleElement type="headerRow" dxfId="134"/>
      <tableStyleElement type="totalRow" dxfId="133"/>
      <tableStyleElement type="firstRowStripe" dxfId="132"/>
      <tableStyleElement type="firstColumnStripe" dxfId="131"/>
      <tableStyleElement type="firstHeaderCell" dxfId="130"/>
      <tableStyleElement type="firstSubtotalRow" dxfId="129"/>
      <tableStyleElement type="secondSubtotalRow" dxfId="128"/>
      <tableStyleElement type="firstColumnSubheading" dxfId="127"/>
      <tableStyleElement type="firstRowSubheading" dxfId="126"/>
      <tableStyleElement type="secondRowSubheading" dxfId="125"/>
      <tableStyleElement type="pageFieldLabels" dxfId="124"/>
      <tableStyleElement type="pageFieldValues" dxfId="1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xl/sharedStrings.xml" Id="rId8" /><Relationship Type="http://schemas.openxmlformats.org/officeDocument/2006/relationships/worksheet" Target="/xl/worksheets/sheet31.xml" Id="rId3" /><Relationship Type="http://schemas.openxmlformats.org/officeDocument/2006/relationships/styles" Target="/xl/styles.xml" Id="rId7" /><Relationship Type="http://schemas.openxmlformats.org/officeDocument/2006/relationships/customXml" Target="/customXml/item3.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theme" Target="/xl/theme/theme11.xml" Id="rId6" /><Relationship Type="http://schemas.openxmlformats.org/officeDocument/2006/relationships/customXml" Target="/customXml/item22.xml" Id="rId11" /><Relationship Type="http://schemas.openxmlformats.org/officeDocument/2006/relationships/pivotCacheDefinition" Target="/xl/pivotCache/pivotCacheDefinition11.xml" Id="rId5" /><Relationship Type="http://schemas.openxmlformats.org/officeDocument/2006/relationships/customXml" Target="/customXml/item13.xml" Id="rId10" /><Relationship Type="http://schemas.openxmlformats.org/officeDocument/2006/relationships/worksheet" Target="/xl/worksheets/sheet44.xml" Id="rId4" /><Relationship Type="http://schemas.openxmlformats.org/officeDocument/2006/relationships/calcChain" Target="/xl/calcChain.xml" Id="rId9"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KAVANDATUD JA TEGELIK KULU</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et-EE"/>
        </a:p>
      </c:txPr>
    </c:title>
    <c:autoTitleDeleted val="0"/>
    <c:plotArea>
      <c:layout/>
      <c:barChart>
        <c:barDir val="col"/>
        <c:grouping val="clustered"/>
        <c:varyColors val="0"/>
        <c:ser>
          <c:idx val="0"/>
          <c:order val="0"/>
          <c:tx>
            <c:strRef>
              <c:f>'PROJEKTI PARAMEETRID'!$B$16</c:f>
              <c:strCache>
                <c:ptCount val="1"/>
                <c:pt idx="0">
                  <c:v>KAVANDATUD HIND</c:v>
                </c:pt>
              </c:strCache>
            </c:strRef>
          </c:tx>
          <c:spPr>
            <a:solidFill>
              <a:schemeClr val="accent1"/>
            </a:solidFill>
            <a:ln>
              <a:noFill/>
            </a:ln>
            <a:effectLst/>
          </c:spPr>
          <c:invertIfNegative val="0"/>
          <c:cat>
            <c:strRef>
              <c:f>'PROJEKTI PARAMEETRID'!$C$15:$H$15</c:f>
              <c:strCache>
                <c:ptCount val="6"/>
                <c:pt idx="0">
                  <c:v>KONTOHALDUR</c:v>
                </c:pt>
                <c:pt idx="1">
                  <c:v>PROJEKTIJUHT</c:v>
                </c:pt>
                <c:pt idx="2">
                  <c:v>STRATEEGIAJUHT</c:v>
                </c:pt>
                <c:pt idx="3">
                  <c:v>KUJUNDUSSPETSIALIST</c:v>
                </c:pt>
                <c:pt idx="4">
                  <c:v>ÜRITUSE PERSONAL</c:v>
                </c:pt>
                <c:pt idx="5">
                  <c:v>HALDUSPERSONAL</c:v>
                </c:pt>
              </c:strCache>
            </c:strRef>
          </c:cat>
          <c:val>
            <c:numRef>
              <c:f>'PROJEKTI PARAMEETRID'!$C$16:$H$16</c:f>
              <c:numCache>
                <c:formatCode>#\ ##0.00\ "€"</c:formatCode>
                <c:ptCount val="6"/>
                <c:pt idx="0">
                  <c:v>54000</c:v>
                </c:pt>
                <c:pt idx="1">
                  <c:v>52200</c:v>
                </c:pt>
                <c:pt idx="2">
                  <c:v>24000</c:v>
                </c:pt>
                <c:pt idx="3">
                  <c:v>29000</c:v>
                </c:pt>
                <c:pt idx="4">
                  <c:v>13200</c:v>
                </c:pt>
                <c:pt idx="5">
                  <c:v>9000</c:v>
                </c:pt>
              </c:numCache>
            </c:numRef>
          </c:val>
          <c:extLst>
            <c:ext xmlns:c16="http://schemas.microsoft.com/office/drawing/2014/chart" uri="{C3380CC4-5D6E-409C-BE32-E72D297353CC}">
              <c16:uniqueId val="{00000000-AAD0-4845-B60A-67B25D8A3957}"/>
            </c:ext>
          </c:extLst>
        </c:ser>
        <c:ser>
          <c:idx val="1"/>
          <c:order val="1"/>
          <c:tx>
            <c:strRef>
              <c:f>'PROJEKTI PARAMEETRID'!$B$17</c:f>
              <c:strCache>
                <c:ptCount val="1"/>
                <c:pt idx="0">
                  <c:v>TEGELIK HIND</c:v>
                </c:pt>
              </c:strCache>
            </c:strRef>
          </c:tx>
          <c:spPr>
            <a:solidFill>
              <a:schemeClr val="accent2"/>
            </a:solidFill>
            <a:ln>
              <a:noFill/>
            </a:ln>
            <a:effectLst/>
          </c:spPr>
          <c:invertIfNegative val="0"/>
          <c:cat>
            <c:strRef>
              <c:f>'PROJEKTI PARAMEETRID'!$C$15:$H$15</c:f>
              <c:strCache>
                <c:ptCount val="6"/>
                <c:pt idx="0">
                  <c:v>KONTOHALDUR</c:v>
                </c:pt>
                <c:pt idx="1">
                  <c:v>PROJEKTIJUHT</c:v>
                </c:pt>
                <c:pt idx="2">
                  <c:v>STRATEEGIAJUHT</c:v>
                </c:pt>
                <c:pt idx="3">
                  <c:v>KUJUNDUSSPETSIALIST</c:v>
                </c:pt>
                <c:pt idx="4">
                  <c:v>ÜRITUSE PERSONAL</c:v>
                </c:pt>
                <c:pt idx="5">
                  <c:v>HALDUSPERSONAL</c:v>
                </c:pt>
              </c:strCache>
            </c:strRef>
          </c:cat>
          <c:val>
            <c:numRef>
              <c:f>'PROJEKTI PARAMEETRID'!$C$17:$H$17</c:f>
              <c:numCache>
                <c:formatCode>#\ ##0.00\ "€"</c:formatCode>
                <c:ptCount val="6"/>
                <c:pt idx="0">
                  <c:v>54360</c:v>
                </c:pt>
                <c:pt idx="1">
                  <c:v>51540</c:v>
                </c:pt>
                <c:pt idx="2">
                  <c:v>25650</c:v>
                </c:pt>
                <c:pt idx="3">
                  <c:v>28900</c:v>
                </c:pt>
                <c:pt idx="4">
                  <c:v>13400</c:v>
                </c:pt>
                <c:pt idx="5">
                  <c:v>9060</c:v>
                </c:pt>
              </c:numCache>
            </c:numRef>
          </c:val>
          <c:extLst>
            <c:ext xmlns:c16="http://schemas.microsoft.com/office/drawing/2014/chart" uri="{C3380CC4-5D6E-409C-BE32-E72D297353CC}">
              <c16:uniqueId val="{00000001-AAD0-4845-B60A-67B25D8A3957}"/>
            </c:ext>
          </c:extLst>
        </c:ser>
        <c:dLbls>
          <c:showLegendKey val="0"/>
          <c:showVal val="0"/>
          <c:showCatName val="0"/>
          <c:showSerName val="0"/>
          <c:showPercent val="0"/>
          <c:showBubbleSize val="0"/>
        </c:dLbls>
        <c:gapWidth val="199"/>
        <c:axId val="235542680"/>
        <c:axId val="235555352"/>
      </c:barChart>
      <c:catAx>
        <c:axId val="235542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t-EE"/>
          </a:p>
        </c:txPr>
        <c:crossAx val="235555352"/>
        <c:crosses val="autoZero"/>
        <c:auto val="1"/>
        <c:lblAlgn val="ctr"/>
        <c:lblOffset val="100"/>
        <c:noMultiLvlLbl val="0"/>
      </c:catAx>
      <c:valAx>
        <c:axId val="23555535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 ##0.00\ &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235542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KAVANDATUD JA TEGELIKUD TUNNID</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et-EE"/>
        </a:p>
      </c:txPr>
    </c:title>
    <c:autoTitleDeleted val="0"/>
    <c:plotArea>
      <c:layout/>
      <c:barChart>
        <c:barDir val="col"/>
        <c:grouping val="clustered"/>
        <c:varyColors val="0"/>
        <c:ser>
          <c:idx val="0"/>
          <c:order val="0"/>
          <c:tx>
            <c:strRef>
              <c:f>'PROJEKTI PARAMEETRID'!$B$18</c:f>
              <c:strCache>
                <c:ptCount val="1"/>
                <c:pt idx="0">
                  <c:v>KAVANDATUD TUNNID</c:v>
                </c:pt>
              </c:strCache>
            </c:strRef>
          </c:tx>
          <c:spPr>
            <a:solidFill>
              <a:schemeClr val="accent1"/>
            </a:solidFill>
            <a:ln>
              <a:noFill/>
            </a:ln>
            <a:effectLst/>
          </c:spPr>
          <c:invertIfNegative val="0"/>
          <c:cat>
            <c:strRef>
              <c:f>'PROJEKTI PARAMEETRID'!$C$15:$H$15</c:f>
              <c:strCache>
                <c:ptCount val="6"/>
                <c:pt idx="0">
                  <c:v>KONTOHALDUR</c:v>
                </c:pt>
                <c:pt idx="1">
                  <c:v>PROJEKTIJUHT</c:v>
                </c:pt>
                <c:pt idx="2">
                  <c:v>STRATEEGIAJUHT</c:v>
                </c:pt>
                <c:pt idx="3">
                  <c:v>KUJUNDUSSPETSIALIST</c:v>
                </c:pt>
                <c:pt idx="4">
                  <c:v>ÜRITUSE PERSONAL</c:v>
                </c:pt>
                <c:pt idx="5">
                  <c:v>HALDUSPERSONAL</c:v>
                </c:pt>
              </c:strCache>
            </c:strRef>
          </c:cat>
          <c:val>
            <c:numRef>
              <c:f>'PROJEKTI PARAMEETRID'!$C$18:$H$18</c:f>
              <c:numCache>
                <c:formatCode>#,##0.00</c:formatCode>
                <c:ptCount val="6"/>
                <c:pt idx="0">
                  <c:v>300</c:v>
                </c:pt>
                <c:pt idx="1">
                  <c:v>290</c:v>
                </c:pt>
                <c:pt idx="2">
                  <c:v>133.33333333333334</c:v>
                </c:pt>
                <c:pt idx="3">
                  <c:v>161.11111111111111</c:v>
                </c:pt>
                <c:pt idx="4">
                  <c:v>73.333333333333329</c:v>
                </c:pt>
                <c:pt idx="5">
                  <c:v>50</c:v>
                </c:pt>
              </c:numCache>
            </c:numRef>
          </c:val>
          <c:extLst>
            <c:ext xmlns:c16="http://schemas.microsoft.com/office/drawing/2014/chart" uri="{C3380CC4-5D6E-409C-BE32-E72D297353CC}">
              <c16:uniqueId val="{00000000-A86A-44EC-9CDF-5C3EB0A17C14}"/>
            </c:ext>
          </c:extLst>
        </c:ser>
        <c:ser>
          <c:idx val="1"/>
          <c:order val="1"/>
          <c:tx>
            <c:strRef>
              <c:f>'PROJEKTI PARAMEETRID'!$B$19</c:f>
              <c:strCache>
                <c:ptCount val="1"/>
                <c:pt idx="0">
                  <c:v>TEGELIKUD TUNNID</c:v>
                </c:pt>
              </c:strCache>
            </c:strRef>
          </c:tx>
          <c:spPr>
            <a:solidFill>
              <a:schemeClr val="accent2"/>
            </a:solidFill>
            <a:ln>
              <a:noFill/>
            </a:ln>
            <a:effectLst/>
          </c:spPr>
          <c:invertIfNegative val="0"/>
          <c:cat>
            <c:strRef>
              <c:f>'PROJEKTI PARAMEETRID'!$C$15:$H$15</c:f>
              <c:strCache>
                <c:ptCount val="6"/>
                <c:pt idx="0">
                  <c:v>KONTOHALDUR</c:v>
                </c:pt>
                <c:pt idx="1">
                  <c:v>PROJEKTIJUHT</c:v>
                </c:pt>
                <c:pt idx="2">
                  <c:v>STRATEEGIAJUHT</c:v>
                </c:pt>
                <c:pt idx="3">
                  <c:v>KUJUNDUSSPETSIALIST</c:v>
                </c:pt>
                <c:pt idx="4">
                  <c:v>ÜRITUSE PERSONAL</c:v>
                </c:pt>
                <c:pt idx="5">
                  <c:v>HALDUSPERSONAL</c:v>
                </c:pt>
              </c:strCache>
            </c:strRef>
          </c:cat>
          <c:val>
            <c:numRef>
              <c:f>'PROJEKTI PARAMEETRID'!$C$19:$H$19</c:f>
              <c:numCache>
                <c:formatCode>#,##0.00</c:formatCode>
                <c:ptCount val="6"/>
                <c:pt idx="0">
                  <c:v>302</c:v>
                </c:pt>
                <c:pt idx="1">
                  <c:v>286.33333333333331</c:v>
                </c:pt>
                <c:pt idx="2">
                  <c:v>142.5</c:v>
                </c:pt>
                <c:pt idx="3">
                  <c:v>160.55555555555554</c:v>
                </c:pt>
                <c:pt idx="4">
                  <c:v>74.444444444444443</c:v>
                </c:pt>
                <c:pt idx="5">
                  <c:v>50.333333333333336</c:v>
                </c:pt>
              </c:numCache>
            </c:numRef>
          </c:val>
          <c:extLst>
            <c:ext xmlns:c16="http://schemas.microsoft.com/office/drawing/2014/chart" uri="{C3380CC4-5D6E-409C-BE32-E72D297353CC}">
              <c16:uniqueId val="{00000001-A86A-44EC-9CDF-5C3EB0A17C14}"/>
            </c:ext>
          </c:extLst>
        </c:ser>
        <c:dLbls>
          <c:showLegendKey val="0"/>
          <c:showVal val="0"/>
          <c:showCatName val="0"/>
          <c:showSerName val="0"/>
          <c:showPercent val="0"/>
          <c:showBubbleSize val="0"/>
        </c:dLbls>
        <c:gapWidth val="199"/>
        <c:axId val="235519648"/>
        <c:axId val="235697816"/>
      </c:barChart>
      <c:catAx>
        <c:axId val="23551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t-EE"/>
          </a:p>
        </c:txPr>
        <c:crossAx val="235697816"/>
        <c:crosses val="autoZero"/>
        <c:auto val="1"/>
        <c:lblAlgn val="ctr"/>
        <c:lblOffset val="100"/>
        <c:noMultiLvlLbl val="0"/>
      </c:catAx>
      <c:valAx>
        <c:axId val="23569781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2355196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2.xml.rels>&#65279;<?xml version="1.0" encoding="utf-8"?><Relationships xmlns="http://schemas.openxmlformats.org/package/2006/relationships"><Relationship Type="http://schemas.openxmlformats.org/officeDocument/2006/relationships/chart" Target="/xl/charts/chart21.xml" Id="rId2" /><Relationship Type="http://schemas.openxmlformats.org/officeDocument/2006/relationships/chart" Target="/xl/charts/chart12.xml" Id="rId1" /></Relationships>
</file>

<file path=xl/drawings/drawing12.xml><?xml version="1.0" encoding="utf-8"?>
<xdr:wsDr xmlns:xdr="http://schemas.openxmlformats.org/drawingml/2006/spreadsheetDrawing" xmlns:a="http://schemas.openxmlformats.org/drawingml/2006/main">
  <xdr:twoCellAnchor editAs="oneCell">
    <xdr:from>
      <xdr:col>0</xdr:col>
      <xdr:colOff>114299</xdr:colOff>
      <xdr:row>12</xdr:row>
      <xdr:rowOff>180974</xdr:rowOff>
    </xdr:from>
    <xdr:to>
      <xdr:col>4</xdr:col>
      <xdr:colOff>295275</xdr:colOff>
      <xdr:row>39</xdr:row>
      <xdr:rowOff>76200</xdr:rowOff>
    </xdr:to>
    <xdr:graphicFrame macro="">
      <xdr:nvGraphicFramePr>
        <xdr:cNvPr id="7" name="Diagramm 6" descr="Tulpdiagramm, kus on kujutatud plaanitud ja tegeliku kulu võrdlus.">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380999</xdr:colOff>
      <xdr:row>12</xdr:row>
      <xdr:rowOff>180974</xdr:rowOff>
    </xdr:from>
    <xdr:to>
      <xdr:col>8</xdr:col>
      <xdr:colOff>514349</xdr:colOff>
      <xdr:row>39</xdr:row>
      <xdr:rowOff>76200</xdr:rowOff>
    </xdr:to>
    <xdr:graphicFrame macro="">
      <xdr:nvGraphicFramePr>
        <xdr:cNvPr id="8" name="Diagramm 7" descr="Tulpdiagramm, kus on kujutatud plaanitud ja tegeliku ajakulu võrdlus">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0</xdr:colOff>
      <xdr:row>3</xdr:row>
      <xdr:rowOff>0</xdr:rowOff>
    </xdr:from>
    <xdr:to>
      <xdr:col>28</xdr:col>
      <xdr:colOff>590550</xdr:colOff>
      <xdr:row>19</xdr:row>
      <xdr:rowOff>161925</xdr:rowOff>
    </xdr:to>
    <xdr:sp macro="" textlink="">
      <xdr:nvSpPr>
        <xdr:cNvPr id="2" name="Ristkülik 1" descr="TEAVE&#10;&#10;Rea lisamiseks valige tabeli sisuosas paremas allnurgas lahter (mitte kokkuvõtterida) ja vajutage tabeldusklahvi (Tab) või paremklõpsake klahvi F10 seal, kuhu soovite rea lisada ning valige Lisa | Tabeliread üles/alla.&#10;&#10;Veenduge, et kõik kasutamata read on kustutatud, kuna PivotTable-liigendtabel PROJEKTI KOKKUVÕTTED kasutab kõiki tabeli lahtreid ning annab vastasel korral vigaseid tulemeid.&#10;&#10;Selle näpunäite kustutamiseks valige mõni serv ja vajutage kustutusklahvi (Delete).&#10;">
          <a:extLst>
            <a:ext uri="{FF2B5EF4-FFF2-40B4-BE49-F238E27FC236}">
              <a16:creationId xmlns:a16="http://schemas.microsoft.com/office/drawing/2014/main" id="{00000000-0008-0000-0100-000002000000}"/>
            </a:ext>
          </a:extLst>
        </xdr:cNvPr>
        <xdr:cNvSpPr/>
      </xdr:nvSpPr>
      <xdr:spPr>
        <a:xfrm>
          <a:off x="11249025" y="1066800"/>
          <a:ext cx="3028950" cy="3200400"/>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et" sz="1800">
              <a:solidFill>
                <a:schemeClr val="tx1">
                  <a:lumMod val="65000"/>
                  <a:lumOff val="35000"/>
                </a:schemeClr>
              </a:solidFill>
              <a:latin typeface="+mj-lt"/>
            </a:rPr>
            <a:t>TEAVE</a:t>
          </a:r>
        </a:p>
        <a:p>
          <a:pPr algn="l" rtl="0"/>
          <a:endParaRPr lang="en-US" sz="1100">
            <a:solidFill>
              <a:schemeClr val="tx1">
                <a:lumMod val="65000"/>
                <a:lumOff val="35000"/>
              </a:schemeClr>
            </a:solidFill>
          </a:endParaRPr>
        </a:p>
        <a:p>
          <a:pPr algn="l" rtl="0"/>
          <a:r>
            <a:rPr lang="et" sz="1100">
              <a:solidFill>
                <a:schemeClr val="tx1">
                  <a:lumMod val="65000"/>
                  <a:lumOff val="35000"/>
                </a:schemeClr>
              </a:solidFill>
            </a:rPr>
            <a:t>Rea lisamiseks valige</a:t>
          </a:r>
          <a:r>
            <a:rPr lang="et" sz="1100" baseline="0">
              <a:solidFill>
                <a:schemeClr val="tx1">
                  <a:lumMod val="65000"/>
                  <a:lumOff val="35000"/>
                </a:schemeClr>
              </a:solidFill>
            </a:rPr>
            <a:t> tabeli sisuosas paremas allnurgas lahter (mitte kokkuvõtterida) ja vajutage tabeldusklahvi (Tab) või paremklõpsake klahvi F10 seal, kuhu soovite rea lisada ning valige Lisa | Tabeliread üles/alla.</a:t>
          </a:r>
        </a:p>
        <a:p>
          <a:pPr algn="l" rtl="0"/>
          <a:endParaRPr lang="en-US" sz="1100" baseline="0">
            <a:solidFill>
              <a:schemeClr val="tx1">
                <a:lumMod val="65000"/>
                <a:lumOff val="35000"/>
              </a:schemeClr>
            </a:solidFill>
          </a:endParaRPr>
        </a:p>
        <a:p>
          <a:pPr algn="l" rtl="0"/>
          <a:r>
            <a:rPr lang="et" sz="1100" baseline="0">
              <a:solidFill>
                <a:schemeClr val="tx1">
                  <a:lumMod val="65000"/>
                  <a:lumOff val="35000"/>
                </a:schemeClr>
              </a:solidFill>
            </a:rPr>
            <a:t>Veenduge, et kõik kasutamata read on kustutatud, kuna PivotTable-liigendtabel PROJEKTI KOKKUVÕTTED kasutab kõiki tabeli lahtreid ning annab vastasel korral vigaseid tulemeid.</a:t>
          </a:r>
        </a:p>
        <a:p>
          <a:pPr algn="l" rtl="0"/>
          <a:endParaRPr lang="en-US" sz="1100" baseline="0">
            <a:solidFill>
              <a:schemeClr val="tx1">
                <a:lumMod val="65000"/>
                <a:lumOff val="35000"/>
              </a:schemeClr>
            </a:solidFill>
          </a:endParaRPr>
        </a:p>
        <a:p>
          <a:pPr algn="l" rtl="0"/>
          <a:r>
            <a:rPr lang="et" sz="1100" baseline="0">
              <a:solidFill>
                <a:schemeClr val="tx1">
                  <a:lumMod val="65000"/>
                  <a:lumOff val="35000"/>
                </a:schemeClr>
              </a:solidFill>
            </a:rPr>
            <a:t>Selle näpunäite kustutamiseks valige mõni serv ja vajutage kustutusklahvi (Delete).</a:t>
          </a:r>
          <a:endParaRPr lang="en-US" sz="1100">
            <a:solidFill>
              <a:schemeClr val="tx1">
                <a:lumMod val="65000"/>
                <a:lumOff val="35000"/>
              </a:schemeClr>
            </a:solidFill>
          </a:endParaRP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590550</xdr:colOff>
      <xdr:row>16</xdr:row>
      <xdr:rowOff>90805</xdr:rowOff>
    </xdr:to>
    <xdr:sp macro="" textlink="">
      <xdr:nvSpPr>
        <xdr:cNvPr id="2" name="Ristkülik 1" descr="TEAVE&#10;&#10;Seda PivotTable-liigendtabelit ei värskendata automaatselt.  Värskendamiseks valige see (mis tahes PivotTable-liigendtabeli lahter) ja valige lindi menüüs PIVOTTABLE-LIIGENDTABELI TÖÖRIISTAD | ANALÜÜS klõpsake Värskenda.  Või paremklõpsake PivotTable-liigendtabelis suvalist lahtrit ja valige käsk Värskenda.&#10;&#10;Selle näpunäite kustutamiseks valige mõni serv ja vajutage kustutusklahvi (Delete).&#10;">
          <a:extLst>
            <a:ext uri="{FF2B5EF4-FFF2-40B4-BE49-F238E27FC236}">
              <a16:creationId xmlns:a16="http://schemas.microsoft.com/office/drawing/2014/main" id="{00000000-0008-0000-0200-000002000000}"/>
            </a:ext>
          </a:extLst>
        </xdr:cNvPr>
        <xdr:cNvSpPr/>
      </xdr:nvSpPr>
      <xdr:spPr>
        <a:xfrm>
          <a:off x="11953875" y="1066800"/>
          <a:ext cx="3028950" cy="224790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et" sz="1800">
              <a:solidFill>
                <a:schemeClr val="tx1">
                  <a:lumMod val="65000"/>
                  <a:lumOff val="35000"/>
                </a:schemeClr>
              </a:solidFill>
              <a:latin typeface="+mj-lt"/>
            </a:rPr>
            <a:t>TEAVE</a:t>
          </a:r>
        </a:p>
        <a:p>
          <a:pPr algn="l" rtl="0"/>
          <a:endParaRPr lang="en-US" sz="1100">
            <a:solidFill>
              <a:schemeClr val="tx1">
                <a:lumMod val="65000"/>
                <a:lumOff val="35000"/>
              </a:schemeClr>
            </a:solidFill>
          </a:endParaRPr>
        </a:p>
        <a:p>
          <a:pPr algn="l" rtl="0"/>
          <a:r>
            <a:rPr lang="et" sz="1100">
              <a:solidFill>
                <a:schemeClr val="tx1">
                  <a:lumMod val="65000"/>
                  <a:lumOff val="35000"/>
                </a:schemeClr>
              </a:solidFill>
            </a:rPr>
            <a:t>Seda PivotTable-liigendtabelit ei värskendata automaatselt.  Värskendamiseks valige</a:t>
          </a:r>
          <a:r>
            <a:rPr lang="et" sz="1100" baseline="0">
              <a:solidFill>
                <a:schemeClr val="tx1">
                  <a:lumMod val="65000"/>
                  <a:lumOff val="35000"/>
                </a:schemeClr>
              </a:solidFill>
            </a:rPr>
            <a:t> see (mis tahes PivotTable-liigendtabeli lahter) ja valige lindi menüüs PIVOTTABLE-LIIGENDTABELI TÖÖRIISTAD | ANALÜÜS klõpsake Värskenda.  Või paremklõpsake PivotTable-liigendtabelis suvalist lahtrit ja valige käsk Värskenda.</a:t>
          </a:r>
        </a:p>
        <a:p>
          <a:pPr algn="l" rtl="0"/>
          <a:endParaRPr lang="en-US" sz="1100" baseline="0">
            <a:solidFill>
              <a:schemeClr val="tx1">
                <a:lumMod val="65000"/>
                <a:lumOff val="35000"/>
              </a:schemeClr>
            </a:solidFill>
          </a:endParaRPr>
        </a:p>
        <a:p>
          <a:pPr algn="l" rtl="0"/>
          <a:r>
            <a:rPr lang="et" sz="1100" baseline="0">
              <a:solidFill>
                <a:schemeClr val="tx1">
                  <a:lumMod val="65000"/>
                  <a:lumOff val="35000"/>
                </a:schemeClr>
              </a:solidFill>
            </a:rPr>
            <a:t>Selle näpunäite kustutamiseks valige mõni serv ja vajutage kustutusklahvi (Delete).</a:t>
          </a:r>
          <a:endParaRPr lang="en-US" sz="1100">
            <a:solidFill>
              <a:schemeClr val="tx1">
                <a:lumMod val="65000"/>
                <a:lumOff val="35000"/>
              </a:schemeClr>
            </a:solidFill>
          </a:endParaRPr>
        </a:p>
      </xdr:txBody>
    </xdr:sp>
    <xdr:clientData fPrintsWithSheet="0"/>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670.733267013886" createdVersion="5" refreshedVersion="7" minRefreshableVersion="3" recordCount="5" xr:uid="{00000000-000A-0000-FFFF-FFFF00000000}">
  <cacheSource type="worksheet">
    <worksheetSource name="ProjektiÜksikasjad"/>
  </cacheSource>
  <cacheFields count="22">
    <cacheField name="PROJEKTI NIMI" numFmtId="0">
      <sharedItems count="5">
        <s v="Projekt 1"/>
        <s v="Projekt 2"/>
        <s v="Projekt 3"/>
        <s v="Projekt 4"/>
        <s v="Projekt 5"/>
      </sharedItems>
    </cacheField>
    <cacheField name="PROJEKTI TÜÜP" numFmtId="0">
      <sharedItems/>
    </cacheField>
    <cacheField name="HINNANGULINE ALGUSAEG" numFmtId="14">
      <sharedItems containsSemiMixedTypes="0" containsNonDate="0" containsDate="1" containsString="0" minDate="2022-06-09T00:00:00" maxDate="2026-08-12T00:00:00"/>
    </cacheField>
    <cacheField name="HINNANGULINE LÕPPAEG" numFmtId="14">
      <sharedItems containsSemiMixedTypes="0" containsNonDate="0" containsDate="1" containsString="0" minDate="2022-08-07T00:00:00" maxDate="2026-08-22T00:00:00"/>
    </cacheField>
    <cacheField name="TEGELIK ALGUSAEG" numFmtId="14">
      <sharedItems containsSemiMixedTypes="0" containsNonDate="0" containsDate="1" containsString="0" minDate="2022-06-29T00:00:00" maxDate="2026-09-15T00:00:00"/>
    </cacheField>
    <cacheField name="TEGELIK LÕPPAEG" numFmtId="14">
      <sharedItems containsSemiMixedTypes="0" containsNonDate="0" containsDate="1" containsString="0" minDate="2022-09-03T00:00:00" maxDate="2026-09-26T00:00:00"/>
    </cacheField>
    <cacheField name="HINNANGULINE TÖÖ MAHT" numFmtId="0">
      <sharedItems containsSemiMixedTypes="0" containsString="0" containsNumber="1" containsInteger="1" minValue="150" maxValue="500"/>
    </cacheField>
    <cacheField name="TEGELIK TÖÖ MAHT" numFmtId="0">
      <sharedItems containsSemiMixedTypes="0" containsString="0" containsNumber="1" containsInteger="1" minValue="145" maxValue="500"/>
    </cacheField>
    <cacheField name="HINNANGULINE KESTUS" numFmtId="0">
      <sharedItems containsSemiMixedTypes="0" containsString="0" containsNumber="1" containsInteger="1" minValue="10" maxValue="67"/>
    </cacheField>
    <cacheField name="TEGELIK KESTUS" numFmtId="0">
      <sharedItems containsSemiMixedTypes="0" containsString="0" containsNumber="1" containsInteger="1" minValue="11" maxValue="400"/>
    </cacheField>
    <cacheField name="KONTOHALDUR" numFmtId="166">
      <sharedItems containsSemiMixedTypes="0" containsString="0" containsNumber="1" containsInteger="1" minValue="5400" maxValue="18000"/>
    </cacheField>
    <cacheField name="PROJEKTIJUHT" numFmtId="166">
      <sharedItems containsSemiMixedTypes="0" containsString="0" containsNumber="1" containsInteger="1" minValue="2400" maxValue="24000"/>
    </cacheField>
    <cacheField name="STRATEEGIAJUHT" numFmtId="166">
      <sharedItems containsSemiMixedTypes="0" containsString="0" containsNumber="1" containsInteger="1" minValue="0" maxValue="18000"/>
    </cacheField>
    <cacheField name="KUJUNDUSSPETSIALIST" numFmtId="166">
      <sharedItems containsSemiMixedTypes="0" containsString="0" containsNumber="1" containsInteger="1" minValue="0" maxValue="25000"/>
    </cacheField>
    <cacheField name="ÜRITUSE PERSONAL" numFmtId="166">
      <sharedItems containsSemiMixedTypes="0" containsString="0" containsNumber="1" containsInteger="1" minValue="0" maxValue="12000"/>
    </cacheField>
    <cacheField name="HALDUSPERSONAL" numFmtId="166">
      <sharedItems containsSemiMixedTypes="0" containsString="0" containsNumber="1" containsInteger="1" minValue="900" maxValue="3000"/>
    </cacheField>
    <cacheField name="KONTOHALDUR " numFmtId="166">
      <sharedItems containsSemiMixedTypes="0" containsString="0" containsNumber="1" containsInteger="1" minValue="5220" maxValue="18000"/>
    </cacheField>
    <cacheField name="PROJEKTIJUHT " numFmtId="166">
      <sharedItems containsSemiMixedTypes="0" containsString="0" containsNumber="1" containsInteger="1" minValue="2640" maxValue="23400"/>
    </cacheField>
    <cacheField name="STRATEEGIAJUHT " numFmtId="166">
      <sharedItems containsSemiMixedTypes="0" containsString="0" containsNumber="1" containsInteger="1" minValue="0" maxValue="19800"/>
    </cacheField>
    <cacheField name="KUJUNDUSSPETSIALIST " numFmtId="166">
      <sharedItems containsSemiMixedTypes="0" containsString="0" containsNumber="1" containsInteger="1" minValue="0" maxValue="25000"/>
    </cacheField>
    <cacheField name="ÜRITUSE PERSONAL " numFmtId="166">
      <sharedItems containsSemiMixedTypes="0" containsString="0" containsNumber="1" containsInteger="1" minValue="0" maxValue="12240"/>
    </cacheField>
    <cacheField name="HALDUSPERSONAL " numFmtId="166">
      <sharedItems containsSemiMixedTypes="0" containsString="0" containsNumber="1" containsInteger="1" minValue="870" maxValue="300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Ürituse strateegia väljatöötamine"/>
    <d v="2022-06-09T00:00:00"/>
    <d v="2022-08-07T00:00:00"/>
    <d v="2022-06-29T00:00:00"/>
    <d v="2022-09-03T00:00:00"/>
    <n v="200"/>
    <n v="220"/>
    <n v="58"/>
    <n v="64"/>
    <n v="7200"/>
    <n v="2400"/>
    <n v="18000"/>
    <n v="0"/>
    <n v="0"/>
    <n v="1200"/>
    <n v="7920"/>
    <n v="2640"/>
    <n v="19800"/>
    <n v="0"/>
    <n v="0"/>
    <n v="1320"/>
  </r>
  <r>
    <x v="1"/>
    <s v="Ürituse plaanimine"/>
    <d v="2023-06-25T00:00:00"/>
    <d v="2023-07-27T00:00:00"/>
    <d v="2022-07-15T00:00:00"/>
    <d v="2023-08-25T00:00:00"/>
    <n v="400"/>
    <n v="390"/>
    <n v="32"/>
    <n v="400"/>
    <n v="14400"/>
    <n v="24000"/>
    <n v="6000"/>
    <n v="4000"/>
    <n v="0"/>
    <n v="2400"/>
    <n v="14040"/>
    <n v="23400"/>
    <n v="5850"/>
    <n v="3900"/>
    <n v="0"/>
    <n v="2340"/>
  </r>
  <r>
    <x v="2"/>
    <s v="Ürituse kujundus"/>
    <d v="2024-07-12T00:00:00"/>
    <d v="2024-09-19T00:00:00"/>
    <d v="2025-08-07T00:00:00"/>
    <d v="2025-10-10T00:00:00"/>
    <n v="500"/>
    <n v="500"/>
    <n v="67"/>
    <n v="63"/>
    <n v="18000"/>
    <n v="12000"/>
    <n v="0"/>
    <n v="25000"/>
    <n v="0"/>
    <n v="3000"/>
    <n v="18000"/>
    <n v="12000"/>
    <n v="0"/>
    <n v="25000"/>
    <n v="0"/>
    <n v="3000"/>
  </r>
  <r>
    <x v="3"/>
    <s v="Ürituse logistika"/>
    <d v="2025-07-30T00:00:00"/>
    <d v="2025-09-28T00:00:00"/>
    <d v="2025-09-14T00:00:00"/>
    <d v="2025-11-13T00:00:00"/>
    <n v="150"/>
    <n v="145"/>
    <n v="58"/>
    <n v="59"/>
    <n v="5400"/>
    <n v="10800"/>
    <n v="0"/>
    <n v="0"/>
    <n v="1200"/>
    <n v="900"/>
    <n v="5220"/>
    <n v="10440"/>
    <n v="0"/>
    <n v="0"/>
    <n v="1160"/>
    <n v="870"/>
  </r>
  <r>
    <x v="4"/>
    <s v="Ürituse personal"/>
    <d v="2026-08-11T00:00:00"/>
    <d v="2026-08-21T00:00:00"/>
    <d v="2026-09-14T00:00:00"/>
    <d v="2026-09-25T00:00:00"/>
    <n v="250"/>
    <n v="255"/>
    <n v="10"/>
    <n v="11"/>
    <n v="9000"/>
    <n v="3000"/>
    <n v="0"/>
    <n v="0"/>
    <n v="12000"/>
    <n v="1500"/>
    <n v="9180"/>
    <n v="3060"/>
    <n v="0"/>
    <n v="0"/>
    <n v="12240"/>
    <n v="153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Kogusummad" cacheId="3" applyNumberFormats="0" applyBorderFormats="0" applyFontFormats="0" applyPatternFormats="0" applyAlignmentFormats="0" applyWidthHeightFormats="1" dataCaption="Values" updatedVersion="7" minRefreshableVersion="3" useAutoFormatting="1" itemPrintTitles="1" createdVersion="5" indent="0" compact="0" compactData="0" multipleFieldFilters="0" chartFormat="4">
  <location ref="B4:N10" firstHeaderRow="0" firstDataRow="1" firstDataCol="1"/>
  <pivotFields count="22">
    <pivotField axis="axisRow" compact="0" outline="0" showAll="0">
      <items count="6">
        <item x="0"/>
        <item x="1"/>
        <item x="2"/>
        <item x="3"/>
        <item x="4"/>
        <item t="default"/>
      </items>
    </pivotField>
    <pivotField compact="0" outline="0" showAll="0"/>
    <pivotField compact="0" numFmtId="14" outline="0" showAll="0"/>
    <pivotField compact="0" numFmtId="14" outline="0" showAll="0"/>
    <pivotField compact="0" numFmtId="14" outline="0" showAll="0"/>
    <pivotField compact="0" numFmtId="14" outline="0" showAll="0"/>
    <pivotField compact="0" outline="0" showAll="0"/>
    <pivotField compact="0" outline="0" showAll="0"/>
    <pivotField compact="0" outline="0" showAll="0"/>
    <pivotField compact="0"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KONTOHALDUR HINNANGULINE" fld="10" baseField="0" baseItem="2" numFmtId="167"/>
    <dataField name="PROJEKTIJUHT HINNANGULINE" fld="11" baseField="0" baseItem="2" numFmtId="167"/>
    <dataField name="STRATEEGIAJUHT HINNANGULINE" fld="12" baseField="0" baseItem="2" numFmtId="167"/>
    <dataField name="KUJUNDUSSPETSIALIST HINNANGULINE" fld="13" baseField="0" baseItem="2" numFmtId="167"/>
    <dataField name="ÜRITUSE PERSONAL HINNANGULINE" fld="14" baseField="0" baseItem="0" numFmtId="167"/>
    <dataField name="HALDUSPERSONAL HINNANGULINE" fld="15" baseField="0" baseItem="0" numFmtId="167"/>
    <dataField name="KONTOHALDUR TEGELIK" fld="16" baseField="0" baseItem="2" numFmtId="167"/>
    <dataField name="PROJEKTIJUHT TEGELIK" fld="17" baseField="0" baseItem="2" numFmtId="167"/>
    <dataField name="STRATEEGIAJUHT TEGELIK" fld="18" baseField="0" baseItem="2" numFmtId="167"/>
    <dataField name="KUJUNDUSSPETSIALIST TEGELIK" fld="19" baseField="0" baseItem="2" numFmtId="167"/>
    <dataField name="ÜRITUSE PERSONAL TEGELIK" fld="20" baseField="0" baseItem="2" numFmtId="167"/>
    <dataField name="HALDUSPERSONAL TEGELIK" fld="21" baseField="0" baseItem="2" numFmtId="167"/>
  </dataFields>
  <formats count="33">
    <format dxfId="65">
      <pivotArea grandRow="1" outline="0" collapsedLevelsAreSubtotals="1" fieldPosition="0"/>
    </format>
    <format dxfId="64">
      <pivotArea dataOnly="0" labelOnly="1" grandRow="1" outline="0" fieldPosition="0"/>
    </format>
    <format dxfId="63">
      <pivotArea dataOnly="0" labelOnly="1" grandRow="1" outline="0" fieldPosition="0"/>
    </format>
    <format dxfId="62">
      <pivotArea type="all" dataOnly="0" outline="0" fieldPosition="0"/>
    </format>
    <format dxfId="61">
      <pivotArea outline="0" collapsedLevelsAreSubtotals="1" fieldPosition="0"/>
    </format>
    <format dxfId="60">
      <pivotArea dataOnly="0" labelOnly="1" grandRow="1" outline="0" fieldPosition="0"/>
    </format>
    <format dxfId="59">
      <pivotArea grandRow="1" outline="0" collapsedLevelsAreSubtotals="1" fieldPosition="0"/>
    </format>
    <format dxfId="58">
      <pivotArea dataOnly="0" labelOnly="1" grandRow="1" outline="0" fieldPosition="0"/>
    </format>
    <format dxfId="57">
      <pivotArea grandRow="1" outline="0" collapsedLevelsAreSubtotals="1" fieldPosition="0"/>
    </format>
    <format dxfId="56">
      <pivotArea dataOnly="0" labelOnly="1" grandRow="1" outline="0" fieldPosition="0"/>
    </format>
    <format dxfId="55">
      <pivotArea grandRow="1" outline="0" collapsedLevelsAreSubtotals="1" fieldPosition="0"/>
    </format>
    <format dxfId="54">
      <pivotArea dataOnly="0" labelOnly="1" grandRow="1" outline="0" fieldPosition="0"/>
    </format>
    <format dxfId="53">
      <pivotArea grandRow="1" outline="0" collapsedLevelsAreSubtotals="1" fieldPosition="0"/>
    </format>
    <format dxfId="52">
      <pivotArea dataOnly="0" labelOnly="1" grandRow="1" outline="0" fieldPosition="0"/>
    </format>
    <format dxfId="51">
      <pivotArea grandRow="1" outline="0" collapsedLevelsAreSubtotals="1" fieldPosition="0"/>
    </format>
    <format dxfId="50">
      <pivotArea dataOnly="0" labelOnly="1" grandRow="1" outline="0" fieldPosition="0"/>
    </format>
    <format dxfId="49">
      <pivotArea grandRow="1" outline="0" collapsedLevelsAreSubtotals="1" fieldPosition="0"/>
    </format>
    <format dxfId="48">
      <pivotArea dataOnly="0" labelOnly="1" grandRow="1" outline="0" fieldPosition="0"/>
    </format>
    <format dxfId="47">
      <pivotArea grandRow="1" outline="0" collapsedLevelsAreSubtotals="1" fieldPosition="0"/>
    </format>
    <format dxfId="46">
      <pivotArea dataOnly="0" labelOnly="1" grandRow="1" outline="0" fieldPosition="0"/>
    </format>
    <format dxfId="45">
      <pivotArea outline="0" fieldPosition="0">
        <references count="1">
          <reference field="4294967294" count="1">
            <x v="0"/>
          </reference>
        </references>
      </pivotArea>
    </format>
    <format dxfId="44">
      <pivotArea outline="0" fieldPosition="0">
        <references count="1">
          <reference field="4294967294" count="1">
            <x v="1"/>
          </reference>
        </references>
      </pivotArea>
    </format>
    <format dxfId="43">
      <pivotArea outline="0" fieldPosition="0">
        <references count="1">
          <reference field="4294967294" count="1">
            <x v="2"/>
          </reference>
        </references>
      </pivotArea>
    </format>
    <format dxfId="42">
      <pivotArea outline="0" fieldPosition="0">
        <references count="1">
          <reference field="4294967294" count="1">
            <x v="3"/>
          </reference>
        </references>
      </pivotArea>
    </format>
    <format dxfId="41">
      <pivotArea outline="0" fieldPosition="0">
        <references count="1">
          <reference field="4294967294" count="1">
            <x v="4"/>
          </reference>
        </references>
      </pivotArea>
    </format>
    <format dxfId="40">
      <pivotArea outline="0" fieldPosition="0">
        <references count="1">
          <reference field="4294967294" count="1">
            <x v="5"/>
          </reference>
        </references>
      </pivotArea>
    </format>
    <format dxfId="39">
      <pivotArea dataOnly="0" labelOnly="1" outline="0" fieldPosition="0">
        <references count="1">
          <reference field="4294967294" count="12">
            <x v="0"/>
            <x v="1"/>
            <x v="2"/>
            <x v="3"/>
            <x v="4"/>
            <x v="5"/>
            <x v="6"/>
            <x v="7"/>
            <x v="8"/>
            <x v="9"/>
            <x v="10"/>
            <x v="11"/>
          </reference>
        </references>
      </pivotArea>
    </format>
    <format dxfId="38">
      <pivotArea outline="0" fieldPosition="0">
        <references count="1">
          <reference field="4294967294" count="1">
            <x v="6"/>
          </reference>
        </references>
      </pivotArea>
    </format>
    <format dxfId="37">
      <pivotArea outline="0" fieldPosition="0">
        <references count="1">
          <reference field="4294967294" count="1">
            <x v="7"/>
          </reference>
        </references>
      </pivotArea>
    </format>
    <format dxfId="36">
      <pivotArea outline="0" fieldPosition="0">
        <references count="1">
          <reference field="4294967294" count="1">
            <x v="8"/>
          </reference>
        </references>
      </pivotArea>
    </format>
    <format dxfId="35">
      <pivotArea outline="0" fieldPosition="0">
        <references count="1">
          <reference field="4294967294" count="1">
            <x v="9"/>
          </reference>
        </references>
      </pivotArea>
    </format>
    <format dxfId="34">
      <pivotArea outline="0" fieldPosition="0">
        <references count="1">
          <reference field="4294967294" count="1">
            <x v="10"/>
          </reference>
        </references>
      </pivotArea>
    </format>
    <format dxfId="33">
      <pivotArea outline="0" fieldPosition="0">
        <references count="1">
          <reference field="4294967294" count="1">
            <x v="11"/>
          </reference>
        </references>
      </pivotArea>
    </format>
  </formats>
  <pivotTableStyleInfo name="ProjektiJälgimine" showRowHeaders="1" showColHeaders="1" showRowStripes="0" showColStripes="0" showLastColumn="1"/>
  <extLst>
    <ext xmlns:x14="http://schemas.microsoft.com/office/spreadsheetml/2009/9/main" uri="{962EF5D1-5CA2-4c93-8EF4-DBF5C05439D2}">
      <x14:pivotTableDefinition xmlns:xm="http://schemas.microsoft.com/office/excel/2006/main" altTextSummary="Selles PivotTable-liigendtabelis on projektide nimed ja kõigi üksuste arvutatud väärtused ära toodud töölehel PROJEKTI PARAMEETRID; arvutamiseks on korrutatud lehel PROJEKTI ÜKSIKASJAD leiduv kestus (tundides)." hideValuesRow="1"/>
    </ext>
    <ext xmlns:xpdl="http://schemas.microsoft.com/office/spreadsheetml/2016/pivotdefaultlayout" uri="{747A6164-185A-40DC-8AA5-F01512510D54}">
      <xpdl:pivotTableDefinition16/>
    </ext>
  </extLst>
</pivotTableDefinition>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rameetrid" displayName="Parameetrid" ref="B5:I11" totalsRowShown="0" headerRowDxfId="122" dataDxfId="121">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PROJEKTI TÜÜP" dataDxfId="120"/>
    <tableColumn id="2" xr3:uid="{00000000-0010-0000-0000-000002000000}" name="KONTOHALDUR" dataDxfId="119"/>
    <tableColumn id="3" xr3:uid="{00000000-0010-0000-0000-000003000000}" name="PROJEKTIJUHT" dataDxfId="118"/>
    <tableColumn id="4" xr3:uid="{00000000-0010-0000-0000-000004000000}" name="STRATEEGIAJUHT" dataDxfId="117"/>
    <tableColumn id="5" xr3:uid="{00000000-0010-0000-0000-000005000000}" name="KUJUNDUSSPETSIALIST" dataDxfId="116"/>
    <tableColumn id="6" xr3:uid="{00000000-0010-0000-0000-000006000000}" name="ÜRITUSE PERSONAL" dataDxfId="115"/>
    <tableColumn id="7" xr3:uid="{00000000-0010-0000-0000-000007000000}" name="HALDUSPERSONAL" dataDxfId="114"/>
    <tableColumn id="8" xr3:uid="{00000000-0010-0000-0000-000008000000}" name="Kokku" dataDxfId="113">
      <calculatedColumnFormula>SUM(Parameetrid[[#This Row],[KONTOHALDUR]:[HALDUSPERSONAL]])</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Sisestage projekti tüüp ning kontohalduri, projektijuhi, strateegiahalduri, kujundusspetsialisti, ürituse personali ja administraatorite protsendid. Kogusumma arvutatakse automaatselt"/>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ojektiÜksikasjad" displayName="ProjektiÜksikasjad" ref="B4:W10" totalsRowCount="1" headerRowDxfId="112" dataDxfId="111" totalsRowDxfId="110">
  <autoFilter ref="B4:W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22">
    <tableColumn id="1" xr3:uid="{00000000-0010-0000-0100-000001000000}" name="PROJEKTI NIMI" totalsRowLabel="KOKKU" dataDxfId="109" totalsRowDxfId="108"/>
    <tableColumn id="2" xr3:uid="{00000000-0010-0000-0100-000002000000}" name="PROJEKTI TÜÜP" dataDxfId="107" totalsRowDxfId="106"/>
    <tableColumn id="3" xr3:uid="{00000000-0010-0000-0100-000003000000}" name="HINNANGULINE ALGUSAEG" dataDxfId="105" totalsRowDxfId="104"/>
    <tableColumn id="4" xr3:uid="{00000000-0010-0000-0100-000004000000}" name="HINNANGULINE LÕPPAEG" dataDxfId="103" totalsRowDxfId="102"/>
    <tableColumn id="7" xr3:uid="{00000000-0010-0000-0100-000007000000}" name="TEGELIK ALGUSAEG" dataDxfId="101" totalsRowDxfId="100"/>
    <tableColumn id="8" xr3:uid="{00000000-0010-0000-0100-000008000000}" name="TEGELIK LÕPPAEG" dataDxfId="99" totalsRowDxfId="98"/>
    <tableColumn id="5" xr3:uid="{00000000-0010-0000-0100-000005000000}" name="HINNANGULINE TÖÖ MAHT" totalsRowFunction="sum" dataDxfId="97" totalsRowDxfId="96"/>
    <tableColumn id="9" xr3:uid="{00000000-0010-0000-0100-000009000000}" name="TEGELIK TÖÖ MAHT" totalsRowFunction="sum" dataDxfId="95" totalsRowDxfId="94"/>
    <tableColumn id="6" xr3:uid="{00000000-0010-0000-0100-000006000000}" name="HINNANGULINE KESTUS" totalsRowFunction="sum" dataDxfId="93" totalsRowDxfId="92">
      <calculatedColumnFormula>DAYS360(ProjektiÜksikasjad[[#This Row],[HINNANGULINE ALGUSAEG]],ProjektiÜksikasjad[[#This Row],[HINNANGULINE LÕPPAEG]],FALSE)</calculatedColumnFormula>
    </tableColumn>
    <tableColumn id="10" xr3:uid="{00000000-0010-0000-0100-00000A000000}" name="TEGELIK KESTUS" totalsRowFunction="sum" dataDxfId="91" totalsRowDxfId="90">
      <calculatedColumnFormula>DAYS360(ProjektiÜksikasjad[[#This Row],[TEGELIK ALGUSAEG]],ProjektiÜksikasjad[[#This Row],[TEGELIK LÕPPAEG]],FALSE)</calculatedColumnFormula>
    </tableColumn>
    <tableColumn id="11" xr3:uid="{00000000-0010-0000-0100-00000B000000}" name="KONTOHALDUR" dataDxfId="89" totalsRowDxfId="88">
      <calculatedColumnFormula>INDEX(Parameetrid[],MATCH(ProjektiÜksikasjad[[#This Row],[PROJEKTI TÜÜP]],Parameetrid[PROJEKTI TÜÜP],0),MATCH(ProjektiÜksikasjad[[#Headers],[KONTOHALDUR]],Parameetrid[#Headers],0))*INDEX('PROJEKTI PARAMEETRID'!$B$12:$H$12,1,MATCH(ProjektiÜksikasjad[[#Headers],[KONTOHALDUR]],Parameetrid[#Headers],0))*ProjektiÜksikasjad[[#This Row],[HINNANGULINE TÖÖ MAHT]]</calculatedColumnFormula>
    </tableColumn>
    <tableColumn id="12" xr3:uid="{00000000-0010-0000-0100-00000C000000}" name="PROJEKTIJUHT" dataDxfId="87" totalsRowDxfId="86">
      <calculatedColumnFormula>INDEX(Parameetrid[],MATCH(ProjektiÜksikasjad[[#This Row],[PROJEKTI TÜÜP]],Parameetrid[PROJEKTI TÜÜP],0),MATCH(ProjektiÜksikasjad[[#Headers],[PROJEKTIJUHT]],Parameetrid[#Headers],0))*INDEX('PROJEKTI PARAMEETRID'!$B$12:$H$12,1,MATCH(ProjektiÜksikasjad[[#Headers],[PROJEKTIJUHT]],Parameetrid[#Headers],0))*ProjektiÜksikasjad[[#This Row],[HINNANGULINE TÖÖ MAHT]]</calculatedColumnFormula>
    </tableColumn>
    <tableColumn id="13" xr3:uid="{00000000-0010-0000-0100-00000D000000}" name="STRATEEGIAJUHT" dataDxfId="85" totalsRowDxfId="84">
      <calculatedColumnFormula>INDEX(Parameetrid[],MATCH(ProjektiÜksikasjad[[#This Row],[PROJEKTI TÜÜP]],Parameetrid[PROJEKTI TÜÜP],0),MATCH(ProjektiÜksikasjad[[#Headers],[STRATEEGIAJUHT]],Parameetrid[#Headers],0))*INDEX('PROJEKTI PARAMEETRID'!$B$12:$H$12,1,MATCH(ProjektiÜksikasjad[[#Headers],[STRATEEGIAJUHT]],Parameetrid[#Headers],0))*ProjektiÜksikasjad[[#This Row],[HINNANGULINE TÖÖ MAHT]]</calculatedColumnFormula>
    </tableColumn>
    <tableColumn id="14" xr3:uid="{00000000-0010-0000-0100-00000E000000}" name="KUJUNDUSSPETSIALIST" dataDxfId="83" totalsRowDxfId="82">
      <calculatedColumnFormula>INDEX(Parameetrid[],MATCH(ProjektiÜksikasjad[[#This Row],[PROJEKTI TÜÜP]],Parameetrid[PROJEKTI TÜÜP],0),MATCH(ProjektiÜksikasjad[[#Headers],[KUJUNDUSSPETSIALIST]],Parameetrid[#Headers],0))*INDEX('PROJEKTI PARAMEETRID'!$B$12:$H$12,1,MATCH(ProjektiÜksikasjad[[#Headers],[KUJUNDUSSPETSIALIST]],Parameetrid[#Headers],0))*ProjektiÜksikasjad[[#This Row],[HINNANGULINE TÖÖ MAHT]]</calculatedColumnFormula>
    </tableColumn>
    <tableColumn id="15" xr3:uid="{00000000-0010-0000-0100-00000F000000}" name="ÜRITUSE PERSONAL" dataDxfId="81" totalsRowDxfId="80">
      <calculatedColumnFormula>INDEX(Parameetrid[],MATCH(ProjektiÜksikasjad[[#This Row],[PROJEKTI TÜÜP]],Parameetrid[PROJEKTI TÜÜP],0),MATCH(ProjektiÜksikasjad[[#Headers],[ÜRITUSE PERSONAL]],Parameetrid[#Headers],0))*INDEX('PROJEKTI PARAMEETRID'!$B$12:$H$12,1,MATCH(ProjektiÜksikasjad[[#Headers],[ÜRITUSE PERSONAL]],Parameetrid[#Headers],0))*ProjektiÜksikasjad[[#This Row],[HINNANGULINE TÖÖ MAHT]]</calculatedColumnFormula>
    </tableColumn>
    <tableColumn id="16" xr3:uid="{00000000-0010-0000-0100-000010000000}" name="HALDUSPERSONAL" dataDxfId="79" totalsRowDxfId="78">
      <calculatedColumnFormula>INDEX(Parameetrid[],MATCH(ProjektiÜksikasjad[[#This Row],[PROJEKTI TÜÜP]],Parameetrid[PROJEKTI TÜÜP],0),MATCH(ProjektiÜksikasjad[[#Headers],[HALDUSPERSONAL]],Parameetrid[#Headers],0))*INDEX('PROJEKTI PARAMEETRID'!$B$12:$H$12,1,MATCH(ProjektiÜksikasjad[[#Headers],[HALDUSPERSONAL]],Parameetrid[#Headers],0))*ProjektiÜksikasjad[[#This Row],[HINNANGULINE TÖÖ MAHT]]</calculatedColumnFormula>
    </tableColumn>
    <tableColumn id="17" xr3:uid="{00000000-0010-0000-0100-000011000000}" name="KONTOHALDUR " dataDxfId="77" totalsRowDxfId="76">
      <calculatedColumnFormula>INDEX(Parameetrid[],MATCH(ProjektiÜksikasjad[[#This Row],[PROJEKTI TÜÜP]],Parameetrid[PROJEKTI TÜÜP],0),MATCH(ProjektiÜksikasjad[[#Headers],[KONTOHALDUR]],Parameetrid[#Headers],0))*INDEX('PROJEKTI PARAMEETRID'!$B$12:$H$12,1,MATCH(ProjektiÜksikasjad[[#Headers],[KONTOHALDUR]],Parameetrid[#Headers],0))*ProjektiÜksikasjad[[#This Row],[TEGELIK TÖÖ MAHT]]</calculatedColumnFormula>
    </tableColumn>
    <tableColumn id="18" xr3:uid="{00000000-0010-0000-0100-000012000000}" name="PROJEKTIJUHT " dataDxfId="75" totalsRowDxfId="74">
      <calculatedColumnFormula>INDEX(Parameetrid[],MATCH(ProjektiÜksikasjad[[#This Row],[PROJEKTI TÜÜP]],Parameetrid[PROJEKTI TÜÜP],0),MATCH(ProjektiÜksikasjad[[#Headers],[PROJEKTIJUHT]],Parameetrid[#Headers],0))*INDEX('PROJEKTI PARAMEETRID'!$B$12:$H$12,1,MATCH(ProjektiÜksikasjad[[#Headers],[PROJEKTIJUHT]],Parameetrid[#Headers],0))*ProjektiÜksikasjad[[#This Row],[TEGELIK TÖÖ MAHT]]</calculatedColumnFormula>
    </tableColumn>
    <tableColumn id="19" xr3:uid="{00000000-0010-0000-0100-000013000000}" name="STRATEEGIAJUHT " dataDxfId="73" totalsRowDxfId="72">
      <calculatedColumnFormula>INDEX(Parameetrid[],MATCH(ProjektiÜksikasjad[[#This Row],[PROJEKTI TÜÜP]],Parameetrid[PROJEKTI TÜÜP],0),MATCH(ProjektiÜksikasjad[[#Headers],[STRATEEGIAJUHT]],Parameetrid[#Headers],0))*INDEX('PROJEKTI PARAMEETRID'!$B$12:$H$12,1,MATCH(ProjektiÜksikasjad[[#Headers],[STRATEEGIAJUHT]],Parameetrid[#Headers],0))*ProjektiÜksikasjad[[#This Row],[TEGELIK TÖÖ MAHT]]</calculatedColumnFormula>
    </tableColumn>
    <tableColumn id="20" xr3:uid="{00000000-0010-0000-0100-000014000000}" name="KUJUNDUSSPETSIALIST " dataDxfId="71" totalsRowDxfId="70">
      <calculatedColumnFormula>INDEX(Parameetrid[],MATCH(ProjektiÜksikasjad[[#This Row],[PROJEKTI TÜÜP]],Parameetrid[PROJEKTI TÜÜP],0),MATCH(ProjektiÜksikasjad[[#Headers],[KUJUNDUSSPETSIALIST]],Parameetrid[#Headers],0))*INDEX('PROJEKTI PARAMEETRID'!$B$12:$H$12,1,MATCH(ProjektiÜksikasjad[[#Headers],[KUJUNDUSSPETSIALIST]],Parameetrid[#Headers],0))*ProjektiÜksikasjad[[#This Row],[TEGELIK TÖÖ MAHT]]</calculatedColumnFormula>
    </tableColumn>
    <tableColumn id="21" xr3:uid="{00000000-0010-0000-0100-000015000000}" name="ÜRITUSE PERSONAL " dataDxfId="69" totalsRowDxfId="68">
      <calculatedColumnFormula>INDEX(Parameetrid[],MATCH(ProjektiÜksikasjad[[#This Row],[PROJEKTI TÜÜP]],Parameetrid[PROJEKTI TÜÜP],0),MATCH(ProjektiÜksikasjad[[#Headers],[ÜRITUSE PERSONAL]],Parameetrid[#Headers],0))*INDEX('PROJEKTI PARAMEETRID'!$B$12:$H$12,1,MATCH(ProjektiÜksikasjad[[#Headers],[ÜRITUSE PERSONAL]],Parameetrid[#Headers],0))*ProjektiÜksikasjad[[#This Row],[TEGELIK TÖÖ MAHT]]</calculatedColumnFormula>
    </tableColumn>
    <tableColumn id="22" xr3:uid="{00000000-0010-0000-0100-000016000000}" name="HALDUSPERSONAL " dataDxfId="67" totalsRowDxfId="66">
      <calculatedColumnFormula>INDEX(Parameetrid[],MATCH(ProjektiÜksikasjad[[#This Row],[PROJEKTI TÜÜP]],Parameetrid[PROJEKTI TÜÜP],0),MATCH(ProjektiÜksikasjad[[#Headers],[HALDUSPERSONAL]],Parameetrid[#Headers],0))*INDEX('PROJEKTI PARAMEETRID'!$B$12:$H$12,1,MATCH(ProjektiÜksikasjad[[#Headers],[HALDUSPERSONAL]],Parameetrid[#Headers],0))*ProjektiÜksikasjad[[#This Row],[TEGELIK TÖÖ MAHT]]</calculatedColumnFormula>
    </tableColumn>
  </tableColumns>
  <tableStyleInfo name="TableStyleLight17" showFirstColumn="0" showLastColumn="0" showRowStripes="1" showColumnStripes="0"/>
  <extLst>
    <ext xmlns:x14="http://schemas.microsoft.com/office/spreadsheetml/2009/9/main" uri="{504A1905-F514-4f6f-8877-14C23A59335A}">
      <x14:table altTextSummary="Sisestage projekti nimi, prognoositud algus- ja lõppkuupäev, tegelik algus- ja lõppkuupäev, prognoositud ja tegelik töö ning valige projekti tüüp. Prognoositud ja tegelik kestus arvutatakse automaatselt."/>
    </ext>
  </extLst>
</table>
</file>

<file path=xl/theme/theme1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1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drawing" Target="/xl/drawings/drawing33.xml" Id="rId3" /><Relationship Type="http://schemas.openxmlformats.org/officeDocument/2006/relationships/printerSettings" Target="/xl/printerSettings/printerSettings44.bin" Id="rId2" /><Relationship Type="http://schemas.openxmlformats.org/officeDocument/2006/relationships/pivotTable" Target="/xl/pivotTables/pivotTable1.xml"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02267-7996-4DFE-B69E-896B28477E48}">
  <sheetPr>
    <tabColor theme="9"/>
    <pageSetUpPr fitToPage="1"/>
  </sheetPr>
  <dimension ref="B1:B7"/>
  <sheetViews>
    <sheetView showGridLines="0" tabSelected="1" zoomScaleNormal="100" workbookViewId="0"/>
  </sheetViews>
  <sheetFormatPr defaultRowHeight="12.75" x14ac:dyDescent="0.2"/>
  <cols>
    <col min="1" max="1" width="2.7109375" customWidth="1"/>
    <col min="2" max="2" width="93.28515625" customWidth="1"/>
    <col min="3" max="3" width="2.7109375" customWidth="1"/>
  </cols>
  <sheetData>
    <row r="1" spans="2:2" ht="19.5" x14ac:dyDescent="0.25">
      <c r="B1" s="15" t="s">
        <v>0</v>
      </c>
    </row>
    <row r="2" spans="2:2" ht="43.5" customHeight="1" x14ac:dyDescent="0.2">
      <c r="B2" s="17" t="s">
        <v>1</v>
      </c>
    </row>
    <row r="3" spans="2:2" ht="36.75" customHeight="1" x14ac:dyDescent="0.2">
      <c r="B3" s="17" t="s">
        <v>2</v>
      </c>
    </row>
    <row r="4" spans="2:2" ht="30" customHeight="1" x14ac:dyDescent="0.2">
      <c r="B4" s="17" t="s">
        <v>3</v>
      </c>
    </row>
    <row r="5" spans="2:2" ht="40.5" customHeight="1" x14ac:dyDescent="0.2">
      <c r="B5" s="19" t="s">
        <v>4</v>
      </c>
    </row>
    <row r="6" spans="2:2" ht="54" customHeight="1" x14ac:dyDescent="0.2">
      <c r="B6" s="18" t="s">
        <v>5</v>
      </c>
    </row>
    <row r="7" spans="2:2" ht="39" customHeight="1" x14ac:dyDescent="0.2">
      <c r="B7" s="18" t="s">
        <v>6</v>
      </c>
    </row>
  </sheetData>
  <printOptions horizontalCentered="1"/>
  <pageMargins left="0.4" right="0.4" top="0.4" bottom="0.4" header="0.3" footer="0.3"/>
  <pageSetup paperSize="9" fitToHeight="0" orientation="landscape" r:id="rId1"/>
  <headerFooter differentFirst="1">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fitToPage="1"/>
  </sheetPr>
  <dimension ref="A1:I43"/>
  <sheetViews>
    <sheetView showGridLines="0" zoomScaleNormal="100" workbookViewId="0"/>
  </sheetViews>
  <sheetFormatPr defaultColWidth="9.140625" defaultRowHeight="14.25" x14ac:dyDescent="0.2"/>
  <cols>
    <col min="1" max="1" width="1.7109375" style="11" customWidth="1"/>
    <col min="2" max="2" width="34.140625" style="5" customWidth="1"/>
    <col min="3" max="3" width="21.42578125" style="5" bestFit="1" customWidth="1"/>
    <col min="4" max="4" width="20.85546875" style="5" bestFit="1" customWidth="1"/>
    <col min="5" max="5" width="22.42578125" style="5" bestFit="1" customWidth="1"/>
    <col min="6" max="6" width="23.140625" style="5" customWidth="1"/>
    <col min="7" max="7" width="19.7109375" style="5" customWidth="1"/>
    <col min="8" max="8" width="17.7109375" style="5" customWidth="1"/>
    <col min="9" max="9" width="7.85546875" style="5" bestFit="1" customWidth="1"/>
    <col min="10" max="10" width="2.7109375" style="5" customWidth="1"/>
    <col min="11" max="16384" width="9.140625" style="5"/>
  </cols>
  <sheetData>
    <row r="1" spans="2:9" ht="35.450000000000003" customHeight="1" x14ac:dyDescent="0.35">
      <c r="B1" s="2" t="s">
        <v>7</v>
      </c>
      <c r="C1" s="2"/>
      <c r="D1" s="2"/>
      <c r="E1" s="2"/>
      <c r="F1" s="2"/>
      <c r="G1" s="2"/>
      <c r="H1" s="2"/>
      <c r="I1" s="2"/>
    </row>
    <row r="2" spans="2:9" ht="19.5" x14ac:dyDescent="0.25">
      <c r="B2" s="3" t="s">
        <v>8</v>
      </c>
      <c r="C2" s="3"/>
      <c r="D2" s="3"/>
      <c r="E2" s="3"/>
      <c r="F2" s="3"/>
      <c r="G2" s="3"/>
      <c r="H2" s="3"/>
      <c r="I2" s="3"/>
    </row>
    <row r="3" spans="2:9" ht="15" x14ac:dyDescent="0.2">
      <c r="B3" s="4" t="str">
        <f>B1&amp;" Konfidentsiaalne"</f>
        <v>Ettevõtte nimi Konfidentsiaalne</v>
      </c>
      <c r="C3" s="4"/>
      <c r="D3" s="4"/>
      <c r="E3" s="4"/>
      <c r="F3" s="4"/>
      <c r="G3" s="4"/>
      <c r="H3" s="4"/>
      <c r="I3" s="4"/>
    </row>
    <row r="4" spans="2:9" ht="28.5" customHeight="1" x14ac:dyDescent="0.2">
      <c r="B4" s="8" t="s">
        <v>9</v>
      </c>
    </row>
    <row r="5" spans="2:9" ht="14.25" customHeight="1" x14ac:dyDescent="0.2">
      <c r="B5" s="9" t="s">
        <v>10</v>
      </c>
      <c r="C5" s="9" t="s">
        <v>22</v>
      </c>
      <c r="D5" s="9" t="s">
        <v>23</v>
      </c>
      <c r="E5" s="9" t="s">
        <v>24</v>
      </c>
      <c r="F5" s="9" t="s">
        <v>25</v>
      </c>
      <c r="G5" s="9" t="s">
        <v>27</v>
      </c>
      <c r="H5" s="9" t="s">
        <v>28</v>
      </c>
      <c r="I5" s="9" t="s">
        <v>29</v>
      </c>
    </row>
    <row r="6" spans="2:9" x14ac:dyDescent="0.2">
      <c r="B6" s="5" t="s">
        <v>11</v>
      </c>
      <c r="C6" s="6">
        <v>0.2</v>
      </c>
      <c r="D6" s="6">
        <v>0.1</v>
      </c>
      <c r="E6" s="6">
        <v>0.6</v>
      </c>
      <c r="F6" s="6">
        <v>0</v>
      </c>
      <c r="G6" s="6">
        <v>0</v>
      </c>
      <c r="H6" s="6">
        <v>0.1</v>
      </c>
      <c r="I6" s="7">
        <f>SUM(Parameetrid[[#This Row],[KONTOHALDUR]:[HALDUSPERSONAL]])</f>
        <v>1</v>
      </c>
    </row>
    <row r="7" spans="2:9" x14ac:dyDescent="0.2">
      <c r="B7" s="5" t="s">
        <v>12</v>
      </c>
      <c r="C7" s="6">
        <v>0.2</v>
      </c>
      <c r="D7" s="6">
        <v>0.5</v>
      </c>
      <c r="E7" s="6">
        <v>0.1</v>
      </c>
      <c r="F7" s="6">
        <v>0.1</v>
      </c>
      <c r="G7" s="6">
        <v>0</v>
      </c>
      <c r="H7" s="6">
        <v>0.1</v>
      </c>
      <c r="I7" s="7">
        <f>SUM(Parameetrid[[#This Row],[KONTOHALDUR]:[HALDUSPERSONAL]])</f>
        <v>0.99999999999999989</v>
      </c>
    </row>
    <row r="8" spans="2:9" x14ac:dyDescent="0.2">
      <c r="B8" s="5" t="s">
        <v>13</v>
      </c>
      <c r="C8" s="6">
        <v>0.2</v>
      </c>
      <c r="D8" s="6">
        <v>0.2</v>
      </c>
      <c r="E8" s="6">
        <v>0</v>
      </c>
      <c r="F8" s="6">
        <v>0.5</v>
      </c>
      <c r="G8" s="6">
        <v>0</v>
      </c>
      <c r="H8" s="6">
        <v>0.1</v>
      </c>
      <c r="I8" s="7">
        <f>SUM(Parameetrid[[#This Row],[KONTOHALDUR]:[HALDUSPERSONAL]])</f>
        <v>1</v>
      </c>
    </row>
    <row r="9" spans="2:9" x14ac:dyDescent="0.2">
      <c r="B9" s="5" t="s">
        <v>14</v>
      </c>
      <c r="C9" s="6">
        <v>0.2</v>
      </c>
      <c r="D9" s="6">
        <v>0.6</v>
      </c>
      <c r="E9" s="6">
        <v>0</v>
      </c>
      <c r="F9" s="6">
        <v>0</v>
      </c>
      <c r="G9" s="6">
        <v>0.1</v>
      </c>
      <c r="H9" s="6">
        <v>0.1</v>
      </c>
      <c r="I9" s="7">
        <f>SUM(Parameetrid[[#This Row],[KONTOHALDUR]:[HALDUSPERSONAL]])</f>
        <v>1</v>
      </c>
    </row>
    <row r="10" spans="2:9" x14ac:dyDescent="0.2">
      <c r="B10" s="5" t="s">
        <v>15</v>
      </c>
      <c r="C10" s="6">
        <v>0.2</v>
      </c>
      <c r="D10" s="6">
        <v>0.1</v>
      </c>
      <c r="E10" s="6">
        <v>0</v>
      </c>
      <c r="F10" s="6">
        <v>0</v>
      </c>
      <c r="G10" s="6">
        <v>0.6</v>
      </c>
      <c r="H10" s="6">
        <v>0.1</v>
      </c>
      <c r="I10" s="7">
        <f>SUM(Parameetrid[[#This Row],[KONTOHALDUR]:[HALDUSPERSONAL]])</f>
        <v>1</v>
      </c>
    </row>
    <row r="11" spans="2:9" x14ac:dyDescent="0.2">
      <c r="B11" s="5" t="s">
        <v>16</v>
      </c>
      <c r="C11" s="6">
        <v>0.2</v>
      </c>
      <c r="D11" s="6">
        <v>0.2</v>
      </c>
      <c r="E11" s="6">
        <v>0.2</v>
      </c>
      <c r="F11" s="6">
        <v>0.2</v>
      </c>
      <c r="G11" s="6">
        <v>0</v>
      </c>
      <c r="H11" s="6">
        <v>0.2</v>
      </c>
      <c r="I11" s="7">
        <f>SUM(Parameetrid[[#This Row],[KONTOHALDUR]:[HALDUSPERSONAL]])</f>
        <v>1</v>
      </c>
    </row>
    <row r="12" spans="2:9" x14ac:dyDescent="0.2">
      <c r="B12" s="5" t="s">
        <v>17</v>
      </c>
      <c r="C12" s="25">
        <v>180</v>
      </c>
      <c r="D12" s="25">
        <v>120</v>
      </c>
      <c r="E12" s="25">
        <v>150</v>
      </c>
      <c r="F12" s="25">
        <v>100</v>
      </c>
      <c r="G12" s="25">
        <v>80</v>
      </c>
      <c r="H12" s="25">
        <v>60</v>
      </c>
      <c r="I12" s="6"/>
    </row>
    <row r="14" spans="2:9" ht="57" x14ac:dyDescent="0.2">
      <c r="F14" s="10" t="s">
        <v>26</v>
      </c>
    </row>
    <row r="15" spans="2:9" x14ac:dyDescent="0.2">
      <c r="B15" s="11"/>
      <c r="C15" s="11" t="s">
        <v>22</v>
      </c>
      <c r="D15" s="11" t="s">
        <v>23</v>
      </c>
      <c r="E15" s="11" t="s">
        <v>24</v>
      </c>
      <c r="F15" s="11" t="s">
        <v>25</v>
      </c>
      <c r="G15" s="11" t="s">
        <v>27</v>
      </c>
      <c r="H15" s="11" t="s">
        <v>28</v>
      </c>
    </row>
    <row r="16" spans="2:9" x14ac:dyDescent="0.2">
      <c r="B16" s="11" t="s">
        <v>18</v>
      </c>
      <c r="C16" s="26">
        <f>SUBTOTAL(109,ProjektiÜksikasjad[KONTOHALDUR])</f>
        <v>54000</v>
      </c>
      <c r="D16" s="26">
        <f>SUBTOTAL(109,ProjektiÜksikasjad[PROJEKTIJUHT])</f>
        <v>52200</v>
      </c>
      <c r="E16" s="26">
        <f>SUBTOTAL(109,ProjektiÜksikasjad[STRATEEGIAJUHT])</f>
        <v>24000</v>
      </c>
      <c r="F16" s="26">
        <f>SUBTOTAL(109,ProjektiÜksikasjad[KUJUNDUSSPETSIALIST])</f>
        <v>29000</v>
      </c>
      <c r="G16" s="26">
        <f>SUBTOTAL(109,ProjektiÜksikasjad[ÜRITUSE PERSONAL])</f>
        <v>13200</v>
      </c>
      <c r="H16" s="26">
        <f>SUBTOTAL(109,ProjektiÜksikasjad[HALDUSPERSONAL])</f>
        <v>9000</v>
      </c>
    </row>
    <row r="17" spans="2:9" x14ac:dyDescent="0.2">
      <c r="B17" s="11" t="s">
        <v>19</v>
      </c>
      <c r="C17" s="26">
        <f>SUBTOTAL(109,ProjektiÜksikasjad[[KONTOHALDUR ]])</f>
        <v>54360</v>
      </c>
      <c r="D17" s="26">
        <f>SUBTOTAL(109,ProjektiÜksikasjad[[PROJEKTIJUHT ]])</f>
        <v>51540</v>
      </c>
      <c r="E17" s="26">
        <f>SUBTOTAL(109,ProjektiÜksikasjad[[STRATEEGIAJUHT ]])</f>
        <v>25650</v>
      </c>
      <c r="F17" s="26">
        <f>SUBTOTAL(109,ProjektiÜksikasjad[[KUJUNDUSSPETSIALIST ]])</f>
        <v>28900</v>
      </c>
      <c r="G17" s="26">
        <f>SUBTOTAL(109,ProjektiÜksikasjad[[ÜRITUSE PERSONAL ]])</f>
        <v>13400</v>
      </c>
      <c r="H17" s="26">
        <f>SUBTOTAL(109,ProjektiÜksikasjad[[HALDUSPERSONAL ]])</f>
        <v>9060</v>
      </c>
    </row>
    <row r="18" spans="2:9" x14ac:dyDescent="0.2">
      <c r="B18" s="11" t="s">
        <v>20</v>
      </c>
      <c r="C18" s="12">
        <f>C16/$C$12</f>
        <v>300</v>
      </c>
      <c r="D18" s="12">
        <f t="shared" ref="D18:H18" si="0">D16/$C$12</f>
        <v>290</v>
      </c>
      <c r="E18" s="12">
        <f t="shared" si="0"/>
        <v>133.33333333333334</v>
      </c>
      <c r="F18" s="12">
        <f t="shared" si="0"/>
        <v>161.11111111111111</v>
      </c>
      <c r="G18" s="12">
        <f t="shared" si="0"/>
        <v>73.333333333333329</v>
      </c>
      <c r="H18" s="12">
        <f t="shared" si="0"/>
        <v>50</v>
      </c>
    </row>
    <row r="19" spans="2:9" x14ac:dyDescent="0.2">
      <c r="B19" s="11" t="s">
        <v>21</v>
      </c>
      <c r="C19" s="12">
        <f>C17/$C$12</f>
        <v>302</v>
      </c>
      <c r="D19" s="12">
        <f>D17/$C$12</f>
        <v>286.33333333333331</v>
      </c>
      <c r="E19" s="12">
        <f>E17/$C$12</f>
        <v>142.5</v>
      </c>
      <c r="F19" s="12">
        <f>F17/$C$12</f>
        <v>160.55555555555554</v>
      </c>
      <c r="G19" s="12">
        <f>G17/$C$12</f>
        <v>74.444444444444443</v>
      </c>
      <c r="H19" s="12">
        <f>H17/$C$12</f>
        <v>50.333333333333336</v>
      </c>
    </row>
    <row r="20" spans="2:9" x14ac:dyDescent="0.2">
      <c r="F20" s="11"/>
      <c r="G20" s="11"/>
      <c r="H20" s="11"/>
      <c r="I20" s="11"/>
    </row>
    <row r="21" spans="2:9" x14ac:dyDescent="0.2">
      <c r="F21" s="11"/>
      <c r="G21" s="11"/>
      <c r="H21" s="11"/>
      <c r="I21" s="11"/>
    </row>
    <row r="22" spans="2:9" x14ac:dyDescent="0.2">
      <c r="F22" s="11"/>
      <c r="G22" s="11"/>
      <c r="H22" s="11"/>
      <c r="I22" s="11"/>
    </row>
    <row r="23" spans="2:9" x14ac:dyDescent="0.2">
      <c r="F23" s="11"/>
      <c r="G23" s="11"/>
      <c r="H23" s="11"/>
      <c r="I23" s="11"/>
    </row>
    <row r="24" spans="2:9" x14ac:dyDescent="0.2">
      <c r="B24" s="28"/>
      <c r="C24" s="28"/>
      <c r="D24" s="28"/>
      <c r="F24" s="11"/>
      <c r="G24" s="11"/>
      <c r="H24" s="11"/>
      <c r="I24" s="11"/>
    </row>
    <row r="25" spans="2:9" x14ac:dyDescent="0.2">
      <c r="B25" s="28"/>
      <c r="C25" s="28"/>
      <c r="D25" s="28"/>
      <c r="F25" s="11"/>
      <c r="G25" s="11"/>
      <c r="H25" s="11"/>
      <c r="I25" s="11"/>
    </row>
    <row r="26" spans="2:9" x14ac:dyDescent="0.2">
      <c r="B26" s="28"/>
      <c r="C26" s="28"/>
      <c r="D26" s="28"/>
      <c r="F26" s="11"/>
      <c r="G26" s="11"/>
      <c r="H26" s="11"/>
      <c r="I26" s="11"/>
    </row>
    <row r="27" spans="2:9" x14ac:dyDescent="0.2">
      <c r="B27" s="28"/>
      <c r="C27" s="28"/>
      <c r="D27" s="28"/>
      <c r="F27" s="11"/>
      <c r="G27" s="11"/>
      <c r="H27" s="11"/>
      <c r="I27" s="11"/>
    </row>
    <row r="28" spans="2:9" x14ac:dyDescent="0.2">
      <c r="B28" s="28"/>
      <c r="C28" s="28"/>
      <c r="D28" s="28"/>
      <c r="F28" s="11"/>
      <c r="G28" s="11"/>
      <c r="H28" s="11"/>
      <c r="I28" s="11"/>
    </row>
    <row r="29" spans="2:9" x14ac:dyDescent="0.2">
      <c r="B29" s="28"/>
      <c r="C29" s="28"/>
      <c r="D29" s="28"/>
      <c r="F29" s="11"/>
      <c r="G29" s="11"/>
      <c r="H29" s="11"/>
      <c r="I29" s="11"/>
    </row>
    <row r="30" spans="2:9" x14ac:dyDescent="0.2">
      <c r="B30" s="28"/>
      <c r="C30" s="28"/>
      <c r="D30" s="28"/>
      <c r="F30" s="11"/>
      <c r="G30" s="11"/>
      <c r="H30" s="11"/>
      <c r="I30" s="11"/>
    </row>
    <row r="31" spans="2:9" x14ac:dyDescent="0.2">
      <c r="B31" s="28"/>
      <c r="C31" s="28"/>
      <c r="D31" s="28"/>
      <c r="F31" s="11"/>
      <c r="G31" s="11"/>
      <c r="H31" s="11"/>
      <c r="I31" s="11"/>
    </row>
    <row r="32" spans="2:9" x14ac:dyDescent="0.2">
      <c r="B32" s="28"/>
      <c r="C32" s="28"/>
      <c r="D32" s="28"/>
      <c r="F32" s="11"/>
      <c r="G32" s="11"/>
      <c r="H32" s="11"/>
      <c r="I32" s="11"/>
    </row>
    <row r="33" spans="2:9" x14ac:dyDescent="0.2">
      <c r="B33" s="28"/>
      <c r="C33" s="28"/>
      <c r="D33" s="28"/>
      <c r="F33" s="11"/>
      <c r="G33" s="11"/>
      <c r="H33" s="11"/>
      <c r="I33" s="11"/>
    </row>
    <row r="34" spans="2:9" x14ac:dyDescent="0.2">
      <c r="B34" s="28"/>
      <c r="C34" s="28"/>
      <c r="D34" s="28"/>
      <c r="F34" s="11"/>
      <c r="G34" s="11"/>
      <c r="H34" s="11"/>
      <c r="I34" s="11"/>
    </row>
    <row r="35" spans="2:9" x14ac:dyDescent="0.2">
      <c r="B35" s="28"/>
      <c r="C35" s="28"/>
      <c r="D35" s="28"/>
      <c r="F35" s="11"/>
      <c r="G35" s="11"/>
      <c r="H35" s="11"/>
      <c r="I35" s="11"/>
    </row>
    <row r="36" spans="2:9" x14ac:dyDescent="0.2">
      <c r="B36" s="28"/>
      <c r="C36" s="28"/>
      <c r="D36" s="28"/>
      <c r="F36" s="11"/>
      <c r="G36" s="11"/>
      <c r="H36" s="11"/>
      <c r="I36" s="11"/>
    </row>
    <row r="37" spans="2:9" x14ac:dyDescent="0.2">
      <c r="B37" s="28"/>
      <c r="C37" s="28"/>
      <c r="D37" s="28"/>
      <c r="F37" s="11"/>
      <c r="G37" s="11"/>
      <c r="H37" s="11"/>
      <c r="I37" s="11"/>
    </row>
    <row r="38" spans="2:9" x14ac:dyDescent="0.2">
      <c r="B38" s="28"/>
      <c r="C38" s="28"/>
      <c r="D38" s="28"/>
      <c r="F38" s="11"/>
      <c r="G38" s="11"/>
      <c r="H38" s="11"/>
      <c r="I38" s="11"/>
    </row>
    <row r="39" spans="2:9" x14ac:dyDescent="0.2">
      <c r="B39" s="28"/>
      <c r="C39" s="28"/>
      <c r="D39" s="28"/>
      <c r="F39" s="11"/>
      <c r="G39" s="11"/>
      <c r="H39" s="11"/>
      <c r="I39" s="11"/>
    </row>
    <row r="40" spans="2:9" x14ac:dyDescent="0.2">
      <c r="B40" s="28"/>
      <c r="C40" s="28"/>
      <c r="D40" s="28"/>
      <c r="F40" s="11"/>
      <c r="G40" s="11"/>
      <c r="H40" s="11"/>
      <c r="I40" s="11"/>
    </row>
    <row r="41" spans="2:9" x14ac:dyDescent="0.2">
      <c r="B41" s="28"/>
      <c r="C41" s="28"/>
      <c r="D41" s="28"/>
      <c r="F41" s="11"/>
      <c r="G41" s="11"/>
      <c r="H41" s="11"/>
      <c r="I41" s="11"/>
    </row>
    <row r="42" spans="2:9" x14ac:dyDescent="0.2">
      <c r="B42" s="28"/>
      <c r="C42" s="28"/>
      <c r="D42" s="28"/>
      <c r="F42" s="11"/>
      <c r="G42" s="11"/>
      <c r="H42" s="11"/>
      <c r="I42" s="11"/>
    </row>
    <row r="43" spans="2:9" x14ac:dyDescent="0.2">
      <c r="B43" s="28"/>
      <c r="C43" s="28"/>
      <c r="D43" s="28"/>
      <c r="F43" s="11"/>
      <c r="G43" s="11"/>
      <c r="H43" s="11"/>
      <c r="I43" s="11"/>
    </row>
  </sheetData>
  <mergeCells count="1">
    <mergeCell ref="B24:D43"/>
  </mergeCells>
  <dataValidations count="8">
    <dataValidation allowBlank="1" showInputMessage="1" showErrorMessage="1" prompt="Sellel töölehel saate luua projekti parameetrid. Sisestage paremal asuvasse lahtrisse ettevõtte nimi. Selle veeru lahtritest leiate kasulikke juhiseid. Liikuge alustamiseks noolega alla." sqref="A1" xr:uid="{91F26DDA-7CCA-4E02-A18E-3D1AFE714CB3}"/>
    <dataValidation allowBlank="1" showInputMessage="1" showErrorMessage="1" prompt="Parempoolses lahtris on selle töölehe pealkiri." sqref="A2" xr:uid="{2C5B12D8-C364-4164-B4D5-D63E1A2238C2}"/>
    <dataValidation allowBlank="1" showInputMessage="1" showErrorMessage="1" prompt="Paremal asuvas lahtris on konfidentsiaalsusteade." sqref="A3" xr:uid="{3F02BA0A-DD55-43ED-B1CD-B06A26A73841}"/>
    <dataValidation allowBlank="1" showInputMessage="1" showErrorMessage="1" prompt="Näpunäide on parempoolses lahtris." sqref="A4" xr:uid="{F3744A54-83FC-47C1-9C15-A50282A47AD8}"/>
    <dataValidation allowBlank="1" showInputMessage="1" showErrorMessage="1" prompt="Sisestage üksikasjad parempoolsest lahtrist algavasse tabelisse Parameetrid. Järgmised juhised on toodud lahtris A12." sqref="A5" xr:uid="{1DFF8811-9B69-4644-B785-C216CE5DAA82}"/>
    <dataValidation allowBlank="1" showInputMessage="1" showErrorMessage="1" prompt="Sisestage kombineeritud hinnad paremal asuvatesse lahtritesse C12–H12. Järgmine juhis on lahtris A14." sqref="A12" xr:uid="{E6293BD8-FCA4-4626-9AA5-C91B25A408B8}"/>
    <dataValidation allowBlank="1" showInputMessage="1" showErrorMessage="1" prompt="Tulpdiagramm, kus selles lahtris on kujutatud plaanitud ja tegeliku kulu võrdlus." sqref="A13" xr:uid="{1BCF02F6-B2B5-45D8-A29B-60CC81801125}"/>
    <dataValidation allowBlank="1" showInputMessage="1" showErrorMessage="1" prompt="Paremal asuvas lahtris asub kavandatud ja tegeliku hinna võrdlust kuvav tulpdiagramm, lahtris F14 asub kavandatud ja tegelike tundide võrdlust kuvav tulpdiagramm." sqref="A14" xr:uid="{F38CF4BC-4477-466E-BE3D-3102DF1EE3E4}"/>
  </dataValidations>
  <printOptions horizontalCentered="1"/>
  <pageMargins left="0.4" right="0.4" top="0.4" bottom="0.4" header="0.3" footer="0.3"/>
  <pageSetup paperSize="9" scale="83" fitToHeight="0" orientation="landscape" horizontalDpi="4294967293" r:id="rId1"/>
  <headerFooter differentFirst="1">
    <oddFooter>Page &amp;P of &amp;N</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pageSetUpPr fitToPage="1"/>
  </sheetPr>
  <dimension ref="A1:W10"/>
  <sheetViews>
    <sheetView showGridLines="0" zoomScaleNormal="100" workbookViewId="0"/>
  </sheetViews>
  <sheetFormatPr defaultColWidth="9.140625" defaultRowHeight="14.25" x14ac:dyDescent="0.2"/>
  <cols>
    <col min="1" max="1" width="1.7109375" style="11" customWidth="1"/>
    <col min="2" max="2" width="25.5703125" style="1" customWidth="1"/>
    <col min="3" max="3" width="27.140625" style="1" customWidth="1"/>
    <col min="4" max="5" width="14.7109375" style="1" customWidth="1"/>
    <col min="6" max="6" width="13" style="1" customWidth="1"/>
    <col min="7" max="7" width="12.28515625" style="1" customWidth="1"/>
    <col min="8" max="8" width="15.28515625" style="1" customWidth="1"/>
    <col min="9" max="9" width="13.28515625" style="1" customWidth="1"/>
    <col min="10" max="10" width="15.85546875" style="1" customWidth="1"/>
    <col min="11" max="11" width="12.42578125" style="1" customWidth="1"/>
    <col min="12" max="12" width="15.5703125" style="1" hidden="1" customWidth="1"/>
    <col min="13" max="13" width="14.140625" style="1" hidden="1" customWidth="1"/>
    <col min="14" max="14" width="17.140625" style="1" hidden="1" customWidth="1"/>
    <col min="15" max="15" width="21.85546875" style="1" hidden="1" customWidth="1"/>
    <col min="16" max="16" width="11.140625" style="1" hidden="1" customWidth="1"/>
    <col min="17" max="17" width="19" style="1" hidden="1" customWidth="1"/>
    <col min="18" max="18" width="17.140625" style="1" hidden="1" customWidth="1"/>
    <col min="19" max="19" width="16" style="1" hidden="1" customWidth="1"/>
    <col min="20" max="20" width="20.28515625" style="1" hidden="1" customWidth="1"/>
    <col min="21" max="21" width="24.85546875" style="1" hidden="1" customWidth="1"/>
    <col min="22" max="22" width="13.5703125" style="1" hidden="1" customWidth="1"/>
    <col min="23" max="23" width="20" style="1" hidden="1" customWidth="1"/>
    <col min="24" max="24" width="2.7109375" style="1" customWidth="1"/>
    <col min="25" max="16384" width="9.140625" style="1"/>
  </cols>
  <sheetData>
    <row r="1" spans="1:23" ht="35.450000000000003" customHeight="1" x14ac:dyDescent="0.35">
      <c r="B1" s="2" t="str">
        <f>'PROJEKTI PARAMEETRID'!B1</f>
        <v>Ettevõtte nimi</v>
      </c>
      <c r="C1" s="2"/>
      <c r="D1" s="2"/>
      <c r="E1" s="2"/>
      <c r="F1" s="2"/>
      <c r="G1" s="2"/>
      <c r="H1" s="2"/>
      <c r="I1" s="2"/>
      <c r="J1" s="2"/>
      <c r="K1" s="2"/>
    </row>
    <row r="2" spans="1:23" ht="19.5" x14ac:dyDescent="0.25">
      <c r="B2" s="3" t="s">
        <v>8</v>
      </c>
      <c r="C2" s="3"/>
      <c r="D2" s="3"/>
      <c r="E2" s="3"/>
      <c r="F2" s="3"/>
      <c r="G2" s="3"/>
      <c r="H2" s="3"/>
      <c r="I2" s="3"/>
      <c r="J2" s="3"/>
      <c r="K2" s="3"/>
    </row>
    <row r="3" spans="1:23" s="13" customFormat="1" ht="29.25" customHeight="1" x14ac:dyDescent="0.2">
      <c r="A3" s="16"/>
      <c r="B3" s="14" t="str">
        <f>'PROJEKTI PARAMEETRID'!B3</f>
        <v>Ettevõtte nimi Konfidentsiaalne</v>
      </c>
      <c r="C3" s="14"/>
      <c r="D3" s="14"/>
      <c r="E3" s="14"/>
      <c r="F3" s="14"/>
      <c r="G3" s="14"/>
      <c r="H3" s="14"/>
      <c r="I3" s="14"/>
      <c r="J3" s="14"/>
      <c r="K3" s="14"/>
    </row>
    <row r="4" spans="1:23" ht="25.5" customHeight="1" x14ac:dyDescent="0.2">
      <c r="A4" s="20" t="s">
        <v>30</v>
      </c>
      <c r="B4" s="24" t="s">
        <v>31</v>
      </c>
      <c r="C4" s="24" t="s">
        <v>10</v>
      </c>
      <c r="D4" s="24" t="s">
        <v>38</v>
      </c>
      <c r="E4" s="24" t="s">
        <v>39</v>
      </c>
      <c r="F4" s="24" t="s">
        <v>40</v>
      </c>
      <c r="G4" s="24" t="s">
        <v>41</v>
      </c>
      <c r="H4" s="24" t="s">
        <v>42</v>
      </c>
      <c r="I4" s="24" t="s">
        <v>43</v>
      </c>
      <c r="J4" s="24" t="s">
        <v>44</v>
      </c>
      <c r="K4" s="24" t="s">
        <v>45</v>
      </c>
      <c r="L4" s="21" t="s">
        <v>22</v>
      </c>
      <c r="M4" s="21" t="s">
        <v>23</v>
      </c>
      <c r="N4" s="21" t="s">
        <v>24</v>
      </c>
      <c r="O4" s="21" t="s">
        <v>25</v>
      </c>
      <c r="P4" s="21" t="s">
        <v>27</v>
      </c>
      <c r="Q4" s="21" t="s">
        <v>28</v>
      </c>
      <c r="R4" s="22" t="s">
        <v>46</v>
      </c>
      <c r="S4" s="22" t="s">
        <v>47</v>
      </c>
      <c r="T4" s="22" t="s">
        <v>48</v>
      </c>
      <c r="U4" s="22" t="s">
        <v>49</v>
      </c>
      <c r="V4" s="22" t="s">
        <v>50</v>
      </c>
      <c r="W4" s="22" t="s">
        <v>51</v>
      </c>
    </row>
    <row r="5" spans="1:23" x14ac:dyDescent="0.2">
      <c r="B5" t="s">
        <v>32</v>
      </c>
      <c r="C5" t="s">
        <v>11</v>
      </c>
      <c r="D5" s="23">
        <f ca="1">DATE(YEAR(TODAY()),6,9)</f>
        <v>44721</v>
      </c>
      <c r="E5" s="23">
        <f ca="1" xml:space="preserve"> DATE(YEAR(TODAY()),8,7)</f>
        <v>44780</v>
      </c>
      <c r="F5" s="23">
        <f ca="1">DATE(YEAR(TODAY()),6,29)</f>
        <v>44741</v>
      </c>
      <c r="G5" s="23">
        <f ca="1">DATE(YEAR(TODAY()),9,3)</f>
        <v>44807</v>
      </c>
      <c r="H5">
        <v>200</v>
      </c>
      <c r="I5">
        <v>220</v>
      </c>
      <c r="J5">
        <f ca="1">DAYS360(ProjektiÜksikasjad[[#This Row],[HINNANGULINE ALGUSAEG]],ProjektiÜksikasjad[[#This Row],[HINNANGULINE LÕPPAEG]],FALSE)</f>
        <v>58</v>
      </c>
      <c r="K5">
        <f ca="1">DAYS360(ProjektiÜksikasjad[[#This Row],[TEGELIK ALGUSAEG]],ProjektiÜksikasjad[[#This Row],[TEGELIK LÕPPAEG]],FALSE)</f>
        <v>64</v>
      </c>
      <c r="L5" s="27">
        <f>INDEX(Parameetrid[],MATCH(ProjektiÜksikasjad[[#This Row],[PROJEKTI TÜÜP]],Parameetrid[PROJEKTI TÜÜP],0),MATCH(ProjektiÜksikasjad[[#Headers],[KONTOHALDUR]],Parameetrid[#Headers],0))*INDEX('PROJEKTI PARAMEETRID'!$B$12:$H$12,1,MATCH(ProjektiÜksikasjad[[#Headers],[KONTOHALDUR]],Parameetrid[#Headers],0))*ProjektiÜksikasjad[[#This Row],[HINNANGULINE TÖÖ MAHT]]</f>
        <v>7200</v>
      </c>
      <c r="M5" s="27">
        <f>INDEX(Parameetrid[],MATCH(ProjektiÜksikasjad[[#This Row],[PROJEKTI TÜÜP]],Parameetrid[PROJEKTI TÜÜP],0),MATCH(ProjektiÜksikasjad[[#Headers],[PROJEKTIJUHT]],Parameetrid[#Headers],0))*INDEX('PROJEKTI PARAMEETRID'!$B$12:$H$12,1,MATCH(ProjektiÜksikasjad[[#Headers],[PROJEKTIJUHT]],Parameetrid[#Headers],0))*ProjektiÜksikasjad[[#This Row],[HINNANGULINE TÖÖ MAHT]]</f>
        <v>2400</v>
      </c>
      <c r="N5" s="27">
        <f>INDEX(Parameetrid[],MATCH(ProjektiÜksikasjad[[#This Row],[PROJEKTI TÜÜP]],Parameetrid[PROJEKTI TÜÜP],0),MATCH(ProjektiÜksikasjad[[#Headers],[STRATEEGIAJUHT]],Parameetrid[#Headers],0))*INDEX('PROJEKTI PARAMEETRID'!$B$12:$H$12,1,MATCH(ProjektiÜksikasjad[[#Headers],[STRATEEGIAJUHT]],Parameetrid[#Headers],0))*ProjektiÜksikasjad[[#This Row],[HINNANGULINE TÖÖ MAHT]]</f>
        <v>18000</v>
      </c>
      <c r="O5" s="27">
        <f>INDEX(Parameetrid[],MATCH(ProjektiÜksikasjad[[#This Row],[PROJEKTI TÜÜP]],Parameetrid[PROJEKTI TÜÜP],0),MATCH(ProjektiÜksikasjad[[#Headers],[KUJUNDUSSPETSIALIST]],Parameetrid[#Headers],0))*INDEX('PROJEKTI PARAMEETRID'!$B$12:$H$12,1,MATCH(ProjektiÜksikasjad[[#Headers],[KUJUNDUSSPETSIALIST]],Parameetrid[#Headers],0))*ProjektiÜksikasjad[[#This Row],[HINNANGULINE TÖÖ MAHT]]</f>
        <v>0</v>
      </c>
      <c r="P5" s="27">
        <f>INDEX(Parameetrid[],MATCH(ProjektiÜksikasjad[[#This Row],[PROJEKTI TÜÜP]],Parameetrid[PROJEKTI TÜÜP],0),MATCH(ProjektiÜksikasjad[[#Headers],[ÜRITUSE PERSONAL]],Parameetrid[#Headers],0))*INDEX('PROJEKTI PARAMEETRID'!$B$12:$H$12,1,MATCH(ProjektiÜksikasjad[[#Headers],[ÜRITUSE PERSONAL]],Parameetrid[#Headers],0))*ProjektiÜksikasjad[[#This Row],[HINNANGULINE TÖÖ MAHT]]</f>
        <v>0</v>
      </c>
      <c r="Q5" s="27">
        <f>INDEX(Parameetrid[],MATCH(ProjektiÜksikasjad[[#This Row],[PROJEKTI TÜÜP]],Parameetrid[PROJEKTI TÜÜP],0),MATCH(ProjektiÜksikasjad[[#Headers],[HALDUSPERSONAL]],Parameetrid[#Headers],0))*INDEX('PROJEKTI PARAMEETRID'!$B$12:$H$12,1,MATCH(ProjektiÜksikasjad[[#Headers],[HALDUSPERSONAL]],Parameetrid[#Headers],0))*ProjektiÜksikasjad[[#This Row],[HINNANGULINE TÖÖ MAHT]]</f>
        <v>1200</v>
      </c>
      <c r="R5" s="27">
        <f>INDEX(Parameetrid[],MATCH(ProjektiÜksikasjad[[#This Row],[PROJEKTI TÜÜP]],Parameetrid[PROJEKTI TÜÜP],0),MATCH(ProjektiÜksikasjad[[#Headers],[KONTOHALDUR]],Parameetrid[#Headers],0))*INDEX('PROJEKTI PARAMEETRID'!$B$12:$H$12,1,MATCH(ProjektiÜksikasjad[[#Headers],[KONTOHALDUR]],Parameetrid[#Headers],0))*ProjektiÜksikasjad[[#This Row],[TEGELIK TÖÖ MAHT]]</f>
        <v>7920</v>
      </c>
      <c r="S5" s="27">
        <f>INDEX(Parameetrid[],MATCH(ProjektiÜksikasjad[[#This Row],[PROJEKTI TÜÜP]],Parameetrid[PROJEKTI TÜÜP],0),MATCH(ProjektiÜksikasjad[[#Headers],[PROJEKTIJUHT]],Parameetrid[#Headers],0))*INDEX('PROJEKTI PARAMEETRID'!$B$12:$H$12,1,MATCH(ProjektiÜksikasjad[[#Headers],[PROJEKTIJUHT]],Parameetrid[#Headers],0))*ProjektiÜksikasjad[[#This Row],[TEGELIK TÖÖ MAHT]]</f>
        <v>2640</v>
      </c>
      <c r="T5" s="27">
        <f>INDEX(Parameetrid[],MATCH(ProjektiÜksikasjad[[#This Row],[PROJEKTI TÜÜP]],Parameetrid[PROJEKTI TÜÜP],0),MATCH(ProjektiÜksikasjad[[#Headers],[STRATEEGIAJUHT]],Parameetrid[#Headers],0))*INDEX('PROJEKTI PARAMEETRID'!$B$12:$H$12,1,MATCH(ProjektiÜksikasjad[[#Headers],[STRATEEGIAJUHT]],Parameetrid[#Headers],0))*ProjektiÜksikasjad[[#This Row],[TEGELIK TÖÖ MAHT]]</f>
        <v>19800</v>
      </c>
      <c r="U5" s="27">
        <f>INDEX(Parameetrid[],MATCH(ProjektiÜksikasjad[[#This Row],[PROJEKTI TÜÜP]],Parameetrid[PROJEKTI TÜÜP],0),MATCH(ProjektiÜksikasjad[[#Headers],[KUJUNDUSSPETSIALIST]],Parameetrid[#Headers],0))*INDEX('PROJEKTI PARAMEETRID'!$B$12:$H$12,1,MATCH(ProjektiÜksikasjad[[#Headers],[KUJUNDUSSPETSIALIST]],Parameetrid[#Headers],0))*ProjektiÜksikasjad[[#This Row],[TEGELIK TÖÖ MAHT]]</f>
        <v>0</v>
      </c>
      <c r="V5" s="27">
        <f>INDEX(Parameetrid[],MATCH(ProjektiÜksikasjad[[#This Row],[PROJEKTI TÜÜP]],Parameetrid[PROJEKTI TÜÜP],0),MATCH(ProjektiÜksikasjad[[#Headers],[ÜRITUSE PERSONAL]],Parameetrid[#Headers],0))*INDEX('PROJEKTI PARAMEETRID'!$B$12:$H$12,1,MATCH(ProjektiÜksikasjad[[#Headers],[ÜRITUSE PERSONAL]],Parameetrid[#Headers],0))*ProjektiÜksikasjad[[#This Row],[TEGELIK TÖÖ MAHT]]</f>
        <v>0</v>
      </c>
      <c r="W5" s="27">
        <f>INDEX(Parameetrid[],MATCH(ProjektiÜksikasjad[[#This Row],[PROJEKTI TÜÜP]],Parameetrid[PROJEKTI TÜÜP],0),MATCH(ProjektiÜksikasjad[[#Headers],[HALDUSPERSONAL]],Parameetrid[#Headers],0))*INDEX('PROJEKTI PARAMEETRID'!$B$12:$H$12,1,MATCH(ProjektiÜksikasjad[[#Headers],[HALDUSPERSONAL]],Parameetrid[#Headers],0))*ProjektiÜksikasjad[[#This Row],[TEGELIK TÖÖ MAHT]]</f>
        <v>1320</v>
      </c>
    </row>
    <row r="6" spans="1:23" x14ac:dyDescent="0.2">
      <c r="B6" t="s">
        <v>33</v>
      </c>
      <c r="C6" t="s">
        <v>12</v>
      </c>
      <c r="D6" s="23">
        <f ca="1">DATE(YEAR(TODAY())+1,6,25)</f>
        <v>45102</v>
      </c>
      <c r="E6" s="23">
        <f ca="1">DATE(YEAR(TODAY())+1,7,27)</f>
        <v>45134</v>
      </c>
      <c r="F6" s="23">
        <f ca="1">DATE(YEAR(TODAY()),7,15)</f>
        <v>44757</v>
      </c>
      <c r="G6" s="23">
        <f ca="1">DATE(YEAR(TODAY())+1,8,25)</f>
        <v>45163</v>
      </c>
      <c r="H6">
        <v>400</v>
      </c>
      <c r="I6">
        <v>390</v>
      </c>
      <c r="J6">
        <f ca="1">DAYS360(ProjektiÜksikasjad[[#This Row],[HINNANGULINE ALGUSAEG]],ProjektiÜksikasjad[[#This Row],[HINNANGULINE LÕPPAEG]],FALSE)</f>
        <v>32</v>
      </c>
      <c r="K6">
        <f ca="1">DAYS360(ProjektiÜksikasjad[[#This Row],[TEGELIK ALGUSAEG]],ProjektiÜksikasjad[[#This Row],[TEGELIK LÕPPAEG]],FALSE)</f>
        <v>400</v>
      </c>
      <c r="L6" s="27">
        <f>INDEX(Parameetrid[],MATCH(ProjektiÜksikasjad[[#This Row],[PROJEKTI TÜÜP]],Parameetrid[PROJEKTI TÜÜP],0),MATCH(ProjektiÜksikasjad[[#Headers],[KONTOHALDUR]],Parameetrid[#Headers],0))*INDEX('PROJEKTI PARAMEETRID'!$B$12:$H$12,1,MATCH(ProjektiÜksikasjad[[#Headers],[KONTOHALDUR]],Parameetrid[#Headers],0))*ProjektiÜksikasjad[[#This Row],[HINNANGULINE TÖÖ MAHT]]</f>
        <v>14400</v>
      </c>
      <c r="M6" s="27">
        <f>INDEX(Parameetrid[],MATCH(ProjektiÜksikasjad[[#This Row],[PROJEKTI TÜÜP]],Parameetrid[PROJEKTI TÜÜP],0),MATCH(ProjektiÜksikasjad[[#Headers],[PROJEKTIJUHT]],Parameetrid[#Headers],0))*INDEX('PROJEKTI PARAMEETRID'!$B$12:$H$12,1,MATCH(ProjektiÜksikasjad[[#Headers],[PROJEKTIJUHT]],Parameetrid[#Headers],0))*ProjektiÜksikasjad[[#This Row],[HINNANGULINE TÖÖ MAHT]]</f>
        <v>24000</v>
      </c>
      <c r="N6" s="27">
        <f>INDEX(Parameetrid[],MATCH(ProjektiÜksikasjad[[#This Row],[PROJEKTI TÜÜP]],Parameetrid[PROJEKTI TÜÜP],0),MATCH(ProjektiÜksikasjad[[#Headers],[STRATEEGIAJUHT]],Parameetrid[#Headers],0))*INDEX('PROJEKTI PARAMEETRID'!$B$12:$H$12,1,MATCH(ProjektiÜksikasjad[[#Headers],[STRATEEGIAJUHT]],Parameetrid[#Headers],0))*ProjektiÜksikasjad[[#This Row],[HINNANGULINE TÖÖ MAHT]]</f>
        <v>6000</v>
      </c>
      <c r="O6" s="27">
        <f>INDEX(Parameetrid[],MATCH(ProjektiÜksikasjad[[#This Row],[PROJEKTI TÜÜP]],Parameetrid[PROJEKTI TÜÜP],0),MATCH(ProjektiÜksikasjad[[#Headers],[KUJUNDUSSPETSIALIST]],Parameetrid[#Headers],0))*INDEX('PROJEKTI PARAMEETRID'!$B$12:$H$12,1,MATCH(ProjektiÜksikasjad[[#Headers],[KUJUNDUSSPETSIALIST]],Parameetrid[#Headers],0))*ProjektiÜksikasjad[[#This Row],[HINNANGULINE TÖÖ MAHT]]</f>
        <v>4000</v>
      </c>
      <c r="P6" s="27">
        <f>INDEX(Parameetrid[],MATCH(ProjektiÜksikasjad[[#This Row],[PROJEKTI TÜÜP]],Parameetrid[PROJEKTI TÜÜP],0),MATCH(ProjektiÜksikasjad[[#Headers],[ÜRITUSE PERSONAL]],Parameetrid[#Headers],0))*INDEX('PROJEKTI PARAMEETRID'!$B$12:$H$12,1,MATCH(ProjektiÜksikasjad[[#Headers],[ÜRITUSE PERSONAL]],Parameetrid[#Headers],0))*ProjektiÜksikasjad[[#This Row],[HINNANGULINE TÖÖ MAHT]]</f>
        <v>0</v>
      </c>
      <c r="Q6" s="27">
        <f>INDEX(Parameetrid[],MATCH(ProjektiÜksikasjad[[#This Row],[PROJEKTI TÜÜP]],Parameetrid[PROJEKTI TÜÜP],0),MATCH(ProjektiÜksikasjad[[#Headers],[HALDUSPERSONAL]],Parameetrid[#Headers],0))*INDEX('PROJEKTI PARAMEETRID'!$B$12:$H$12,1,MATCH(ProjektiÜksikasjad[[#Headers],[HALDUSPERSONAL]],Parameetrid[#Headers],0))*ProjektiÜksikasjad[[#This Row],[HINNANGULINE TÖÖ MAHT]]</f>
        <v>2400</v>
      </c>
      <c r="R6" s="27">
        <f>INDEX(Parameetrid[],MATCH(ProjektiÜksikasjad[[#This Row],[PROJEKTI TÜÜP]],Parameetrid[PROJEKTI TÜÜP],0),MATCH(ProjektiÜksikasjad[[#Headers],[KONTOHALDUR]],Parameetrid[#Headers],0))*INDEX('PROJEKTI PARAMEETRID'!$B$12:$H$12,1,MATCH(ProjektiÜksikasjad[[#Headers],[KONTOHALDUR]],Parameetrid[#Headers],0))*ProjektiÜksikasjad[[#This Row],[TEGELIK TÖÖ MAHT]]</f>
        <v>14040</v>
      </c>
      <c r="S6" s="27">
        <f>INDEX(Parameetrid[],MATCH(ProjektiÜksikasjad[[#This Row],[PROJEKTI TÜÜP]],Parameetrid[PROJEKTI TÜÜP],0),MATCH(ProjektiÜksikasjad[[#Headers],[PROJEKTIJUHT]],Parameetrid[#Headers],0))*INDEX('PROJEKTI PARAMEETRID'!$B$12:$H$12,1,MATCH(ProjektiÜksikasjad[[#Headers],[PROJEKTIJUHT]],Parameetrid[#Headers],0))*ProjektiÜksikasjad[[#This Row],[TEGELIK TÖÖ MAHT]]</f>
        <v>23400</v>
      </c>
      <c r="T6" s="27">
        <f>INDEX(Parameetrid[],MATCH(ProjektiÜksikasjad[[#This Row],[PROJEKTI TÜÜP]],Parameetrid[PROJEKTI TÜÜP],0),MATCH(ProjektiÜksikasjad[[#Headers],[STRATEEGIAJUHT]],Parameetrid[#Headers],0))*INDEX('PROJEKTI PARAMEETRID'!$B$12:$H$12,1,MATCH(ProjektiÜksikasjad[[#Headers],[STRATEEGIAJUHT]],Parameetrid[#Headers],0))*ProjektiÜksikasjad[[#This Row],[TEGELIK TÖÖ MAHT]]</f>
        <v>5850</v>
      </c>
      <c r="U6" s="27">
        <f>INDEX(Parameetrid[],MATCH(ProjektiÜksikasjad[[#This Row],[PROJEKTI TÜÜP]],Parameetrid[PROJEKTI TÜÜP],0),MATCH(ProjektiÜksikasjad[[#Headers],[KUJUNDUSSPETSIALIST]],Parameetrid[#Headers],0))*INDEX('PROJEKTI PARAMEETRID'!$B$12:$H$12,1,MATCH(ProjektiÜksikasjad[[#Headers],[KUJUNDUSSPETSIALIST]],Parameetrid[#Headers],0))*ProjektiÜksikasjad[[#This Row],[TEGELIK TÖÖ MAHT]]</f>
        <v>3900</v>
      </c>
      <c r="V6" s="27">
        <f>INDEX(Parameetrid[],MATCH(ProjektiÜksikasjad[[#This Row],[PROJEKTI TÜÜP]],Parameetrid[PROJEKTI TÜÜP],0),MATCH(ProjektiÜksikasjad[[#Headers],[ÜRITUSE PERSONAL]],Parameetrid[#Headers],0))*INDEX('PROJEKTI PARAMEETRID'!$B$12:$H$12,1,MATCH(ProjektiÜksikasjad[[#Headers],[ÜRITUSE PERSONAL]],Parameetrid[#Headers],0))*ProjektiÜksikasjad[[#This Row],[TEGELIK TÖÖ MAHT]]</f>
        <v>0</v>
      </c>
      <c r="W6" s="27">
        <f>INDEX(Parameetrid[],MATCH(ProjektiÜksikasjad[[#This Row],[PROJEKTI TÜÜP]],Parameetrid[PROJEKTI TÜÜP],0),MATCH(ProjektiÜksikasjad[[#Headers],[HALDUSPERSONAL]],Parameetrid[#Headers],0))*INDEX('PROJEKTI PARAMEETRID'!$B$12:$H$12,1,MATCH(ProjektiÜksikasjad[[#Headers],[HALDUSPERSONAL]],Parameetrid[#Headers],0))*ProjektiÜksikasjad[[#This Row],[TEGELIK TÖÖ MAHT]]</f>
        <v>2340</v>
      </c>
    </row>
    <row r="7" spans="1:23" x14ac:dyDescent="0.2">
      <c r="B7" t="s">
        <v>34</v>
      </c>
      <c r="C7" t="s">
        <v>13</v>
      </c>
      <c r="D7" s="23">
        <f ca="1">DATE(YEAR(TODAY())+2,7,12)</f>
        <v>45485</v>
      </c>
      <c r="E7" s="23">
        <f ca="1">DATE(YEAR(TODAY())+2,9,19)</f>
        <v>45554</v>
      </c>
      <c r="F7" s="23">
        <v>45876</v>
      </c>
      <c r="G7" s="23">
        <v>45940</v>
      </c>
      <c r="H7">
        <v>500</v>
      </c>
      <c r="I7">
        <v>500</v>
      </c>
      <c r="J7">
        <f ca="1">DAYS360(ProjektiÜksikasjad[[#This Row],[HINNANGULINE ALGUSAEG]],ProjektiÜksikasjad[[#This Row],[HINNANGULINE LÕPPAEG]],FALSE)</f>
        <v>67</v>
      </c>
      <c r="K7">
        <f>DAYS360(ProjektiÜksikasjad[[#This Row],[TEGELIK ALGUSAEG]],ProjektiÜksikasjad[[#This Row],[TEGELIK LÕPPAEG]],FALSE)</f>
        <v>63</v>
      </c>
      <c r="L7" s="27">
        <f>INDEX(Parameetrid[],MATCH(ProjektiÜksikasjad[[#This Row],[PROJEKTI TÜÜP]],Parameetrid[PROJEKTI TÜÜP],0),MATCH(ProjektiÜksikasjad[[#Headers],[KONTOHALDUR]],Parameetrid[#Headers],0))*INDEX('PROJEKTI PARAMEETRID'!$B$12:$H$12,1,MATCH(ProjektiÜksikasjad[[#Headers],[KONTOHALDUR]],Parameetrid[#Headers],0))*ProjektiÜksikasjad[[#This Row],[HINNANGULINE TÖÖ MAHT]]</f>
        <v>18000</v>
      </c>
      <c r="M7" s="27">
        <f>INDEX(Parameetrid[],MATCH(ProjektiÜksikasjad[[#This Row],[PROJEKTI TÜÜP]],Parameetrid[PROJEKTI TÜÜP],0),MATCH(ProjektiÜksikasjad[[#Headers],[PROJEKTIJUHT]],Parameetrid[#Headers],0))*INDEX('PROJEKTI PARAMEETRID'!$B$12:$H$12,1,MATCH(ProjektiÜksikasjad[[#Headers],[PROJEKTIJUHT]],Parameetrid[#Headers],0))*ProjektiÜksikasjad[[#This Row],[HINNANGULINE TÖÖ MAHT]]</f>
        <v>12000</v>
      </c>
      <c r="N7" s="27">
        <f>INDEX(Parameetrid[],MATCH(ProjektiÜksikasjad[[#This Row],[PROJEKTI TÜÜP]],Parameetrid[PROJEKTI TÜÜP],0),MATCH(ProjektiÜksikasjad[[#Headers],[STRATEEGIAJUHT]],Parameetrid[#Headers],0))*INDEX('PROJEKTI PARAMEETRID'!$B$12:$H$12,1,MATCH(ProjektiÜksikasjad[[#Headers],[STRATEEGIAJUHT]],Parameetrid[#Headers],0))*ProjektiÜksikasjad[[#This Row],[HINNANGULINE TÖÖ MAHT]]</f>
        <v>0</v>
      </c>
      <c r="O7" s="27">
        <f>INDEX(Parameetrid[],MATCH(ProjektiÜksikasjad[[#This Row],[PROJEKTI TÜÜP]],Parameetrid[PROJEKTI TÜÜP],0),MATCH(ProjektiÜksikasjad[[#Headers],[KUJUNDUSSPETSIALIST]],Parameetrid[#Headers],0))*INDEX('PROJEKTI PARAMEETRID'!$B$12:$H$12,1,MATCH(ProjektiÜksikasjad[[#Headers],[KUJUNDUSSPETSIALIST]],Parameetrid[#Headers],0))*ProjektiÜksikasjad[[#This Row],[HINNANGULINE TÖÖ MAHT]]</f>
        <v>25000</v>
      </c>
      <c r="P7" s="27">
        <f>INDEX(Parameetrid[],MATCH(ProjektiÜksikasjad[[#This Row],[PROJEKTI TÜÜP]],Parameetrid[PROJEKTI TÜÜP],0),MATCH(ProjektiÜksikasjad[[#Headers],[ÜRITUSE PERSONAL]],Parameetrid[#Headers],0))*INDEX('PROJEKTI PARAMEETRID'!$B$12:$H$12,1,MATCH(ProjektiÜksikasjad[[#Headers],[ÜRITUSE PERSONAL]],Parameetrid[#Headers],0))*ProjektiÜksikasjad[[#This Row],[HINNANGULINE TÖÖ MAHT]]</f>
        <v>0</v>
      </c>
      <c r="Q7" s="27">
        <f>INDEX(Parameetrid[],MATCH(ProjektiÜksikasjad[[#This Row],[PROJEKTI TÜÜP]],Parameetrid[PROJEKTI TÜÜP],0),MATCH(ProjektiÜksikasjad[[#Headers],[HALDUSPERSONAL]],Parameetrid[#Headers],0))*INDEX('PROJEKTI PARAMEETRID'!$B$12:$H$12,1,MATCH(ProjektiÜksikasjad[[#Headers],[HALDUSPERSONAL]],Parameetrid[#Headers],0))*ProjektiÜksikasjad[[#This Row],[HINNANGULINE TÖÖ MAHT]]</f>
        <v>3000</v>
      </c>
      <c r="R7" s="27">
        <f>INDEX(Parameetrid[],MATCH(ProjektiÜksikasjad[[#This Row],[PROJEKTI TÜÜP]],Parameetrid[PROJEKTI TÜÜP],0),MATCH(ProjektiÜksikasjad[[#Headers],[KONTOHALDUR]],Parameetrid[#Headers],0))*INDEX('PROJEKTI PARAMEETRID'!$B$12:$H$12,1,MATCH(ProjektiÜksikasjad[[#Headers],[KONTOHALDUR]],Parameetrid[#Headers],0))*ProjektiÜksikasjad[[#This Row],[TEGELIK TÖÖ MAHT]]</f>
        <v>18000</v>
      </c>
      <c r="S7" s="27">
        <f>INDEX(Parameetrid[],MATCH(ProjektiÜksikasjad[[#This Row],[PROJEKTI TÜÜP]],Parameetrid[PROJEKTI TÜÜP],0),MATCH(ProjektiÜksikasjad[[#Headers],[PROJEKTIJUHT]],Parameetrid[#Headers],0))*INDEX('PROJEKTI PARAMEETRID'!$B$12:$H$12,1,MATCH(ProjektiÜksikasjad[[#Headers],[PROJEKTIJUHT]],Parameetrid[#Headers],0))*ProjektiÜksikasjad[[#This Row],[TEGELIK TÖÖ MAHT]]</f>
        <v>12000</v>
      </c>
      <c r="T7" s="27">
        <f>INDEX(Parameetrid[],MATCH(ProjektiÜksikasjad[[#This Row],[PROJEKTI TÜÜP]],Parameetrid[PROJEKTI TÜÜP],0),MATCH(ProjektiÜksikasjad[[#Headers],[STRATEEGIAJUHT]],Parameetrid[#Headers],0))*INDEX('PROJEKTI PARAMEETRID'!$B$12:$H$12,1,MATCH(ProjektiÜksikasjad[[#Headers],[STRATEEGIAJUHT]],Parameetrid[#Headers],0))*ProjektiÜksikasjad[[#This Row],[TEGELIK TÖÖ MAHT]]</f>
        <v>0</v>
      </c>
      <c r="U7" s="27">
        <f>INDEX(Parameetrid[],MATCH(ProjektiÜksikasjad[[#This Row],[PROJEKTI TÜÜP]],Parameetrid[PROJEKTI TÜÜP],0),MATCH(ProjektiÜksikasjad[[#Headers],[KUJUNDUSSPETSIALIST]],Parameetrid[#Headers],0))*INDEX('PROJEKTI PARAMEETRID'!$B$12:$H$12,1,MATCH(ProjektiÜksikasjad[[#Headers],[KUJUNDUSSPETSIALIST]],Parameetrid[#Headers],0))*ProjektiÜksikasjad[[#This Row],[TEGELIK TÖÖ MAHT]]</f>
        <v>25000</v>
      </c>
      <c r="V7" s="27">
        <f>INDEX(Parameetrid[],MATCH(ProjektiÜksikasjad[[#This Row],[PROJEKTI TÜÜP]],Parameetrid[PROJEKTI TÜÜP],0),MATCH(ProjektiÜksikasjad[[#Headers],[ÜRITUSE PERSONAL]],Parameetrid[#Headers],0))*INDEX('PROJEKTI PARAMEETRID'!$B$12:$H$12,1,MATCH(ProjektiÜksikasjad[[#Headers],[ÜRITUSE PERSONAL]],Parameetrid[#Headers],0))*ProjektiÜksikasjad[[#This Row],[TEGELIK TÖÖ MAHT]]</f>
        <v>0</v>
      </c>
      <c r="W7" s="27">
        <f>INDEX(Parameetrid[],MATCH(ProjektiÜksikasjad[[#This Row],[PROJEKTI TÜÜP]],Parameetrid[PROJEKTI TÜÜP],0),MATCH(ProjektiÜksikasjad[[#Headers],[HALDUSPERSONAL]],Parameetrid[#Headers],0))*INDEX('PROJEKTI PARAMEETRID'!$B$12:$H$12,1,MATCH(ProjektiÜksikasjad[[#Headers],[HALDUSPERSONAL]],Parameetrid[#Headers],0))*ProjektiÜksikasjad[[#This Row],[TEGELIK TÖÖ MAHT]]</f>
        <v>3000</v>
      </c>
    </row>
    <row r="8" spans="1:23" x14ac:dyDescent="0.2">
      <c r="B8" t="s">
        <v>35</v>
      </c>
      <c r="C8" t="s">
        <v>14</v>
      </c>
      <c r="D8" s="23">
        <f ca="1">DATE(YEAR(TODAY())+3,7,30)</f>
        <v>45868</v>
      </c>
      <c r="E8" s="23">
        <f ca="1">DATE(YEAR(TODAY())+3,9,28)</f>
        <v>45928</v>
      </c>
      <c r="F8" s="23">
        <f ca="1">DATE(YEAR(TODAY())+3,9,14)</f>
        <v>45914</v>
      </c>
      <c r="G8" s="23">
        <f ca="1">DATE(YEAR(TODAY())+3,11,13)</f>
        <v>45974</v>
      </c>
      <c r="H8">
        <v>150</v>
      </c>
      <c r="I8">
        <v>145</v>
      </c>
      <c r="J8">
        <f ca="1">DAYS360(ProjektiÜksikasjad[[#This Row],[HINNANGULINE ALGUSAEG]],ProjektiÜksikasjad[[#This Row],[HINNANGULINE LÕPPAEG]],FALSE)</f>
        <v>58</v>
      </c>
      <c r="K8">
        <f ca="1">DAYS360(ProjektiÜksikasjad[[#This Row],[TEGELIK ALGUSAEG]],ProjektiÜksikasjad[[#This Row],[TEGELIK LÕPPAEG]],FALSE)</f>
        <v>59</v>
      </c>
      <c r="L8" s="27">
        <f>INDEX(Parameetrid[],MATCH(ProjektiÜksikasjad[[#This Row],[PROJEKTI TÜÜP]],Parameetrid[PROJEKTI TÜÜP],0),MATCH(ProjektiÜksikasjad[[#Headers],[KONTOHALDUR]],Parameetrid[#Headers],0))*INDEX('PROJEKTI PARAMEETRID'!$B$12:$H$12,1,MATCH(ProjektiÜksikasjad[[#Headers],[KONTOHALDUR]],Parameetrid[#Headers],0))*ProjektiÜksikasjad[[#This Row],[HINNANGULINE TÖÖ MAHT]]</f>
        <v>5400</v>
      </c>
      <c r="M8" s="27">
        <f>INDEX(Parameetrid[],MATCH(ProjektiÜksikasjad[[#This Row],[PROJEKTI TÜÜP]],Parameetrid[PROJEKTI TÜÜP],0),MATCH(ProjektiÜksikasjad[[#Headers],[PROJEKTIJUHT]],Parameetrid[#Headers],0))*INDEX('PROJEKTI PARAMEETRID'!$B$12:$H$12,1,MATCH(ProjektiÜksikasjad[[#Headers],[PROJEKTIJUHT]],Parameetrid[#Headers],0))*ProjektiÜksikasjad[[#This Row],[HINNANGULINE TÖÖ MAHT]]</f>
        <v>10800</v>
      </c>
      <c r="N8" s="27">
        <f>INDEX(Parameetrid[],MATCH(ProjektiÜksikasjad[[#This Row],[PROJEKTI TÜÜP]],Parameetrid[PROJEKTI TÜÜP],0),MATCH(ProjektiÜksikasjad[[#Headers],[STRATEEGIAJUHT]],Parameetrid[#Headers],0))*INDEX('PROJEKTI PARAMEETRID'!$B$12:$H$12,1,MATCH(ProjektiÜksikasjad[[#Headers],[STRATEEGIAJUHT]],Parameetrid[#Headers],0))*ProjektiÜksikasjad[[#This Row],[HINNANGULINE TÖÖ MAHT]]</f>
        <v>0</v>
      </c>
      <c r="O8" s="27">
        <f>INDEX(Parameetrid[],MATCH(ProjektiÜksikasjad[[#This Row],[PROJEKTI TÜÜP]],Parameetrid[PROJEKTI TÜÜP],0),MATCH(ProjektiÜksikasjad[[#Headers],[KUJUNDUSSPETSIALIST]],Parameetrid[#Headers],0))*INDEX('PROJEKTI PARAMEETRID'!$B$12:$H$12,1,MATCH(ProjektiÜksikasjad[[#Headers],[KUJUNDUSSPETSIALIST]],Parameetrid[#Headers],0))*ProjektiÜksikasjad[[#This Row],[HINNANGULINE TÖÖ MAHT]]</f>
        <v>0</v>
      </c>
      <c r="P8" s="27">
        <f>INDEX(Parameetrid[],MATCH(ProjektiÜksikasjad[[#This Row],[PROJEKTI TÜÜP]],Parameetrid[PROJEKTI TÜÜP],0),MATCH(ProjektiÜksikasjad[[#Headers],[ÜRITUSE PERSONAL]],Parameetrid[#Headers],0))*INDEX('PROJEKTI PARAMEETRID'!$B$12:$H$12,1,MATCH(ProjektiÜksikasjad[[#Headers],[ÜRITUSE PERSONAL]],Parameetrid[#Headers],0))*ProjektiÜksikasjad[[#This Row],[HINNANGULINE TÖÖ MAHT]]</f>
        <v>1200</v>
      </c>
      <c r="Q8" s="27">
        <f>INDEX(Parameetrid[],MATCH(ProjektiÜksikasjad[[#This Row],[PROJEKTI TÜÜP]],Parameetrid[PROJEKTI TÜÜP],0),MATCH(ProjektiÜksikasjad[[#Headers],[HALDUSPERSONAL]],Parameetrid[#Headers],0))*INDEX('PROJEKTI PARAMEETRID'!$B$12:$H$12,1,MATCH(ProjektiÜksikasjad[[#Headers],[HALDUSPERSONAL]],Parameetrid[#Headers],0))*ProjektiÜksikasjad[[#This Row],[HINNANGULINE TÖÖ MAHT]]</f>
        <v>900</v>
      </c>
      <c r="R8" s="27">
        <f>INDEX(Parameetrid[],MATCH(ProjektiÜksikasjad[[#This Row],[PROJEKTI TÜÜP]],Parameetrid[PROJEKTI TÜÜP],0),MATCH(ProjektiÜksikasjad[[#Headers],[KONTOHALDUR]],Parameetrid[#Headers],0))*INDEX('PROJEKTI PARAMEETRID'!$B$12:$H$12,1,MATCH(ProjektiÜksikasjad[[#Headers],[KONTOHALDUR]],Parameetrid[#Headers],0))*ProjektiÜksikasjad[[#This Row],[TEGELIK TÖÖ MAHT]]</f>
        <v>5220</v>
      </c>
      <c r="S8" s="27">
        <f>INDEX(Parameetrid[],MATCH(ProjektiÜksikasjad[[#This Row],[PROJEKTI TÜÜP]],Parameetrid[PROJEKTI TÜÜP],0),MATCH(ProjektiÜksikasjad[[#Headers],[PROJEKTIJUHT]],Parameetrid[#Headers],0))*INDEX('PROJEKTI PARAMEETRID'!$B$12:$H$12,1,MATCH(ProjektiÜksikasjad[[#Headers],[PROJEKTIJUHT]],Parameetrid[#Headers],0))*ProjektiÜksikasjad[[#This Row],[TEGELIK TÖÖ MAHT]]</f>
        <v>10440</v>
      </c>
      <c r="T8" s="27">
        <f>INDEX(Parameetrid[],MATCH(ProjektiÜksikasjad[[#This Row],[PROJEKTI TÜÜP]],Parameetrid[PROJEKTI TÜÜP],0),MATCH(ProjektiÜksikasjad[[#Headers],[STRATEEGIAJUHT]],Parameetrid[#Headers],0))*INDEX('PROJEKTI PARAMEETRID'!$B$12:$H$12,1,MATCH(ProjektiÜksikasjad[[#Headers],[STRATEEGIAJUHT]],Parameetrid[#Headers],0))*ProjektiÜksikasjad[[#This Row],[TEGELIK TÖÖ MAHT]]</f>
        <v>0</v>
      </c>
      <c r="U8" s="27">
        <f>INDEX(Parameetrid[],MATCH(ProjektiÜksikasjad[[#This Row],[PROJEKTI TÜÜP]],Parameetrid[PROJEKTI TÜÜP],0),MATCH(ProjektiÜksikasjad[[#Headers],[KUJUNDUSSPETSIALIST]],Parameetrid[#Headers],0))*INDEX('PROJEKTI PARAMEETRID'!$B$12:$H$12,1,MATCH(ProjektiÜksikasjad[[#Headers],[KUJUNDUSSPETSIALIST]],Parameetrid[#Headers],0))*ProjektiÜksikasjad[[#This Row],[TEGELIK TÖÖ MAHT]]</f>
        <v>0</v>
      </c>
      <c r="V8" s="27">
        <f>INDEX(Parameetrid[],MATCH(ProjektiÜksikasjad[[#This Row],[PROJEKTI TÜÜP]],Parameetrid[PROJEKTI TÜÜP],0),MATCH(ProjektiÜksikasjad[[#Headers],[ÜRITUSE PERSONAL]],Parameetrid[#Headers],0))*INDEX('PROJEKTI PARAMEETRID'!$B$12:$H$12,1,MATCH(ProjektiÜksikasjad[[#Headers],[ÜRITUSE PERSONAL]],Parameetrid[#Headers],0))*ProjektiÜksikasjad[[#This Row],[TEGELIK TÖÖ MAHT]]</f>
        <v>1160</v>
      </c>
      <c r="W8" s="27">
        <f>INDEX(Parameetrid[],MATCH(ProjektiÜksikasjad[[#This Row],[PROJEKTI TÜÜP]],Parameetrid[PROJEKTI TÜÜP],0),MATCH(ProjektiÜksikasjad[[#Headers],[HALDUSPERSONAL]],Parameetrid[#Headers],0))*INDEX('PROJEKTI PARAMEETRID'!$B$12:$H$12,1,MATCH(ProjektiÜksikasjad[[#Headers],[HALDUSPERSONAL]],Parameetrid[#Headers],0))*ProjektiÜksikasjad[[#This Row],[TEGELIK TÖÖ MAHT]]</f>
        <v>870</v>
      </c>
    </row>
    <row r="9" spans="1:23" x14ac:dyDescent="0.2">
      <c r="B9" t="s">
        <v>36</v>
      </c>
      <c r="C9" t="s">
        <v>15</v>
      </c>
      <c r="D9" s="23">
        <f ca="1">DATE(YEAR(TODAY())+4,8,11)</f>
        <v>46245</v>
      </c>
      <c r="E9" s="23">
        <f ca="1">DATE(YEAR(TODAY())+4,8,21)</f>
        <v>46255</v>
      </c>
      <c r="F9" s="23">
        <f ca="1">DATE(YEAR(TODAY())+4,9,14)</f>
        <v>46279</v>
      </c>
      <c r="G9" s="23">
        <f ca="1">DATE(YEAR(TODAY())+4,9,25)</f>
        <v>46290</v>
      </c>
      <c r="H9">
        <v>250</v>
      </c>
      <c r="I9">
        <v>255</v>
      </c>
      <c r="J9">
        <f ca="1">DAYS360(ProjektiÜksikasjad[[#This Row],[HINNANGULINE ALGUSAEG]],ProjektiÜksikasjad[[#This Row],[HINNANGULINE LÕPPAEG]],FALSE)</f>
        <v>10</v>
      </c>
      <c r="K9">
        <f ca="1">DAYS360(ProjektiÜksikasjad[[#This Row],[TEGELIK ALGUSAEG]],ProjektiÜksikasjad[[#This Row],[TEGELIK LÕPPAEG]],FALSE)</f>
        <v>11</v>
      </c>
      <c r="L9" s="27">
        <f>INDEX(Parameetrid[],MATCH(ProjektiÜksikasjad[[#This Row],[PROJEKTI TÜÜP]],Parameetrid[PROJEKTI TÜÜP],0),MATCH(ProjektiÜksikasjad[[#Headers],[KONTOHALDUR]],Parameetrid[#Headers],0))*INDEX('PROJEKTI PARAMEETRID'!$B$12:$H$12,1,MATCH(ProjektiÜksikasjad[[#Headers],[KONTOHALDUR]],Parameetrid[#Headers],0))*ProjektiÜksikasjad[[#This Row],[HINNANGULINE TÖÖ MAHT]]</f>
        <v>9000</v>
      </c>
      <c r="M9" s="27">
        <f>INDEX(Parameetrid[],MATCH(ProjektiÜksikasjad[[#This Row],[PROJEKTI TÜÜP]],Parameetrid[PROJEKTI TÜÜP],0),MATCH(ProjektiÜksikasjad[[#Headers],[PROJEKTIJUHT]],Parameetrid[#Headers],0))*INDEX('PROJEKTI PARAMEETRID'!$B$12:$H$12,1,MATCH(ProjektiÜksikasjad[[#Headers],[PROJEKTIJUHT]],Parameetrid[#Headers],0))*ProjektiÜksikasjad[[#This Row],[HINNANGULINE TÖÖ MAHT]]</f>
        <v>3000</v>
      </c>
      <c r="N9" s="27">
        <f>INDEX(Parameetrid[],MATCH(ProjektiÜksikasjad[[#This Row],[PROJEKTI TÜÜP]],Parameetrid[PROJEKTI TÜÜP],0),MATCH(ProjektiÜksikasjad[[#Headers],[STRATEEGIAJUHT]],Parameetrid[#Headers],0))*INDEX('PROJEKTI PARAMEETRID'!$B$12:$H$12,1,MATCH(ProjektiÜksikasjad[[#Headers],[STRATEEGIAJUHT]],Parameetrid[#Headers],0))*ProjektiÜksikasjad[[#This Row],[HINNANGULINE TÖÖ MAHT]]</f>
        <v>0</v>
      </c>
      <c r="O9" s="27">
        <f>INDEX(Parameetrid[],MATCH(ProjektiÜksikasjad[[#This Row],[PROJEKTI TÜÜP]],Parameetrid[PROJEKTI TÜÜP],0),MATCH(ProjektiÜksikasjad[[#Headers],[KUJUNDUSSPETSIALIST]],Parameetrid[#Headers],0))*INDEX('PROJEKTI PARAMEETRID'!$B$12:$H$12,1,MATCH(ProjektiÜksikasjad[[#Headers],[KUJUNDUSSPETSIALIST]],Parameetrid[#Headers],0))*ProjektiÜksikasjad[[#This Row],[HINNANGULINE TÖÖ MAHT]]</f>
        <v>0</v>
      </c>
      <c r="P9" s="27">
        <f>INDEX(Parameetrid[],MATCH(ProjektiÜksikasjad[[#This Row],[PROJEKTI TÜÜP]],Parameetrid[PROJEKTI TÜÜP],0),MATCH(ProjektiÜksikasjad[[#Headers],[ÜRITUSE PERSONAL]],Parameetrid[#Headers],0))*INDEX('PROJEKTI PARAMEETRID'!$B$12:$H$12,1,MATCH(ProjektiÜksikasjad[[#Headers],[ÜRITUSE PERSONAL]],Parameetrid[#Headers],0))*ProjektiÜksikasjad[[#This Row],[HINNANGULINE TÖÖ MAHT]]</f>
        <v>12000</v>
      </c>
      <c r="Q9" s="27">
        <f>INDEX(Parameetrid[],MATCH(ProjektiÜksikasjad[[#This Row],[PROJEKTI TÜÜP]],Parameetrid[PROJEKTI TÜÜP],0),MATCH(ProjektiÜksikasjad[[#Headers],[HALDUSPERSONAL]],Parameetrid[#Headers],0))*INDEX('PROJEKTI PARAMEETRID'!$B$12:$H$12,1,MATCH(ProjektiÜksikasjad[[#Headers],[HALDUSPERSONAL]],Parameetrid[#Headers],0))*ProjektiÜksikasjad[[#This Row],[HINNANGULINE TÖÖ MAHT]]</f>
        <v>1500</v>
      </c>
      <c r="R9" s="27">
        <f>INDEX(Parameetrid[],MATCH(ProjektiÜksikasjad[[#This Row],[PROJEKTI TÜÜP]],Parameetrid[PROJEKTI TÜÜP],0),MATCH(ProjektiÜksikasjad[[#Headers],[KONTOHALDUR]],Parameetrid[#Headers],0))*INDEX('PROJEKTI PARAMEETRID'!$B$12:$H$12,1,MATCH(ProjektiÜksikasjad[[#Headers],[KONTOHALDUR]],Parameetrid[#Headers],0))*ProjektiÜksikasjad[[#This Row],[TEGELIK TÖÖ MAHT]]</f>
        <v>9180</v>
      </c>
      <c r="S9" s="27">
        <f>INDEX(Parameetrid[],MATCH(ProjektiÜksikasjad[[#This Row],[PROJEKTI TÜÜP]],Parameetrid[PROJEKTI TÜÜP],0),MATCH(ProjektiÜksikasjad[[#Headers],[PROJEKTIJUHT]],Parameetrid[#Headers],0))*INDEX('PROJEKTI PARAMEETRID'!$B$12:$H$12,1,MATCH(ProjektiÜksikasjad[[#Headers],[PROJEKTIJUHT]],Parameetrid[#Headers],0))*ProjektiÜksikasjad[[#This Row],[TEGELIK TÖÖ MAHT]]</f>
        <v>3060</v>
      </c>
      <c r="T9" s="27">
        <f>INDEX(Parameetrid[],MATCH(ProjektiÜksikasjad[[#This Row],[PROJEKTI TÜÜP]],Parameetrid[PROJEKTI TÜÜP],0),MATCH(ProjektiÜksikasjad[[#Headers],[STRATEEGIAJUHT]],Parameetrid[#Headers],0))*INDEX('PROJEKTI PARAMEETRID'!$B$12:$H$12,1,MATCH(ProjektiÜksikasjad[[#Headers],[STRATEEGIAJUHT]],Parameetrid[#Headers],0))*ProjektiÜksikasjad[[#This Row],[TEGELIK TÖÖ MAHT]]</f>
        <v>0</v>
      </c>
      <c r="U9" s="27">
        <f>INDEX(Parameetrid[],MATCH(ProjektiÜksikasjad[[#This Row],[PROJEKTI TÜÜP]],Parameetrid[PROJEKTI TÜÜP],0),MATCH(ProjektiÜksikasjad[[#Headers],[KUJUNDUSSPETSIALIST]],Parameetrid[#Headers],0))*INDEX('PROJEKTI PARAMEETRID'!$B$12:$H$12,1,MATCH(ProjektiÜksikasjad[[#Headers],[KUJUNDUSSPETSIALIST]],Parameetrid[#Headers],0))*ProjektiÜksikasjad[[#This Row],[TEGELIK TÖÖ MAHT]]</f>
        <v>0</v>
      </c>
      <c r="V9" s="27">
        <f>INDEX(Parameetrid[],MATCH(ProjektiÜksikasjad[[#This Row],[PROJEKTI TÜÜP]],Parameetrid[PROJEKTI TÜÜP],0),MATCH(ProjektiÜksikasjad[[#Headers],[ÜRITUSE PERSONAL]],Parameetrid[#Headers],0))*INDEX('PROJEKTI PARAMEETRID'!$B$12:$H$12,1,MATCH(ProjektiÜksikasjad[[#Headers],[ÜRITUSE PERSONAL]],Parameetrid[#Headers],0))*ProjektiÜksikasjad[[#This Row],[TEGELIK TÖÖ MAHT]]</f>
        <v>12240</v>
      </c>
      <c r="W9" s="27">
        <f>INDEX(Parameetrid[],MATCH(ProjektiÜksikasjad[[#This Row],[PROJEKTI TÜÜP]],Parameetrid[PROJEKTI TÜÜP],0),MATCH(ProjektiÜksikasjad[[#Headers],[HALDUSPERSONAL]],Parameetrid[#Headers],0))*INDEX('PROJEKTI PARAMEETRID'!$B$12:$H$12,1,MATCH(ProjektiÜksikasjad[[#Headers],[HALDUSPERSONAL]],Parameetrid[#Headers],0))*ProjektiÜksikasjad[[#This Row],[TEGELIK TÖÖ MAHT]]</f>
        <v>1530</v>
      </c>
    </row>
    <row r="10" spans="1:23" x14ac:dyDescent="0.2">
      <c r="B10" s="1" t="s">
        <v>37</v>
      </c>
      <c r="H10" s="1">
        <f>SUBTOTAL(109,ProjektiÜksikasjad[HINNANGULINE TÖÖ MAHT])</f>
        <v>1500</v>
      </c>
      <c r="I10" s="1">
        <f>SUBTOTAL(109,ProjektiÜksikasjad[TEGELIK TÖÖ MAHT])</f>
        <v>1510</v>
      </c>
      <c r="J10" s="1">
        <f ca="1">SUBTOTAL(109,ProjektiÜksikasjad[HINNANGULINE KESTUS])</f>
        <v>225</v>
      </c>
      <c r="K10" s="1">
        <f ca="1">SUBTOTAL(109,ProjektiÜksikasjad[TEGELIK KESTUS])</f>
        <v>597</v>
      </c>
    </row>
  </sheetData>
  <dataValidations count="4">
    <dataValidation type="list" allowBlank="1" showInputMessage="1" showErrorMessage="1" sqref="C5:C9" xr:uid="{00000000-0002-0000-0100-000000000000}">
      <formula1>ProjektiTüüp</formula1>
    </dataValidation>
    <dataValidation allowBlank="1" showInputMessage="1" showErrorMessage="1" prompt="Looge sellel töölehel projekti üksikasjad. Paremal asuvas lahtris värskendatakse ettevõtte nimi automaatselt. Selle veeru lahtritest leiate kasulikke juhiseid. Liikuge alustamiseks noolega alla." sqref="A1" xr:uid="{BBC3950F-ED3F-4B1A-9E8F-0BED078DBBC7}"/>
    <dataValidation allowBlank="1" showInputMessage="1" showErrorMessage="1" prompt="Parempoolses lahtris on selle töölehe pealkiri." sqref="A2" xr:uid="{13FFF2FC-8675-47F6-8CD2-EE8FB7DC4995}"/>
    <dataValidation allowBlank="1" showInputMessage="1" showErrorMessage="1" prompt="Paremal asuvas lahtris on konfidentsiaalsusteade." sqref="A3" xr:uid="{3364E6E2-FB7F-4D09-9177-CC52A4C377A7}"/>
  </dataValidations>
  <printOptions horizontalCentered="1"/>
  <pageMargins left="0.4" right="0.4" top="0.4" bottom="0.4" header="0.3" footer="0.3"/>
  <pageSetup paperSize="9" scale="84" fitToHeight="0" orientation="landscape" horizontalDpi="4294967293" verticalDpi="1200" r:id="rId1"/>
  <headerFooter differentFirst="1">
    <oddFooter>Page &amp;P of &amp;N</oddFooter>
  </headerFooter>
  <drawing r:id="rId2"/>
  <tableParts count="1">
    <tablePart r:id="rId3"/>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N27"/>
  <sheetViews>
    <sheetView showGridLines="0" zoomScaleNormal="100" workbookViewId="0"/>
  </sheetViews>
  <sheetFormatPr defaultColWidth="9.140625" defaultRowHeight="14.25" x14ac:dyDescent="0.2"/>
  <cols>
    <col min="1" max="1" width="1.7109375" style="11" customWidth="1"/>
    <col min="2" max="2" width="15.7109375" style="1" bestFit="1" customWidth="1"/>
    <col min="3" max="3" width="14.28515625" style="1" bestFit="1" customWidth="1"/>
    <col min="4" max="4" width="14.140625" style="1" bestFit="1" customWidth="1"/>
    <col min="5" max="5" width="15.5703125" style="1" bestFit="1" customWidth="1"/>
    <col min="6" max="6" width="20" style="1" bestFit="1" customWidth="1"/>
    <col min="7" max="7" width="14.140625" style="1" bestFit="1" customWidth="1"/>
    <col min="8" max="8" width="16.5703125" style="1" bestFit="1" customWidth="1"/>
    <col min="9" max="9" width="14.28515625" style="1" bestFit="1" customWidth="1"/>
    <col min="10" max="10" width="13.140625" style="1" bestFit="1" customWidth="1"/>
    <col min="11" max="11" width="15.5703125" style="1" bestFit="1" customWidth="1"/>
    <col min="12" max="12" width="20" style="1" bestFit="1" customWidth="1"/>
    <col min="13" max="13" width="11.42578125" style="1" bestFit="1" customWidth="1"/>
    <col min="14" max="14" width="16.5703125" style="1" bestFit="1" customWidth="1"/>
    <col min="15" max="15" width="2.7109375" style="1" customWidth="1"/>
    <col min="16" max="16384" width="9.140625" style="1"/>
  </cols>
  <sheetData>
    <row r="1" spans="1:14" ht="35.450000000000003" customHeight="1" x14ac:dyDescent="0.35">
      <c r="B1" s="2" t="str">
        <f>'PROJEKTI PARAMEETRID'!B1</f>
        <v>Ettevõtte nimi</v>
      </c>
      <c r="C1" s="2"/>
      <c r="D1" s="2"/>
      <c r="E1" s="2"/>
      <c r="F1" s="2"/>
      <c r="G1" s="2"/>
      <c r="H1" s="2"/>
      <c r="I1" s="2"/>
      <c r="J1" s="2"/>
      <c r="K1" s="2"/>
    </row>
    <row r="2" spans="1:14" ht="19.5" x14ac:dyDescent="0.25">
      <c r="B2" s="3" t="s">
        <v>8</v>
      </c>
      <c r="C2" s="3"/>
      <c r="D2" s="3"/>
      <c r="E2" s="3"/>
      <c r="F2" s="3"/>
      <c r="G2" s="3"/>
      <c r="H2" s="3"/>
      <c r="I2" s="3"/>
      <c r="J2" s="3"/>
      <c r="K2" s="3"/>
    </row>
    <row r="3" spans="1:14" s="13" customFormat="1" ht="29.25" customHeight="1" x14ac:dyDescent="0.2">
      <c r="A3" s="16"/>
      <c r="B3" s="14" t="str">
        <f>'PROJEKTI PARAMEETRID'!B3</f>
        <v>Ettevõtte nimi Konfidentsiaalne</v>
      </c>
      <c r="C3" s="14"/>
      <c r="D3" s="14"/>
      <c r="E3" s="14"/>
      <c r="F3" s="14"/>
      <c r="G3" s="14"/>
      <c r="H3" s="14"/>
      <c r="I3" s="14"/>
      <c r="J3" s="14"/>
      <c r="K3" s="14"/>
    </row>
    <row r="4" spans="1:14" s="10" customFormat="1" ht="38.25" x14ac:dyDescent="0.2">
      <c r="A4" s="11" t="s">
        <v>52</v>
      </c>
      <c r="B4" s="29" t="s">
        <v>31</v>
      </c>
      <c r="C4" s="33" t="s">
        <v>54</v>
      </c>
      <c r="D4" s="33" t="s">
        <v>55</v>
      </c>
      <c r="E4" s="33" t="s">
        <v>56</v>
      </c>
      <c r="F4" s="33" t="s">
        <v>57</v>
      </c>
      <c r="G4" s="33" t="s">
        <v>58</v>
      </c>
      <c r="H4" s="33" t="s">
        <v>59</v>
      </c>
      <c r="I4" s="33" t="s">
        <v>60</v>
      </c>
      <c r="J4" s="33" t="s">
        <v>61</v>
      </c>
      <c r="K4" s="33" t="s">
        <v>62</v>
      </c>
      <c r="L4" s="33" t="s">
        <v>63</v>
      </c>
      <c r="M4" s="33" t="s">
        <v>64</v>
      </c>
      <c r="N4" s="33" t="s">
        <v>65</v>
      </c>
    </row>
    <row r="5" spans="1:14" x14ac:dyDescent="0.2">
      <c r="B5" s="29" t="s">
        <v>32</v>
      </c>
      <c r="C5" s="30">
        <v>7200</v>
      </c>
      <c r="D5" s="30">
        <v>2400</v>
      </c>
      <c r="E5" s="30">
        <v>18000</v>
      </c>
      <c r="F5" s="30">
        <v>0</v>
      </c>
      <c r="G5" s="30">
        <v>0</v>
      </c>
      <c r="H5" s="30">
        <v>1200</v>
      </c>
      <c r="I5" s="30">
        <v>7920</v>
      </c>
      <c r="J5" s="30">
        <v>2640</v>
      </c>
      <c r="K5" s="30">
        <v>19800</v>
      </c>
      <c r="L5" s="30">
        <v>0</v>
      </c>
      <c r="M5" s="30">
        <v>0</v>
      </c>
      <c r="N5" s="30">
        <v>1320</v>
      </c>
    </row>
    <row r="6" spans="1:14" x14ac:dyDescent="0.2">
      <c r="B6" s="29" t="s">
        <v>33</v>
      </c>
      <c r="C6" s="30">
        <v>14400</v>
      </c>
      <c r="D6" s="30">
        <v>24000</v>
      </c>
      <c r="E6" s="30">
        <v>6000</v>
      </c>
      <c r="F6" s="30">
        <v>4000</v>
      </c>
      <c r="G6" s="30">
        <v>0</v>
      </c>
      <c r="H6" s="30">
        <v>2400</v>
      </c>
      <c r="I6" s="30">
        <v>14040</v>
      </c>
      <c r="J6" s="30">
        <v>23400</v>
      </c>
      <c r="K6" s="30">
        <v>5850</v>
      </c>
      <c r="L6" s="30">
        <v>3900</v>
      </c>
      <c r="M6" s="30">
        <v>0</v>
      </c>
      <c r="N6" s="30">
        <v>2340</v>
      </c>
    </row>
    <row r="7" spans="1:14" x14ac:dyDescent="0.2">
      <c r="B7" s="29" t="s">
        <v>34</v>
      </c>
      <c r="C7" s="30">
        <v>18000</v>
      </c>
      <c r="D7" s="30">
        <v>12000</v>
      </c>
      <c r="E7" s="30">
        <v>0</v>
      </c>
      <c r="F7" s="30">
        <v>25000</v>
      </c>
      <c r="G7" s="30">
        <v>0</v>
      </c>
      <c r="H7" s="30">
        <v>3000</v>
      </c>
      <c r="I7" s="30">
        <v>18000</v>
      </c>
      <c r="J7" s="30">
        <v>12000</v>
      </c>
      <c r="K7" s="30">
        <v>0</v>
      </c>
      <c r="L7" s="30">
        <v>25000</v>
      </c>
      <c r="M7" s="30">
        <v>0</v>
      </c>
      <c r="N7" s="30">
        <v>3000</v>
      </c>
    </row>
    <row r="8" spans="1:14" x14ac:dyDescent="0.2">
      <c r="B8" s="29" t="s">
        <v>35</v>
      </c>
      <c r="C8" s="30">
        <v>5400</v>
      </c>
      <c r="D8" s="30">
        <v>10800</v>
      </c>
      <c r="E8" s="30">
        <v>0</v>
      </c>
      <c r="F8" s="30">
        <v>0</v>
      </c>
      <c r="G8" s="30">
        <v>1200</v>
      </c>
      <c r="H8" s="30">
        <v>900</v>
      </c>
      <c r="I8" s="30">
        <v>5220</v>
      </c>
      <c r="J8" s="30">
        <v>10440</v>
      </c>
      <c r="K8" s="30">
        <v>0</v>
      </c>
      <c r="L8" s="30">
        <v>0</v>
      </c>
      <c r="M8" s="30">
        <v>1160</v>
      </c>
      <c r="N8" s="30">
        <v>870</v>
      </c>
    </row>
    <row r="9" spans="1:14" x14ac:dyDescent="0.2">
      <c r="B9" s="29" t="s">
        <v>36</v>
      </c>
      <c r="C9" s="30">
        <v>9000</v>
      </c>
      <c r="D9" s="30">
        <v>3000</v>
      </c>
      <c r="E9" s="30">
        <v>0</v>
      </c>
      <c r="F9" s="30">
        <v>0</v>
      </c>
      <c r="G9" s="30">
        <v>12000</v>
      </c>
      <c r="H9" s="30">
        <v>1500</v>
      </c>
      <c r="I9" s="30">
        <v>9180</v>
      </c>
      <c r="J9" s="30">
        <v>3060</v>
      </c>
      <c r="K9" s="30">
        <v>0</v>
      </c>
      <c r="L9" s="30">
        <v>0</v>
      </c>
      <c r="M9" s="30">
        <v>12240</v>
      </c>
      <c r="N9" s="30">
        <v>1530</v>
      </c>
    </row>
    <row r="10" spans="1:14" x14ac:dyDescent="0.2">
      <c r="B10" s="32" t="s">
        <v>53</v>
      </c>
      <c r="C10" s="31">
        <v>54000</v>
      </c>
      <c r="D10" s="31">
        <v>52200</v>
      </c>
      <c r="E10" s="31">
        <v>24000</v>
      </c>
      <c r="F10" s="31">
        <v>29000</v>
      </c>
      <c r="G10" s="31">
        <v>13200</v>
      </c>
      <c r="H10" s="31">
        <v>9000</v>
      </c>
      <c r="I10" s="31">
        <v>54360</v>
      </c>
      <c r="J10" s="31">
        <v>51540</v>
      </c>
      <c r="K10" s="31">
        <v>25650</v>
      </c>
      <c r="L10" s="31">
        <v>28900</v>
      </c>
      <c r="M10" s="31">
        <v>13400</v>
      </c>
      <c r="N10" s="31">
        <v>9060</v>
      </c>
    </row>
    <row r="11" spans="1:14" x14ac:dyDescent="0.2">
      <c r="B11"/>
      <c r="C11"/>
      <c r="D11"/>
      <c r="E11"/>
      <c r="F11"/>
      <c r="G11"/>
      <c r="H11"/>
      <c r="I11"/>
      <c r="J11"/>
      <c r="K11"/>
      <c r="L11"/>
      <c r="M11"/>
      <c r="N11"/>
    </row>
    <row r="12" spans="1:14" x14ac:dyDescent="0.2">
      <c r="B12"/>
      <c r="C12"/>
      <c r="D12"/>
      <c r="E12"/>
      <c r="F12"/>
      <c r="G12"/>
      <c r="H12"/>
      <c r="I12"/>
      <c r="J12"/>
      <c r="K12"/>
      <c r="L12"/>
      <c r="M12"/>
      <c r="N12"/>
    </row>
    <row r="13" spans="1:14" x14ac:dyDescent="0.2">
      <c r="B13"/>
      <c r="C13"/>
      <c r="D13"/>
      <c r="E13"/>
      <c r="F13"/>
      <c r="G13"/>
      <c r="H13"/>
      <c r="I13"/>
      <c r="J13"/>
      <c r="K13"/>
      <c r="L13"/>
      <c r="M13"/>
      <c r="N13"/>
    </row>
    <row r="14" spans="1:14" x14ac:dyDescent="0.2">
      <c r="B14"/>
      <c r="C14"/>
      <c r="D14"/>
      <c r="E14"/>
      <c r="F14"/>
      <c r="G14"/>
      <c r="H14"/>
      <c r="I14"/>
      <c r="J14"/>
      <c r="K14"/>
      <c r="L14"/>
      <c r="M14"/>
      <c r="N14"/>
    </row>
    <row r="15" spans="1:14" x14ac:dyDescent="0.2">
      <c r="B15"/>
      <c r="C15"/>
      <c r="D15"/>
      <c r="E15"/>
      <c r="F15"/>
      <c r="G15"/>
      <c r="H15"/>
      <c r="I15"/>
      <c r="J15"/>
      <c r="K15"/>
      <c r="L15"/>
      <c r="M15"/>
      <c r="N15"/>
    </row>
    <row r="16" spans="1:14" x14ac:dyDescent="0.2">
      <c r="B16"/>
      <c r="C16"/>
      <c r="D16"/>
      <c r="E16"/>
      <c r="F16"/>
      <c r="G16"/>
      <c r="H16"/>
      <c r="I16"/>
      <c r="J16"/>
      <c r="K16"/>
      <c r="L16"/>
      <c r="M16"/>
      <c r="N16"/>
    </row>
    <row r="17" spans="2:14" x14ac:dyDescent="0.2">
      <c r="B17"/>
      <c r="C17"/>
      <c r="D17"/>
      <c r="E17"/>
      <c r="F17"/>
      <c r="G17"/>
      <c r="H17"/>
      <c r="I17"/>
      <c r="J17"/>
      <c r="K17"/>
      <c r="L17"/>
      <c r="M17"/>
      <c r="N17"/>
    </row>
    <row r="18" spans="2:14" x14ac:dyDescent="0.2">
      <c r="B18"/>
      <c r="C18"/>
      <c r="D18"/>
      <c r="E18"/>
      <c r="F18"/>
      <c r="G18"/>
      <c r="H18"/>
      <c r="I18"/>
      <c r="J18"/>
      <c r="K18"/>
      <c r="L18"/>
      <c r="M18"/>
      <c r="N18"/>
    </row>
    <row r="19" spans="2:14" x14ac:dyDescent="0.2">
      <c r="B19"/>
      <c r="C19"/>
      <c r="D19"/>
      <c r="E19"/>
      <c r="F19"/>
      <c r="G19"/>
      <c r="H19"/>
      <c r="I19"/>
      <c r="J19"/>
      <c r="K19"/>
      <c r="L19"/>
      <c r="M19"/>
      <c r="N19"/>
    </row>
    <row r="20" spans="2:14" x14ac:dyDescent="0.2">
      <c r="B20"/>
      <c r="C20"/>
      <c r="D20"/>
      <c r="E20"/>
      <c r="F20"/>
      <c r="G20"/>
      <c r="H20"/>
      <c r="I20"/>
      <c r="J20"/>
      <c r="K20"/>
      <c r="L20"/>
      <c r="M20"/>
      <c r="N20"/>
    </row>
    <row r="21" spans="2:14" x14ac:dyDescent="0.2">
      <c r="B21"/>
      <c r="C21"/>
      <c r="D21"/>
      <c r="E21"/>
      <c r="F21"/>
      <c r="G21"/>
      <c r="H21"/>
      <c r="I21"/>
      <c r="J21"/>
      <c r="K21"/>
      <c r="L21"/>
      <c r="M21"/>
      <c r="N21"/>
    </row>
    <row r="22" spans="2:14" x14ac:dyDescent="0.2">
      <c r="B22"/>
      <c r="C22"/>
      <c r="D22"/>
      <c r="E22"/>
      <c r="F22"/>
      <c r="G22"/>
      <c r="H22"/>
      <c r="I22"/>
      <c r="J22"/>
      <c r="K22"/>
      <c r="L22"/>
      <c r="M22"/>
      <c r="N22"/>
    </row>
    <row r="23" spans="2:14" x14ac:dyDescent="0.2">
      <c r="B23"/>
      <c r="C23"/>
      <c r="D23"/>
      <c r="E23"/>
      <c r="F23"/>
      <c r="G23"/>
      <c r="H23"/>
      <c r="I23"/>
      <c r="J23"/>
      <c r="K23"/>
      <c r="L23"/>
      <c r="M23"/>
      <c r="N23"/>
    </row>
    <row r="24" spans="2:14" x14ac:dyDescent="0.2">
      <c r="B24"/>
      <c r="C24"/>
      <c r="D24"/>
      <c r="E24"/>
      <c r="F24"/>
      <c r="G24"/>
      <c r="H24"/>
      <c r="I24"/>
      <c r="J24"/>
      <c r="K24"/>
      <c r="L24"/>
      <c r="M24"/>
      <c r="N24"/>
    </row>
    <row r="25" spans="2:14" x14ac:dyDescent="0.2">
      <c r="B25"/>
      <c r="C25"/>
      <c r="D25"/>
      <c r="E25"/>
      <c r="F25"/>
      <c r="G25"/>
      <c r="H25"/>
      <c r="I25"/>
      <c r="J25"/>
      <c r="K25"/>
      <c r="L25"/>
      <c r="M25"/>
      <c r="N25"/>
    </row>
    <row r="26" spans="2:14" x14ac:dyDescent="0.2">
      <c r="B26"/>
      <c r="C26"/>
      <c r="D26"/>
      <c r="E26"/>
      <c r="F26"/>
      <c r="G26"/>
      <c r="H26"/>
      <c r="I26"/>
      <c r="J26"/>
      <c r="K26"/>
      <c r="L26"/>
      <c r="M26"/>
      <c r="N26"/>
    </row>
    <row r="27" spans="2:14" x14ac:dyDescent="0.2">
      <c r="B27"/>
      <c r="C27"/>
      <c r="D27"/>
      <c r="E27"/>
      <c r="F27"/>
      <c r="G27"/>
      <c r="H27"/>
      <c r="I27"/>
      <c r="J27"/>
      <c r="K27"/>
      <c r="L27"/>
      <c r="M27"/>
      <c r="N27"/>
    </row>
  </sheetData>
  <dataValidations count="3">
    <dataValidation allowBlank="1" showInputMessage="1" showErrorMessage="1" prompt="Sellel töölehel saate projekti kogusummad. Paremal asuvas lahtris värskendatakse ettevõtte nimi automaatselt. Selle veeru lahtritest leiate kasulikke juhiseid. Liikuge alustamiseks noolega alla." sqref="A1" xr:uid="{92CEB5DE-C93A-4EBC-9E74-048CF5237B4D}"/>
    <dataValidation allowBlank="1" showInputMessage="1" showErrorMessage="1" prompt="Parempoolses lahtris on selle töölehe pealkiri." sqref="A2" xr:uid="{63379B75-80A6-42E2-B12B-D3EFFEA6AA6C}"/>
    <dataValidation allowBlank="1" showInputMessage="1" showErrorMessage="1" prompt="Paremal asuvas lahtris on konfidentsiaalsusteade." sqref="A3" xr:uid="{CC5FE6A5-CC81-424B-A522-E683EDAAF64E}"/>
  </dataValidations>
  <printOptions horizontalCentered="1"/>
  <pageMargins left="0.4" right="0.4" top="0.4" bottom="0.4" header="0.3" footer="0.3"/>
  <pageSetup paperSize="9" scale="67" fitToHeight="0" orientation="landscape" horizontalDpi="4294967293" r:id="rId2"/>
  <headerFooter differentFirst="1">
    <oddFooter>Page &amp;P of &amp;N</oddFooter>
  </headerFooter>
  <drawing r:id="rId3"/>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2034574A-62F6-41F4-80F1-6865C6F00F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4A7FFD13-A872-42F7-8425-D6148E8A2C64}">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EAAB7BE7-CEB1-452C-AEA5-C55987F1145B}">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TM04099170</ap:Template>
  <ap:DocSecurity>0</ap:DocSecurity>
  <ap:ScaleCrop>false</ap:ScaleCrop>
  <ap:HeadingPairs>
    <vt:vector baseType="variant" size="4">
      <vt:variant>
        <vt:lpstr>Töölehed</vt:lpstr>
      </vt:variant>
      <vt:variant>
        <vt:i4>4</vt:i4>
      </vt:variant>
      <vt:variant>
        <vt:lpstr>Nimega vahemikud</vt:lpstr>
      </vt:variant>
      <vt:variant>
        <vt:i4>4</vt:i4>
      </vt:variant>
    </vt:vector>
  </ap:HeadingPairs>
  <ap:TitlesOfParts>
    <vt:vector baseType="lpstr" size="8">
      <vt:lpstr>ALGUS</vt:lpstr>
      <vt:lpstr>PROJEKTI PARAMEETRID</vt:lpstr>
      <vt:lpstr>PROJEKTI ÜKSIKASJAD</vt:lpstr>
      <vt:lpstr>PROJEKTI KOKKUVÕTTED</vt:lpstr>
      <vt:lpstr>'PROJEKTI PARAMEETRID'!Prindiala</vt:lpstr>
      <vt:lpstr>'PROJEKTI KOKKUVÕTTED'!Prinditiitlid</vt:lpstr>
      <vt:lpstr>'PROJEKTI ÜKSIKASJAD'!Prinditiitlid</vt:lpstr>
      <vt:lpstr>ProjektiTüüp</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2022-02-14T06:43:40Z</dcterms:created>
  <dcterms:modified xsi:type="dcterms:W3CDTF">2022-04-19T09:37:40Z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