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_{8AC53013-B51A-42B9-8B10-14833BB95E8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resupuesto para la boda" sheetId="1" r:id="rId1"/>
    <sheet name="Detalles del presupuesto" sheetId="2" r:id="rId2"/>
  </sheets>
  <definedNames>
    <definedName name="_xlnm.Print_Titles" localSheetId="1">'Detalles del presupuesto'!$1:$3</definedName>
    <definedName name="TBL_RankingData">'Presupuesto para la boda'!$J$6:$N$15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E90" i="2" l="1"/>
  <c r="E89" i="2"/>
  <c r="E88" i="2"/>
  <c r="E87" i="2"/>
  <c r="E86" i="2"/>
  <c r="E81" i="2"/>
  <c r="E80" i="2"/>
  <c r="E75" i="2"/>
  <c r="E74" i="2"/>
  <c r="E73" i="2"/>
  <c r="E72" i="2"/>
  <c r="E71" i="2"/>
  <c r="E70" i="2"/>
  <c r="E69" i="2"/>
  <c r="E68" i="2"/>
  <c r="E63" i="2"/>
  <c r="E62" i="2"/>
  <c r="E61" i="2"/>
  <c r="E56" i="2"/>
  <c r="E55" i="2"/>
  <c r="E54" i="2"/>
  <c r="E49" i="2"/>
  <c r="E48" i="2"/>
  <c r="E47" i="2"/>
  <c r="E46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19" i="2"/>
  <c r="E18" i="2"/>
  <c r="E17" i="2"/>
  <c r="E16" i="2"/>
  <c r="E15" i="2"/>
  <c r="E14" i="2"/>
  <c r="D64" i="2" l="1"/>
  <c r="L12" i="1" s="1"/>
  <c r="C64" i="2"/>
  <c r="K12" i="1" s="1"/>
  <c r="M12" i="1" s="1"/>
  <c r="D57" i="2"/>
  <c r="L11" i="1" s="1"/>
  <c r="C57" i="2"/>
  <c r="K11" i="1" s="1"/>
  <c r="M11" i="1" s="1"/>
  <c r="D50" i="2"/>
  <c r="L10" i="1" s="1"/>
  <c r="C50" i="2"/>
  <c r="K10" i="1" s="1"/>
  <c r="M10" i="1" s="1"/>
  <c r="D42" i="2"/>
  <c r="L9" i="1" s="1"/>
  <c r="C42" i="2"/>
  <c r="K9" i="1" s="1"/>
  <c r="M9" i="1" s="1"/>
  <c r="D33" i="2"/>
  <c r="L8" i="1" s="1"/>
  <c r="C33" i="2"/>
  <c r="K8" i="1" s="1"/>
  <c r="M8" i="1" s="1"/>
  <c r="D76" i="2"/>
  <c r="L13" i="1" s="1"/>
  <c r="C76" i="2"/>
  <c r="K13" i="1" s="1"/>
  <c r="M13" i="1" s="1"/>
  <c r="D82" i="2"/>
  <c r="L14" i="1" s="1"/>
  <c r="C82" i="2"/>
  <c r="K14" i="1" s="1"/>
  <c r="M14" i="1" s="1"/>
  <c r="D91" i="2"/>
  <c r="L15" i="1" s="1"/>
  <c r="C91" i="2"/>
  <c r="K15" i="1" s="1"/>
  <c r="M15" i="1" s="1"/>
  <c r="D20" i="2"/>
  <c r="L7" i="1" s="1"/>
  <c r="C20" i="2"/>
  <c r="K7" i="1" s="1"/>
  <c r="M7" i="1" s="1"/>
  <c r="D10" i="2"/>
  <c r="L6" i="1" s="1"/>
  <c r="C10" i="2"/>
  <c r="E10" i="2" s="1"/>
  <c r="K6" i="1" l="1"/>
  <c r="M6" i="1" s="1"/>
  <c r="E91" i="2"/>
  <c r="E82" i="2"/>
  <c r="E76" i="2"/>
  <c r="E64" i="2"/>
  <c r="E57" i="2"/>
  <c r="E50" i="2"/>
  <c r="E42" i="2"/>
  <c r="E33" i="2"/>
  <c r="E20" i="2"/>
  <c r="N9" i="1" l="1"/>
  <c r="N10" i="1"/>
  <c r="N6" i="1"/>
  <c r="N8" i="1"/>
  <c r="N14" i="1"/>
  <c r="N12" i="1"/>
  <c r="N15" i="1"/>
  <c r="N7" i="1"/>
  <c r="P8" i="1" s="1"/>
  <c r="B8" i="1" s="1"/>
  <c r="C8" i="1" s="1"/>
  <c r="N11" i="1"/>
  <c r="N13" i="1"/>
  <c r="P14" i="1" s="1"/>
  <c r="B14" i="1" s="1"/>
  <c r="C14" i="1" s="1"/>
  <c r="P6" i="1"/>
  <c r="B6" i="1" s="1"/>
  <c r="P7" i="1"/>
  <c r="B7" i="1" s="1"/>
  <c r="D7" i="1" s="1"/>
  <c r="P13" i="1" l="1"/>
  <c r="B13" i="1" s="1"/>
  <c r="C13" i="1" s="1"/>
  <c r="P12" i="1"/>
  <c r="B12" i="1" s="1"/>
  <c r="D12" i="1" s="1"/>
  <c r="P10" i="1"/>
  <c r="B10" i="1" s="1"/>
  <c r="D10" i="1" s="1"/>
  <c r="P11" i="1"/>
  <c r="B11" i="1" s="1"/>
  <c r="D11" i="1" s="1"/>
  <c r="P15" i="1"/>
  <c r="B15" i="1" s="1"/>
  <c r="C15" i="1" s="1"/>
  <c r="P9" i="1"/>
  <c r="B9" i="1" s="1"/>
  <c r="C9" i="1" s="1"/>
  <c r="C6" i="1"/>
  <c r="D6" i="1"/>
  <c r="C7" i="1"/>
  <c r="C11" i="1"/>
  <c r="E11" i="1" s="1"/>
  <c r="D13" i="1"/>
  <c r="E13" i="1" s="1"/>
  <c r="D14" i="1"/>
  <c r="E14" i="1" s="1"/>
  <c r="C10" i="1"/>
  <c r="E10" i="1" s="1"/>
  <c r="D8" i="1"/>
  <c r="E8" i="1" s="1"/>
  <c r="D15" i="1"/>
  <c r="E15" i="1" s="1"/>
  <c r="D9" i="1" l="1"/>
  <c r="E9" i="1" s="1"/>
  <c r="E6" i="1"/>
  <c r="C12" i="1"/>
  <c r="E12" i="1" s="1"/>
  <c r="E7" i="1"/>
  <c r="C16" i="1"/>
  <c r="D16" i="1"/>
  <c r="F6" i="1"/>
  <c r="F14" i="1"/>
  <c r="F7" i="1"/>
  <c r="F12" i="1" l="1"/>
  <c r="F10" i="1"/>
  <c r="F8" i="1"/>
  <c r="F11" i="1"/>
  <c r="F9" i="1"/>
  <c r="F15" i="1"/>
  <c r="F13" i="1"/>
  <c r="F16" i="1"/>
  <c r="E16" i="1"/>
</calcChain>
</file>

<file path=xl/sharedStrings.xml><?xml version="1.0" encoding="utf-8"?>
<sst xmlns="http://schemas.openxmlformats.org/spreadsheetml/2006/main" count="128" uniqueCount="90">
  <si>
    <t>CATEGORÍA</t>
  </si>
  <si>
    <t>Total</t>
  </si>
  <si>
    <t>COSTO ESTIMADO</t>
  </si>
  <si>
    <t>COSTO REAL</t>
  </si>
  <si>
    <t>DIFERENCIA</t>
  </si>
  <si>
    <t>PRESUPUESTO %</t>
  </si>
  <si>
    <t xml:space="preserve"> </t>
  </si>
  <si>
    <t>Sin clasificar</t>
  </si>
  <si>
    <t>Banquete</t>
  </si>
  <si>
    <t>Atuendo</t>
  </si>
  <si>
    <t>Flores y decoración</t>
  </si>
  <si>
    <t>Música</t>
  </si>
  <si>
    <t>Fotografías y video</t>
  </si>
  <si>
    <t>Detalles y regalos</t>
  </si>
  <si>
    <t>Ceremonia</t>
  </si>
  <si>
    <t>Papelería</t>
  </si>
  <si>
    <t>Alianzas</t>
  </si>
  <si>
    <t>Transporte</t>
  </si>
  <si>
    <t>Costos estimados</t>
  </si>
  <si>
    <t>Costos reales</t>
  </si>
  <si>
    <t>Costo estimado - valor de rango</t>
  </si>
  <si>
    <t>Rango</t>
  </si>
  <si>
    <t>#</t>
  </si>
  <si>
    <t>Clasificados</t>
  </si>
  <si>
    <t>DETALLES DEL PRESUPUESTO</t>
  </si>
  <si>
    <t>RECEPCIÓN</t>
  </si>
  <si>
    <t>Recinto y alquiler</t>
  </si>
  <si>
    <t>Comidas y servicio</t>
  </si>
  <si>
    <t>Bebidas</t>
  </si>
  <si>
    <t>Tarta</t>
  </si>
  <si>
    <t>Gastos varios</t>
  </si>
  <si>
    <t>TOTAL DE RECEPCIÓN</t>
  </si>
  <si>
    <t>VESTIMENTA</t>
  </si>
  <si>
    <t>Smoking, traje o vestidos</t>
  </si>
  <si>
    <t>Arreglos</t>
  </si>
  <si>
    <t>Tocado y velo</t>
  </si>
  <si>
    <t>Accesorios</t>
  </si>
  <si>
    <t>Peluquería y maquillaje</t>
  </si>
  <si>
    <t>TOTAL DE ATUENDO</t>
  </si>
  <si>
    <t>FLORES Y DECORACIÓN</t>
  </si>
  <si>
    <t>Arreglos florales para la ceremonia</t>
  </si>
  <si>
    <t>Flores y canasta de la niña</t>
  </si>
  <si>
    <t>Cojín para alianzas</t>
  </si>
  <si>
    <t>Ramos</t>
  </si>
  <si>
    <t>Botonieres</t>
  </si>
  <si>
    <t>Ramilletes</t>
  </si>
  <si>
    <t>Decoración del banquete</t>
  </si>
  <si>
    <t>Iluminación</t>
  </si>
  <si>
    <t>TOTAL DE FLORES Y DECORACIÓN</t>
  </si>
  <si>
    <t>MÚSICA</t>
  </si>
  <si>
    <t>Músicos para la ceremonia</t>
  </si>
  <si>
    <t>Músicos para el coctel</t>
  </si>
  <si>
    <t>Banda, DJ o entretenimiento para el banquete</t>
  </si>
  <si>
    <t>Sistema de sonido o renta de pista de baile</t>
  </si>
  <si>
    <t>TOTAL DE MÚSICA</t>
  </si>
  <si>
    <t>VIDEO Y FOTOGRAFÍA</t>
  </si>
  <si>
    <t>Fotografía</t>
  </si>
  <si>
    <t>Video</t>
  </si>
  <si>
    <t>Copias adicionales y álbumes</t>
  </si>
  <si>
    <t>TOTAL DE VIDEO Y FOTOGRAFÍA</t>
  </si>
  <si>
    <t>SOUVENIRS Y REGALOS</t>
  </si>
  <si>
    <t>Regalos de bienvenida</t>
  </si>
  <si>
    <t>Regalos de la fiesta</t>
  </si>
  <si>
    <t>TOTAL DE SOUVENIRS Y REGALOS</t>
  </si>
  <si>
    <t>CEREMONIA</t>
  </si>
  <si>
    <t>Cuota de sitio</t>
  </si>
  <si>
    <t>Honorarios del oficiante o donativo a iglesia</t>
  </si>
  <si>
    <t>TOTAL DE CEREMONIA</t>
  </si>
  <si>
    <t>PAPELERÍA</t>
  </si>
  <si>
    <t>Tarjetas para reservar la fecha</t>
  </si>
  <si>
    <t>Invitaciones y confirmaciones de asistencia</t>
  </si>
  <si>
    <t>Programas</t>
  </si>
  <si>
    <t>Tarjetas de asiento y colocación</t>
  </si>
  <si>
    <t>Tarjetas de menú</t>
  </si>
  <si>
    <t>Notas de agradecimiento</t>
  </si>
  <si>
    <t>Gastos de envío</t>
  </si>
  <si>
    <t>TOTAL DE PAPELERÍA</t>
  </si>
  <si>
    <t>ALIANZAS</t>
  </si>
  <si>
    <t>Accesorios de las alianzas</t>
  </si>
  <si>
    <t>TOTAL DE ALIANZAS</t>
  </si>
  <si>
    <t xml:space="preserve">TRANSPORTE  </t>
  </si>
  <si>
    <t>Alquiler de coche principal</t>
  </si>
  <si>
    <t>Alquiler de coche para invitados</t>
  </si>
  <si>
    <t>Transporte para invitados de fuera de la ciudad</t>
  </si>
  <si>
    <t>Servicio de estacionamiento</t>
  </si>
  <si>
    <t>TOTAL DE TRANSPORTE</t>
  </si>
  <si>
    <t>ESTIMADO</t>
  </si>
  <si>
    <t>ESTIMADOS</t>
  </si>
  <si>
    <t>REAL</t>
  </si>
  <si>
    <r>
      <rPr>
        <b/>
        <sz val="28"/>
        <color theme="3"/>
        <rFont val="Franklin Gothic Medium Cond"/>
        <family val="2"/>
        <scheme val="major"/>
      </rPr>
      <t>LAURA</t>
    </r>
    <r>
      <rPr>
        <b/>
        <sz val="28"/>
        <color theme="1" tint="0.14999847407452621"/>
        <rFont val="Franklin Gothic Book"/>
        <family val="2"/>
        <scheme val="minor"/>
      </rPr>
      <t xml:space="preserve"> </t>
    </r>
    <r>
      <rPr>
        <b/>
        <sz val="28"/>
        <color theme="1"/>
        <rFont val="Franklin Gothic Medium Cond"/>
        <family val="2"/>
        <scheme val="major"/>
      </rPr>
      <t>+</t>
    </r>
    <r>
      <rPr>
        <b/>
        <sz val="28"/>
        <color theme="3"/>
        <rFont val="Franklin Gothic Medium Cond"/>
        <family val="2"/>
        <scheme val="major"/>
      </rPr>
      <t xml:space="preserve"> DAVID</t>
    </r>
    <r>
      <rPr>
        <b/>
        <sz val="11"/>
        <color theme="1" tint="0.14999847407452621"/>
        <rFont val="Franklin Gothic Book"/>
        <family val="2"/>
        <scheme val="minor"/>
      </rPr>
      <t xml:space="preserve">
</t>
    </r>
    <r>
      <rPr>
        <b/>
        <sz val="32"/>
        <color theme="1"/>
        <rFont val="Franklin Gothic Demi"/>
        <family val="2"/>
      </rPr>
      <t>DAN EL SÍ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</si>
</sst>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;[Red]\-&quot;$&quot;#,##0"/>
    <numFmt numFmtId="165" formatCode="&quot;$&quot;#,##0.00;[Red]\-&quot;$&quot;#,##0.00"/>
    <numFmt numFmtId="166" formatCode="0.0%"/>
  </numFmts>
  <fonts count="29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Medium Cond"/>
      <family val="2"/>
      <scheme val="major"/>
    </font>
    <font>
      <sz val="10"/>
      <color theme="1" tint="0.14999847407452621"/>
      <name val="Franklin Gothic Book"/>
      <family val="2"/>
      <scheme val="minor"/>
    </font>
    <font>
      <sz val="8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Book"/>
      <family val="2"/>
      <scheme val="minor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 tint="0.14999847407452621"/>
      <name val="Franklin Gothic Book"/>
      <family val="2"/>
    </font>
    <font>
      <sz val="11"/>
      <color theme="1" tint="0.14999847407452621"/>
      <name val="Franklin Gothic Book"/>
      <family val="2"/>
    </font>
    <font>
      <sz val="11"/>
      <color rgb="FF43646B"/>
      <name val="Franklin Gothic Book"/>
      <family val="2"/>
    </font>
    <font>
      <b/>
      <sz val="11"/>
      <color theme="1" tint="0.14999847407452621"/>
      <name val="Franklin Gothic Book"/>
      <family val="2"/>
      <scheme val="minor"/>
    </font>
    <font>
      <b/>
      <sz val="9"/>
      <color rgb="FF818B8A"/>
      <name val="Franklin Gothic Book"/>
      <family val="2"/>
    </font>
    <font>
      <sz val="11"/>
      <color theme="1"/>
      <name val="Franklin Gothic Book"/>
      <family val="2"/>
    </font>
    <font>
      <sz val="10"/>
      <color rgb="FF43646B"/>
      <name val="Franklin Gothic Book"/>
      <family val="2"/>
    </font>
    <font>
      <b/>
      <sz val="9"/>
      <color rgb="FF818B8A"/>
      <name val="Franklin Gothic Book"/>
      <family val="2"/>
      <scheme val="minor"/>
    </font>
    <font>
      <sz val="10"/>
      <color theme="1"/>
      <name val="Franklin Gothic Book"/>
      <family val="2"/>
    </font>
    <font>
      <b/>
      <sz val="10"/>
      <color theme="3"/>
      <name val="Franklin Gothic Medium Cond"/>
      <family val="2"/>
    </font>
    <font>
      <b/>
      <sz val="16"/>
      <color theme="3"/>
      <name val="Franklin Gothic Medium Cond"/>
      <family val="2"/>
    </font>
    <font>
      <b/>
      <sz val="14"/>
      <color rgb="FF17A1AB"/>
      <name val="Franklin Gothic Medium Cond"/>
      <family val="2"/>
      <scheme val="major"/>
    </font>
    <font>
      <b/>
      <sz val="16"/>
      <color theme="3"/>
      <name val="Franklin Gothic Medium Cond"/>
      <family val="2"/>
      <scheme val="major"/>
    </font>
    <font>
      <b/>
      <sz val="10"/>
      <color theme="3"/>
      <name val="Franklin Gothic Medium Cond"/>
      <family val="2"/>
      <scheme val="major"/>
    </font>
    <font>
      <sz val="11"/>
      <color theme="3"/>
      <name val="Franklin Gothic Medium Cond"/>
      <family val="2"/>
      <scheme val="major"/>
    </font>
    <font>
      <sz val="36"/>
      <color theme="3"/>
      <name val="Franklin Gothic Medium Cond"/>
      <family val="2"/>
      <scheme val="major"/>
    </font>
    <font>
      <b/>
      <sz val="28"/>
      <color theme="3"/>
      <name val="Franklin Gothic Medium Cond"/>
      <family val="2"/>
      <scheme val="major"/>
    </font>
    <font>
      <b/>
      <sz val="32"/>
      <color theme="1"/>
      <name val="Franklin Gothic Demi"/>
      <family val="2"/>
    </font>
    <font>
      <b/>
      <sz val="28"/>
      <color theme="1"/>
      <name val="Franklin Gothic Medium Cond"/>
      <family val="2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8" fillId="0" borderId="12" xfId="0" applyFont="1" applyFill="1" applyBorder="1" applyAlignment="1">
      <alignment horizontal="left" vertical="center" indent="1"/>
    </xf>
    <xf numFmtId="0" fontId="18" fillId="0" borderId="4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indent="1"/>
    </xf>
    <xf numFmtId="0" fontId="19" fillId="0" borderId="5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indent="1"/>
    </xf>
    <xf numFmtId="9" fontId="2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 indent="1"/>
    </xf>
    <xf numFmtId="0" fontId="23" fillId="0" borderId="5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5" fontId="24" fillId="0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</cellXfs>
  <cellStyles count="1">
    <cellStyle name="Normal" xfId="0" builtinId="0"/>
  </cellStyles>
  <dxfs count="150">
    <dxf>
      <font>
        <strike val="0"/>
        <outline val="0"/>
        <shadow val="0"/>
        <u val="none"/>
        <vertAlign val="baseline"/>
        <color theme="3"/>
        <name val="Franklin Gothic Medium Cond"/>
        <family val="2"/>
        <scheme val="major"/>
      </font>
      <numFmt numFmtId="165" formatCode="&quot;$&quot;#,##0.00;[Red]\-&quot;$&quot;#,##0.00"/>
    </dxf>
    <dxf>
      <numFmt numFmtId="165" formatCode="&quot;$&quot;#,##0.00;[Red]\-&quot;$&quot;#,##0.00"/>
    </dxf>
    <dxf>
      <font>
        <strike val="0"/>
        <outline val="0"/>
        <shadow val="0"/>
        <u val="none"/>
        <vertAlign val="baseline"/>
        <color theme="3"/>
        <name val="Franklin Gothic Medium Cond"/>
        <family val="2"/>
        <scheme val="major"/>
      </font>
      <numFmt numFmtId="165" formatCode="&quot;$&quot;#,##0.00;[Red]\-&quot;$&quot;#,##0.00"/>
    </dxf>
    <dxf>
      <numFmt numFmtId="165" formatCode="&quot;$&quot;#,##0.00;[Red]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numFmt numFmtId="165" formatCode="&quot;$&quot;#,##0.00;[Red]\-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3646B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67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65" formatCode="&quot;$&quot;#,##0.00;[Red]\-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64" formatCode="&quot;$&quot;#,##0;[Red]\-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64" formatCode="&quot;$&quot;#,##0;[Red]\-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64" formatCode="&quot;$&quot;#,##0;[Red]\-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818B8A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solid">
          <fgColor indexed="64"/>
          <bgColor rgb="FF43646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</font>
      <fill>
        <patternFill patternType="none">
          <bgColor auto="1"/>
        </patternFill>
      </fill>
      <border>
        <top style="medium">
          <color theme="4"/>
        </top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149"/>
      <tableStyleElement type="headerRow" dxfId="148"/>
      <tableStyleElement type="totalRow" dxfId="147"/>
      <tableStyleElement type="firstColumn" dxfId="146"/>
      <tableStyleElement type="lastColumn" dxfId="145"/>
      <tableStyleElement type="firstRowStripe" dxfId="144"/>
      <tableStyleElement type="firstColumnStripe" dxfId="143"/>
    </tableStyle>
  </tableStyles>
  <colors>
    <mruColors>
      <color rgb="FF818B8A"/>
      <color rgb="FF17A1AB"/>
      <color rgb="FF43646B"/>
      <color rgb="FFF8F8F8"/>
      <color rgb="FF807E81"/>
      <color rgb="FF0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5028364866725"/>
          <c:y val="4.4788523412869236E-2"/>
          <c:w val="0.80609494072101495"/>
          <c:h val="0.9552114765871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'Presupuesto para la boda'!$C$5</c:f>
              <c:strCache>
                <c:ptCount val="1"/>
                <c:pt idx="0">
                  <c:v>COSTO ESTIMADO</c:v>
                </c:pt>
              </c:strCache>
            </c:strRef>
          </c:tx>
          <c:spPr>
            <a:solidFill>
              <a:srgbClr val="17A1AB"/>
            </a:solidFill>
            <a:ln w="41275">
              <a:solidFill>
                <a:srgbClr val="17A1AB"/>
              </a:solidFill>
            </a:ln>
            <a:effectLst/>
          </c:spPr>
          <c:invertIfNegative val="0"/>
          <c:cat>
            <c:strRef>
              <c:f>'Presupuesto para la boda'!$B$6:$B$15</c:f>
              <c:strCache>
                <c:ptCount val="10"/>
                <c:pt idx="0">
                  <c:v>Banquete</c:v>
                </c:pt>
                <c:pt idx="1">
                  <c:v>Atuendo</c:v>
                </c:pt>
                <c:pt idx="2">
                  <c:v>Flores y decoración</c:v>
                </c:pt>
                <c:pt idx="3">
                  <c:v>Fotografías y video</c:v>
                </c:pt>
                <c:pt idx="4">
                  <c:v>Música</c:v>
                </c:pt>
                <c:pt idx="5">
                  <c:v>Detalles y regalos</c:v>
                </c:pt>
                <c:pt idx="6">
                  <c:v>Alianzas</c:v>
                </c:pt>
                <c:pt idx="7">
                  <c:v>Ceremonia</c:v>
                </c:pt>
                <c:pt idx="8">
                  <c:v>Papelería</c:v>
                </c:pt>
                <c:pt idx="9">
                  <c:v>Transporte</c:v>
                </c:pt>
              </c:strCache>
            </c:strRef>
          </c:cat>
          <c:val>
            <c:numRef>
              <c:f>'Presupuesto para la boda'!$C$6:$C$15</c:f>
              <c:numCache>
                <c:formatCode>"$"#,##0;[Red]\-"$"#,##0</c:formatCode>
                <c:ptCount val="10"/>
                <c:pt idx="0">
                  <c:v>14500</c:v>
                </c:pt>
                <c:pt idx="1">
                  <c:v>4000</c:v>
                </c:pt>
                <c:pt idx="2">
                  <c:v>3000</c:v>
                </c:pt>
                <c:pt idx="3">
                  <c:v>2500</c:v>
                </c:pt>
                <c:pt idx="4">
                  <c:v>1800</c:v>
                </c:pt>
                <c:pt idx="5">
                  <c:v>1100</c:v>
                </c:pt>
                <c:pt idx="6">
                  <c:v>1100</c:v>
                </c:pt>
                <c:pt idx="7">
                  <c:v>800</c:v>
                </c:pt>
                <c:pt idx="8">
                  <c:v>500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F3B-B7C9-B667BE6D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022976"/>
        <c:axId val="534026256"/>
      </c:barChart>
      <c:catAx>
        <c:axId val="53402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18B8A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18B8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26256"/>
        <c:crosses val="autoZero"/>
        <c:auto val="1"/>
        <c:lblAlgn val="ctr"/>
        <c:lblOffset val="100"/>
        <c:noMultiLvlLbl val="0"/>
      </c:catAx>
      <c:valAx>
        <c:axId val="5340262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;[Red]\-&quot;$&quot;#,##0" sourceLinked="1"/>
        <c:majorTickMark val="none"/>
        <c:minorTickMark val="none"/>
        <c:tickLblPos val="nextTo"/>
        <c:crossAx val="534022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206828</xdr:colOff>
      <xdr:row>2</xdr:row>
      <xdr:rowOff>15240</xdr:rowOff>
    </xdr:from>
    <xdr:to>
      <xdr:col>5</xdr:col>
      <xdr:colOff>1155246</xdr:colOff>
      <xdr:row>2</xdr:row>
      <xdr:rowOff>2795997</xdr:rowOff>
    </xdr:to>
    <xdr:graphicFrame macro="">
      <xdr:nvGraphicFramePr>
        <xdr:cNvPr id="2" name="Gráfico 1" descr="Gráfico de resumen del presupuesto de la boda por la categoría. Los gastos de las categorías se muestran en orden descendente en función de los costos estimado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1462609</xdr:colOff>
      <xdr:row>1</xdr:row>
      <xdr:rowOff>45720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5020B3B-CC06-49E7-A495-CDA4280648E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0980" y="0"/>
          <a:ext cx="8175829" cy="9677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5:F16" totalsRowCount="1" headerRowDxfId="142" dataDxfId="141" totalsRowDxfId="140">
  <tableColumns count="5">
    <tableColumn id="1" xr3:uid="{00000000-0010-0000-0000-000001000000}" name="CATEGORÍA" totalsRowLabel="Total" totalsRowDxfId="139"/>
    <tableColumn id="2" xr3:uid="{00000000-0010-0000-0000-000002000000}" name="COSTO ESTIMADO" totalsRowFunction="sum" dataDxfId="138" totalsRowDxfId="137">
      <calculatedColumnFormula>VLOOKUP(TBL_Summary[[#This Row],[CATEGORÍA]],TBL_RankingData,2,FALSE)</calculatedColumnFormula>
    </tableColumn>
    <tableColumn id="3" xr3:uid="{00000000-0010-0000-0000-000003000000}" name="COSTO REAL" totalsRowFunction="sum" dataDxfId="136" totalsRowDxfId="135">
      <calculatedColumnFormula>IF(VLOOKUP(TBL_Summary[[#This Row],[CATEGORÍA]],TBL_RankingData,3,FALSE)=0,"",VLOOKUP(TBL_Summary[[#This Row],[CATEGORÍA]],TBL_RankingData,3,FALSE))</calculatedColumnFormula>
    </tableColumn>
    <tableColumn id="4" xr3:uid="{00000000-0010-0000-0000-000004000000}" name="DIFERENCIA" totalsRowFunction="custom" dataDxfId="134" totalsRowDxfId="133">
      <calculatedColumnFormula>IF(OR(TBL_Summary[[#This Row],[COSTO ESTIMADO]]="",TBL_Summary[[#This Row],[COSTO REAL]]=""),"",TBL_Summary[[#This Row],[COSTO ESTIMADO]]-TBL_Summary[[#This Row],[COSTO REAL]])</calculatedColumnFormula>
      <totalsRowFormula>TBL_Summary[[#Totals],[COSTO ESTIMADO]]-TBL_Summary[[#Totals],[COSTO REAL]]</totalsRowFormula>
    </tableColumn>
    <tableColumn id="5" xr3:uid="{00000000-0010-0000-0000-000005000000}" name="PRESUPUESTO %" totalsRowFunction="sum" dataDxfId="132" totalsRow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a que contiene un resumen del presupuesto por categoría de gasto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WeddingRings" displayName="TBL_WeddingRings" ref="B79:E82" totalsRowCount="1" headerRowDxfId="24" dataDxfId="22" totalsRowDxfId="21" headerRowBorderDxfId="23" totalsRowBorderDxfId="20">
  <tableColumns count="4">
    <tableColumn id="1" xr3:uid="{00000000-0010-0000-0900-000001000000}" name="ALIANZAS" totalsRowLabel="TOTAL DE ALIANZAS" dataDxfId="19" totalsRowDxfId="18"/>
    <tableColumn id="2" xr3:uid="{00000000-0010-0000-0900-000002000000}" name="ESTIMADOS" totalsRowFunction="sum" dataDxfId="17" totalsRowDxfId="16"/>
    <tableColumn id="3" xr3:uid="{00000000-0010-0000-0900-000003000000}" name="REAL" totalsRowFunction="sum" dataDxfId="15" totalsRowDxfId="14"/>
    <tableColumn id="4" xr3:uid="{00000000-0010-0000-0900-000004000000}" name="DIFERENCIA" totalsRowFunction="custom" dataDxfId="13" totalsRowDxfId="12">
      <totalsRowFormula>TBL_WeddingRings[[#Totals],[ESTIMADOS]]-TBL_WeddingRings[[#Totals],[REAL]]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os anillos de boda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Transportation" displayName="TBL_Transportation" ref="B85:E91" totalsRowCount="1" headerRowDxfId="11" dataDxfId="9" totalsRowDxfId="8" headerRowBorderDxfId="10" totalsRowBorderDxfId="7">
  <autoFilter ref="B85:E90" xr:uid="{1874CCD5-90DA-4D63-B97F-603C66F43EBF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TRANSPORTE  " totalsRowLabel="TOTAL DE TRANSPORTE" totalsRowDxfId="6"/>
    <tableColumn id="2" xr3:uid="{00000000-0010-0000-0A00-000002000000}" name="ESTIMADOS" totalsRowFunction="sum" dataDxfId="5" totalsRowDxfId="4"/>
    <tableColumn id="3" xr3:uid="{00000000-0010-0000-0A00-000003000000}" name="REAL" totalsRowFunction="sum" dataDxfId="3" totalsRowDxfId="2"/>
    <tableColumn id="4" xr3:uid="{00000000-0010-0000-0A00-000004000000}" name="DIFERENCIA" totalsRowFunction="custom" dataDxfId="1" totalsRowDxfId="0">
      <totalsRowFormula>TBL_Transportation[[#Totals],[ESTIMADOS]]-TBL_Transportation[[#Totals],[REAL]]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el transpor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Reception" displayName="TBL_Reception" ref="B4:E10" totalsRowCount="1" headerRowDxfId="130" dataDxfId="128" totalsRowDxfId="126" headerRowBorderDxfId="129" tableBorderDxfId="127" totalsRowBorderDxfId="125">
  <tableColumns count="4">
    <tableColumn id="1" xr3:uid="{00000000-0010-0000-0100-000001000000}" name="RECEPCIÓN" totalsRowLabel="TOTAL DE RECEPCIÓN" dataDxfId="124" totalsRowDxfId="123"/>
    <tableColumn id="2" xr3:uid="{00000000-0010-0000-0100-000002000000}" name="ESTIMADO" totalsRowFunction="sum" dataDxfId="122" totalsRowDxfId="121"/>
    <tableColumn id="3" xr3:uid="{00000000-0010-0000-0100-000003000000}" name="REAL" totalsRowFunction="sum" dataDxfId="120" totalsRowDxfId="119"/>
    <tableColumn id="4" xr3:uid="{00000000-0010-0000-0100-000004000000}" name="DIFERENCIA" totalsRowFunction="custom" dataDxfId="118" totalsRowDxfId="117">
      <calculatedColumnFormula>IF(OR(TBL_Reception[[#This Row],[ESTIMADO]]="",TBL_Reception[[#This Row],[REAL]]=""),"",TBL_Reception[[#This Row],[ESTIMADO]]-TBL_Reception[[#This Row],[REAL]])</calculatedColumnFormula>
      <totalsRowFormula>TBL_Reception[[#Totals],[ESTIMADO]]-TBL_Reception[[#Totals],[REAL]]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a recepció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Attire" displayName="TBL_Attire" ref="B13:E20" totalsRowCount="1" headerRowDxfId="116" dataDxfId="114" totalsRowDxfId="112" headerRowBorderDxfId="115" tableBorderDxfId="113" totalsRowBorderDxfId="111">
  <tableColumns count="4">
    <tableColumn id="1" xr3:uid="{00000000-0010-0000-0200-000001000000}" name="VESTIMENTA" totalsRowLabel="TOTAL DE ATUENDO" dataDxfId="110" totalsRowDxfId="109"/>
    <tableColumn id="2" xr3:uid="{00000000-0010-0000-0200-000002000000}" name="ESTIMADOS" totalsRowFunction="sum" dataDxfId="108" totalsRowDxfId="107"/>
    <tableColumn id="3" xr3:uid="{00000000-0010-0000-0200-000003000000}" name="REAL" totalsRowFunction="sum" dataDxfId="106" totalsRowDxfId="105"/>
    <tableColumn id="4" xr3:uid="{00000000-0010-0000-0200-000004000000}" name="DIFERENCIA" totalsRowFunction="custom" dataDxfId="104" totalsRowDxfId="103">
      <totalsRowFormula>TBL_Attire[[#Totals],[ESTIMADOS]]-TBL_Attire[[#Totals],[REAL]]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el atuendo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FlowersAndDecor" displayName="TBL_FlowersAndDecor" ref="B23:E33" totalsRowCount="1" headerRowDxfId="102" dataDxfId="100" totalsRowDxfId="99" headerRowBorderDxfId="101" totalsRowBorderDxfId="98">
  <tableColumns count="4">
    <tableColumn id="1" xr3:uid="{00000000-0010-0000-0300-000001000000}" name="FLORES Y DECORACIÓN" totalsRowLabel="TOTAL DE FLORES Y DECORACIÓN" dataDxfId="97" totalsRowDxfId="96"/>
    <tableColumn id="2" xr3:uid="{00000000-0010-0000-0300-000002000000}" name="ESTIMADOS" totalsRowFunction="sum" dataDxfId="95" totalsRowDxfId="94"/>
    <tableColumn id="3" xr3:uid="{00000000-0010-0000-0300-000003000000}" name="REAL" totalsRowFunction="sum" dataDxfId="93" totalsRowDxfId="92"/>
    <tableColumn id="4" xr3:uid="{00000000-0010-0000-0300-000004000000}" name="DIFERENCIA" totalsRowFunction="custom" dataDxfId="91" totalsRowDxfId="90">
      <totalsRowFormula>TBL_FlowersAndDecor[[#Totals],[ESTIMADOS]]-TBL_FlowersAndDecor[[#Totals],[REAL]]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as flores y los adorno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Music" displayName="TBL_Music" ref="B36:E42" totalsRowCount="1" headerRowDxfId="89" dataDxfId="87" totalsRowDxfId="86" headerRowBorderDxfId="88" totalsRowBorderDxfId="85">
  <tableColumns count="4">
    <tableColumn id="1" xr3:uid="{00000000-0010-0000-0400-000001000000}" name="MÚSICA" totalsRowLabel="TOTAL DE MÚSICA" dataDxfId="84" totalsRowDxfId="83"/>
    <tableColumn id="2" xr3:uid="{00000000-0010-0000-0400-000002000000}" name="ESTIMADOS" totalsRowFunction="sum" dataDxfId="82" totalsRowDxfId="81"/>
    <tableColumn id="3" xr3:uid="{00000000-0010-0000-0400-000003000000}" name="REAL" totalsRowFunction="sum" dataDxfId="80" totalsRowDxfId="79"/>
    <tableColumn id="4" xr3:uid="{00000000-0010-0000-0400-000004000000}" name="DIFERENCIA" totalsRowFunction="custom" dataDxfId="78" totalsRowDxfId="77">
      <totalsRowFormula>TBL_Music[[#Totals],[ESTIMADOS]]-TBL_Music[[#Totals],[REAL]]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a músic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PhotographsAndVideo" displayName="TBL_PhotographsAndVideo" ref="B45:E50" totalsRowCount="1" headerRowDxfId="76" dataDxfId="74" totalsRowDxfId="73" headerRowBorderDxfId="75" totalsRowBorderDxfId="72">
  <tableColumns count="4">
    <tableColumn id="1" xr3:uid="{00000000-0010-0000-0500-000001000000}" name="VIDEO Y FOTOGRAFÍA" totalsRowLabel="TOTAL DE VIDEO Y FOTOGRAFÍA" dataDxfId="71" totalsRowDxfId="70"/>
    <tableColumn id="2" xr3:uid="{00000000-0010-0000-0500-000002000000}" name="ESTIMADOS" totalsRowFunction="sum" dataDxfId="69" totalsRowDxfId="68"/>
    <tableColumn id="3" xr3:uid="{00000000-0010-0000-0500-000003000000}" name="REAL" totalsRowFunction="sum" dataDxfId="67" totalsRowDxfId="66"/>
    <tableColumn id="4" xr3:uid="{00000000-0010-0000-0500-000004000000}" name="DIFERENCIA" totalsRowFunction="custom" dataDxfId="65" totalsRowDxfId="64">
      <totalsRowFormula>TBL_PhotographsAndVideo[[#Totals],[ESTIMADOS]]-TBL_PhotographsAndVideo[[#Totals],[REAL]]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as fotografías y los video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FavorsAndGifts" displayName="TBL_FavorsAndGifts" ref="B53:E57" totalsRowCount="1" headerRowDxfId="63" dataDxfId="61" totalsRowDxfId="60" headerRowBorderDxfId="62" totalsRowBorderDxfId="59">
  <tableColumns count="4">
    <tableColumn id="1" xr3:uid="{00000000-0010-0000-0600-000001000000}" name="SOUVENIRS Y REGALOS" totalsRowLabel="TOTAL DE SOUVENIRS Y REGALOS" dataDxfId="58" totalsRowDxfId="57"/>
    <tableColumn id="2" xr3:uid="{00000000-0010-0000-0600-000002000000}" name="ESTIMADOS" totalsRowFunction="sum" dataDxfId="56" totalsRowDxfId="55"/>
    <tableColumn id="3" xr3:uid="{00000000-0010-0000-0600-000003000000}" name="REAL" totalsRowFunction="sum" dataDxfId="54" totalsRowDxfId="53"/>
    <tableColumn id="4" xr3:uid="{00000000-0010-0000-0600-000004000000}" name="DIFERENCIA" totalsRowFunction="custom" dataDxfId="52" totalsRowDxfId="51">
      <totalsRowFormula>TBL_FavorsAndGifts[[#Totals],[ESTIMADOS]]-TBL_FavorsAndGifts[[#Totals],[REAL]]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os detalles y los regalo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Ceremony" displayName="TBL_Ceremony" ref="B60:E64" totalsRowCount="1" headerRowDxfId="50" dataDxfId="48" totalsRowDxfId="47" headerRowBorderDxfId="49" totalsRowBorderDxfId="46">
  <tableColumns count="4">
    <tableColumn id="1" xr3:uid="{00000000-0010-0000-0700-000001000000}" name="CEREMONIA" totalsRowLabel="TOTAL DE CEREMONIA" dataDxfId="45" totalsRowDxfId="44"/>
    <tableColumn id="2" xr3:uid="{00000000-0010-0000-0700-000002000000}" name="ESTIMADOS" totalsRowFunction="sum" dataDxfId="43" totalsRowDxfId="42"/>
    <tableColumn id="3" xr3:uid="{00000000-0010-0000-0700-000003000000}" name="REAL" totalsRowFunction="sum" dataDxfId="41" totalsRowDxfId="40"/>
    <tableColumn id="4" xr3:uid="{00000000-0010-0000-0700-000004000000}" name="DIFERENCIA" totalsRowFunction="custom" dataDxfId="39" totalsRowDxfId="38">
      <totalsRowFormula>TBL_Ceremony[[#Totals],[ESTIMADOS]]-TBL_Ceremony[[#Totals],[REAL]]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a ceremonia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Stationery" displayName="TBL_Stationery" ref="B67:E76" totalsRowCount="1" headerRowDxfId="37" dataDxfId="35" totalsRowDxfId="34" headerRowBorderDxfId="36" totalsRowBorderDxfId="33">
  <tableColumns count="4">
    <tableColumn id="1" xr3:uid="{00000000-0010-0000-0800-000001000000}" name="PAPELERÍA" totalsRowLabel="TOTAL DE PAPELERÍA" dataDxfId="32" totalsRowDxfId="31"/>
    <tableColumn id="2" xr3:uid="{00000000-0010-0000-0800-000002000000}" name="ESTIMADOS" totalsRowFunction="sum" dataDxfId="30" totalsRowDxfId="29"/>
    <tableColumn id="3" xr3:uid="{00000000-0010-0000-0800-000003000000}" name="REAL" totalsRowFunction="sum" dataDxfId="28" totalsRowDxfId="27"/>
    <tableColumn id="4" xr3:uid="{00000000-0010-0000-0800-000004000000}" name="DIFERENCIA" totalsRowFunction="custom" dataDxfId="26" totalsRowDxfId="25">
      <totalsRowFormula>TBL_Stationery[[#Totals],[ESTIMADOS]]-TBL_Stationery[[#Totals],[REAL]]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a que contiene los costos relacionados con la papelería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 Wash 2">
      <a:majorFont>
        <a:latin typeface="Franklin Gothic Medium Cond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4"/>
  <sheetViews>
    <sheetView showGridLines="0" tabSelected="1" zoomScaleNormal="100" workbookViewId="0"/>
  </sheetViews>
  <sheetFormatPr defaultColWidth="8.77734375" defaultRowHeight="21" customHeight="1" x14ac:dyDescent="0.3"/>
  <cols>
    <col min="1" max="1" width="2.6640625" style="1" customWidth="1"/>
    <col min="2" max="2" width="27.21875" style="3" customWidth="1"/>
    <col min="3" max="6" width="17.6640625" style="1" customWidth="1"/>
    <col min="7" max="7" width="1.44140625" style="1" customWidth="1"/>
    <col min="8" max="9" width="8.77734375" style="1" customWidth="1"/>
    <col min="10" max="10" width="21.77734375" style="2" hidden="1" customWidth="1"/>
    <col min="11" max="11" width="13.77734375" style="2" hidden="1" customWidth="1"/>
    <col min="12" max="12" width="12.109375" style="2" hidden="1" customWidth="1"/>
    <col min="13" max="13" width="25.88671875" style="1" hidden="1" customWidth="1"/>
    <col min="14" max="15" width="10.44140625" style="1" hidden="1" customWidth="1"/>
    <col min="16" max="16" width="21.77734375" style="2" hidden="1" customWidth="1"/>
    <col min="17" max="16384" width="8.77734375" style="1"/>
  </cols>
  <sheetData>
    <row r="1" spans="1:17" ht="72.599999999999994" customHeight="1" x14ac:dyDescent="0.3">
      <c r="A1" s="20"/>
      <c r="B1" s="21"/>
      <c r="C1" s="20"/>
      <c r="D1" s="20"/>
      <c r="E1" s="20"/>
      <c r="F1" s="20"/>
      <c r="G1" s="7" t="s">
        <v>6</v>
      </c>
    </row>
    <row r="2" spans="1:17" s="8" customFormat="1" ht="73.150000000000006" customHeight="1" x14ac:dyDescent="0.5">
      <c r="A2" s="16"/>
      <c r="B2" s="70" t="s">
        <v>89</v>
      </c>
      <c r="C2" s="70"/>
      <c r="D2" s="70"/>
      <c r="E2" s="70"/>
      <c r="F2" s="70"/>
      <c r="G2" s="16"/>
      <c r="J2" s="9"/>
      <c r="K2" s="9"/>
      <c r="L2" s="9"/>
      <c r="P2" s="9"/>
    </row>
    <row r="3" spans="1:17" ht="220.15" customHeight="1" x14ac:dyDescent="0.3">
      <c r="A3" s="20"/>
      <c r="B3" s="18"/>
      <c r="C3" s="20"/>
      <c r="D3" s="20"/>
      <c r="E3" s="20"/>
      <c r="F3" s="20"/>
      <c r="G3" s="17"/>
      <c r="H3" s="27" t="s">
        <v>6</v>
      </c>
      <c r="Q3" s="26"/>
    </row>
    <row r="4" spans="1:17" ht="15" customHeight="1" x14ac:dyDescent="0.3">
      <c r="A4" s="20"/>
      <c r="B4" s="22"/>
      <c r="C4" s="23"/>
      <c r="D4" s="23"/>
      <c r="E4" s="23"/>
      <c r="F4" s="23"/>
      <c r="G4" s="17"/>
    </row>
    <row r="5" spans="1:17" ht="34.9" customHeight="1" x14ac:dyDescent="0.3">
      <c r="A5" s="20"/>
      <c r="B5" s="41" t="s">
        <v>0</v>
      </c>
      <c r="C5" s="40" t="s">
        <v>2</v>
      </c>
      <c r="D5" s="40" t="s">
        <v>3</v>
      </c>
      <c r="E5" s="40" t="s">
        <v>4</v>
      </c>
      <c r="F5" s="40" t="s">
        <v>5</v>
      </c>
      <c r="J5" s="2" t="s">
        <v>7</v>
      </c>
      <c r="K5" s="1" t="s">
        <v>18</v>
      </c>
      <c r="L5" s="1" t="s">
        <v>19</v>
      </c>
      <c r="M5" s="5" t="s">
        <v>20</v>
      </c>
      <c r="N5" s="1" t="s">
        <v>21</v>
      </c>
      <c r="O5" s="1" t="s">
        <v>22</v>
      </c>
      <c r="P5" s="2" t="s">
        <v>23</v>
      </c>
    </row>
    <row r="6" spans="1:17" ht="19.899999999999999" customHeight="1" x14ac:dyDescent="0.3">
      <c r="A6" s="20"/>
      <c r="B6" s="25" t="str">
        <f>P6</f>
        <v>Banquete</v>
      </c>
      <c r="C6" s="68">
        <f>VLOOKUP(TBL_Summary[[#This Row],[CATEGORÍA]],TBL_RankingData,2,FALSE)</f>
        <v>14500</v>
      </c>
      <c r="D6" s="68">
        <f>IF(VLOOKUP(TBL_Summary[[#This Row],[CATEGORÍA]],TBL_RankingData,3,FALSE)=0,"",VLOOKUP(TBL_Summary[[#This Row],[CATEGORÍA]],TBL_RankingData,3,FALSE))</f>
        <v>12800</v>
      </c>
      <c r="E6" s="68">
        <f>IF(OR(TBL_Summary[[#This Row],[COSTO ESTIMADO]]="",TBL_Summary[[#This Row],[COSTO REAL]]=""),"",TBL_Summary[[#This Row],[COSTO ESTIMADO]]-TBL_Summary[[#This Row],[COSTO REAL]])</f>
        <v>1700</v>
      </c>
      <c r="F6" s="31">
        <f>TBL_Summary[[#This Row],[COSTO ESTIMADO]]/SUM(TBL_Summary[COSTO ESTIMADO])</f>
        <v>0.48739495798319327</v>
      </c>
      <c r="J6" s="2" t="s">
        <v>8</v>
      </c>
      <c r="K6" s="1">
        <f>TBL_Reception[[#Totals],[ESTIMADO]]</f>
        <v>14500</v>
      </c>
      <c r="L6" s="1">
        <f>TBL_Reception[[#Totals],[REAL]]</f>
        <v>12800</v>
      </c>
      <c r="M6" s="1">
        <f>K6-O6/100</f>
        <v>14499.99</v>
      </c>
      <c r="N6" s="1">
        <f t="shared" ref="N6:N15" si="0">_xlfn.RANK.AVG(M6,$M$6:$M$15)</f>
        <v>1</v>
      </c>
      <c r="O6" s="1">
        <v>1</v>
      </c>
      <c r="P6" s="2" t="str">
        <f t="shared" ref="P6:P15" si="1">INDEX(TBL_RankingData,MATCH(O6,$N$6:$N$15,0),1)</f>
        <v>Banquete</v>
      </c>
    </row>
    <row r="7" spans="1:17" ht="19.899999999999999" customHeight="1" x14ac:dyDescent="0.3">
      <c r="A7" s="20"/>
      <c r="B7" s="25" t="str">
        <f t="shared" ref="B7:B11" si="2">P7</f>
        <v>Atuendo</v>
      </c>
      <c r="C7" s="68">
        <f>VLOOKUP(TBL_Summary[[#This Row],[CATEGORÍA]],TBL_RankingData,2,FALSE)</f>
        <v>4000</v>
      </c>
      <c r="D7" s="68">
        <f>IF(VLOOKUP(TBL_Summary[[#This Row],[CATEGORÍA]],TBL_RankingData,3,FALSE)=0,"",VLOOKUP(TBL_Summary[[#This Row],[CATEGORÍA]],TBL_RankingData,3,FALSE))</f>
        <v>2900</v>
      </c>
      <c r="E7" s="68">
        <f>IF(OR(TBL_Summary[[#This Row],[COSTO ESTIMADO]]="",TBL_Summary[[#This Row],[COSTO REAL]]=""),"",TBL_Summary[[#This Row],[COSTO ESTIMADO]]-TBL_Summary[[#This Row],[COSTO REAL]])</f>
        <v>1100</v>
      </c>
      <c r="F7" s="31">
        <f>TBL_Summary[[#This Row],[COSTO ESTIMADO]]/SUM(TBL_Summary[COSTO ESTIMADO])</f>
        <v>0.13445378151260504</v>
      </c>
      <c r="J7" s="2" t="s">
        <v>9</v>
      </c>
      <c r="K7" s="1">
        <f>TBL_Attire[[#Totals],[ESTIMADOS]]</f>
        <v>4000</v>
      </c>
      <c r="L7" s="1">
        <f>TBL_Attire[[#Totals],[REAL]]</f>
        <v>2900</v>
      </c>
      <c r="M7" s="1">
        <f t="shared" ref="M7:M15" si="3">K7-O7/100</f>
        <v>3999.98</v>
      </c>
      <c r="N7" s="1">
        <f t="shared" si="0"/>
        <v>2</v>
      </c>
      <c r="O7" s="1">
        <v>2</v>
      </c>
      <c r="P7" s="2" t="str">
        <f t="shared" si="1"/>
        <v>Atuendo</v>
      </c>
    </row>
    <row r="8" spans="1:17" ht="19.899999999999999" customHeight="1" x14ac:dyDescent="0.3">
      <c r="A8" s="20"/>
      <c r="B8" s="25" t="str">
        <f t="shared" si="2"/>
        <v>Flores y decoración</v>
      </c>
      <c r="C8" s="68">
        <f>VLOOKUP(TBL_Summary[[#This Row],[CATEGORÍA]],TBL_RankingData,2,FALSE)</f>
        <v>3000</v>
      </c>
      <c r="D8" s="68" t="str">
        <f>IF(VLOOKUP(TBL_Summary[[#This Row],[CATEGORÍA]],TBL_RankingData,3,FALSE)=0,"",VLOOKUP(TBL_Summary[[#This Row],[CATEGORÍA]],TBL_RankingData,3,FALSE))</f>
        <v/>
      </c>
      <c r="E8" s="68" t="str">
        <f>IF(OR(TBL_Summary[[#This Row],[COSTO ESTIMADO]]="",TBL_Summary[[#This Row],[COSTO REAL]]=""),"",TBL_Summary[[#This Row],[COSTO ESTIMADO]]-TBL_Summary[[#This Row],[COSTO REAL]])</f>
        <v/>
      </c>
      <c r="F8" s="31">
        <f>TBL_Summary[[#This Row],[COSTO ESTIMADO]]/SUM(TBL_Summary[COSTO ESTIMADO])</f>
        <v>0.10084033613445378</v>
      </c>
      <c r="J8" s="2" t="s">
        <v>10</v>
      </c>
      <c r="K8" s="1">
        <f>TBL_FlowersAndDecor[[#Totals],[ESTIMADOS]]</f>
        <v>3000</v>
      </c>
      <c r="L8" s="1">
        <f>TBL_FlowersAndDecor[[#Totals],[REAL]]</f>
        <v>0</v>
      </c>
      <c r="M8" s="1">
        <f t="shared" si="3"/>
        <v>2999.97</v>
      </c>
      <c r="N8" s="1">
        <f t="shared" si="0"/>
        <v>3</v>
      </c>
      <c r="O8" s="1">
        <v>3</v>
      </c>
      <c r="P8" s="2" t="str">
        <f t="shared" si="1"/>
        <v>Flores y decoración</v>
      </c>
    </row>
    <row r="9" spans="1:17" ht="19.899999999999999" customHeight="1" x14ac:dyDescent="0.3">
      <c r="A9" s="20"/>
      <c r="B9" s="25" t="str">
        <f t="shared" si="2"/>
        <v>Fotografías y video</v>
      </c>
      <c r="C9" s="68">
        <f>VLOOKUP(TBL_Summary[[#This Row],[CATEGORÍA]],TBL_RankingData,2,FALSE)</f>
        <v>2500</v>
      </c>
      <c r="D9" s="68" t="str">
        <f>IF(VLOOKUP(TBL_Summary[[#This Row],[CATEGORÍA]],TBL_RankingData,3,FALSE)=0,"",VLOOKUP(TBL_Summary[[#This Row],[CATEGORÍA]],TBL_RankingData,3,FALSE))</f>
        <v/>
      </c>
      <c r="E9" s="68" t="str">
        <f>IF(OR(TBL_Summary[[#This Row],[COSTO ESTIMADO]]="",TBL_Summary[[#This Row],[COSTO REAL]]=""),"",TBL_Summary[[#This Row],[COSTO ESTIMADO]]-TBL_Summary[[#This Row],[COSTO REAL]])</f>
        <v/>
      </c>
      <c r="F9" s="31">
        <f>TBL_Summary[[#This Row],[COSTO ESTIMADO]]/SUM(TBL_Summary[COSTO ESTIMADO])</f>
        <v>8.4033613445378158E-2</v>
      </c>
      <c r="J9" s="2" t="s">
        <v>11</v>
      </c>
      <c r="K9" s="1">
        <f>TBL_Music[[#Totals],[ESTIMADOS]]</f>
        <v>1800</v>
      </c>
      <c r="L9" s="1">
        <f>TBL_Music[[#Totals],[REAL]]</f>
        <v>0</v>
      </c>
      <c r="M9" s="1">
        <f t="shared" si="3"/>
        <v>1799.96</v>
      </c>
      <c r="N9" s="1">
        <f t="shared" si="0"/>
        <v>5</v>
      </c>
      <c r="O9" s="1">
        <v>4</v>
      </c>
      <c r="P9" s="2" t="str">
        <f t="shared" si="1"/>
        <v>Fotografías y video</v>
      </c>
    </row>
    <row r="10" spans="1:17" ht="19.899999999999999" customHeight="1" x14ac:dyDescent="0.3">
      <c r="A10" s="20"/>
      <c r="B10" s="25" t="str">
        <f t="shared" si="2"/>
        <v>Música</v>
      </c>
      <c r="C10" s="68">
        <f>VLOOKUP(TBL_Summary[[#This Row],[CATEGORÍA]],TBL_RankingData,2,FALSE)</f>
        <v>1800</v>
      </c>
      <c r="D10" s="68" t="str">
        <f>IF(VLOOKUP(TBL_Summary[[#This Row],[CATEGORÍA]],TBL_RankingData,3,FALSE)=0,"",VLOOKUP(TBL_Summary[[#This Row],[CATEGORÍA]],TBL_RankingData,3,FALSE))</f>
        <v/>
      </c>
      <c r="E10" s="68" t="str">
        <f>IF(OR(TBL_Summary[[#This Row],[COSTO ESTIMADO]]="",TBL_Summary[[#This Row],[COSTO REAL]]=""),"",TBL_Summary[[#This Row],[COSTO ESTIMADO]]-TBL_Summary[[#This Row],[COSTO REAL]])</f>
        <v/>
      </c>
      <c r="F10" s="31">
        <f>TBL_Summary[[#This Row],[COSTO ESTIMADO]]/SUM(TBL_Summary[COSTO ESTIMADO])</f>
        <v>6.0504201680672269E-2</v>
      </c>
      <c r="J10" s="2" t="s">
        <v>12</v>
      </c>
      <c r="K10" s="1">
        <f>TBL_PhotographsAndVideo[[#Totals],[ESTIMADOS]]</f>
        <v>2500</v>
      </c>
      <c r="L10" s="1">
        <f>TBL_PhotographsAndVideo[[#Totals],[REAL]]</f>
        <v>0</v>
      </c>
      <c r="M10" s="1">
        <f t="shared" si="3"/>
        <v>2499.9499999999998</v>
      </c>
      <c r="N10" s="1">
        <f t="shared" si="0"/>
        <v>4</v>
      </c>
      <c r="O10" s="1">
        <v>5</v>
      </c>
      <c r="P10" s="2" t="str">
        <f t="shared" si="1"/>
        <v>Música</v>
      </c>
    </row>
    <row r="11" spans="1:17" ht="19.899999999999999" customHeight="1" x14ac:dyDescent="0.3">
      <c r="A11" s="20"/>
      <c r="B11" s="25" t="str">
        <f t="shared" si="2"/>
        <v>Detalles y regalos</v>
      </c>
      <c r="C11" s="68">
        <f>VLOOKUP(TBL_Summary[[#This Row],[CATEGORÍA]],TBL_RankingData,2,FALSE)</f>
        <v>1100</v>
      </c>
      <c r="D11" s="68" t="str">
        <f>IF(VLOOKUP(TBL_Summary[[#This Row],[CATEGORÍA]],TBL_RankingData,3,FALSE)=0,"",VLOOKUP(TBL_Summary[[#This Row],[CATEGORÍA]],TBL_RankingData,3,FALSE))</f>
        <v/>
      </c>
      <c r="E11" s="68" t="str">
        <f>IF(OR(TBL_Summary[[#This Row],[COSTO ESTIMADO]]="",TBL_Summary[[#This Row],[COSTO REAL]]=""),"",TBL_Summary[[#This Row],[COSTO ESTIMADO]]-TBL_Summary[[#This Row],[COSTO REAL]])</f>
        <v/>
      </c>
      <c r="F11" s="31">
        <f>TBL_Summary[[#This Row],[COSTO ESTIMADO]]/SUM(TBL_Summary[COSTO ESTIMADO])</f>
        <v>3.6974789915966387E-2</v>
      </c>
      <c r="J11" s="2" t="s">
        <v>13</v>
      </c>
      <c r="K11" s="1">
        <f>TBL_FavorsAndGifts[[#Totals],[ESTIMADOS]]</f>
        <v>1100</v>
      </c>
      <c r="L11" s="1">
        <f>TBL_FavorsAndGifts[[#Totals],[REAL]]</f>
        <v>0</v>
      </c>
      <c r="M11" s="1">
        <f t="shared" si="3"/>
        <v>1099.94</v>
      </c>
      <c r="N11" s="1">
        <f t="shared" si="0"/>
        <v>6</v>
      </c>
      <c r="O11" s="1">
        <v>6</v>
      </c>
      <c r="P11" s="2" t="str">
        <f t="shared" si="1"/>
        <v>Detalles y regalos</v>
      </c>
    </row>
    <row r="12" spans="1:17" ht="19.899999999999999" customHeight="1" x14ac:dyDescent="0.3">
      <c r="A12" s="20"/>
      <c r="B12" s="25" t="str">
        <f>P12</f>
        <v>Alianzas</v>
      </c>
      <c r="C12" s="68">
        <f>VLOOKUP(TBL_Summary[[#This Row],[CATEGORÍA]],TBL_RankingData,2,FALSE)</f>
        <v>1100</v>
      </c>
      <c r="D12" s="68" t="str">
        <f>IF(VLOOKUP(TBL_Summary[[#This Row],[CATEGORÍA]],TBL_RankingData,3,FALSE)=0,"",VLOOKUP(TBL_Summary[[#This Row],[CATEGORÍA]],TBL_RankingData,3,FALSE))</f>
        <v/>
      </c>
      <c r="E12" s="68" t="str">
        <f>IF(OR(TBL_Summary[[#This Row],[COSTO ESTIMADO]]="",TBL_Summary[[#This Row],[COSTO REAL]]=""),"",TBL_Summary[[#This Row],[COSTO ESTIMADO]]-TBL_Summary[[#This Row],[COSTO REAL]])</f>
        <v/>
      </c>
      <c r="F12" s="31">
        <f>TBL_Summary[[#This Row],[COSTO ESTIMADO]]/SUM(TBL_Summary[COSTO ESTIMADO])</f>
        <v>3.6974789915966387E-2</v>
      </c>
      <c r="J12" s="2" t="s">
        <v>14</v>
      </c>
      <c r="K12" s="1">
        <f>TBL_Ceremony[[#Totals],[ESTIMADOS]]</f>
        <v>800</v>
      </c>
      <c r="L12" s="1">
        <f>TBL_Ceremony[[#Totals],[REAL]]</f>
        <v>0</v>
      </c>
      <c r="M12" s="1">
        <f t="shared" si="3"/>
        <v>799.93</v>
      </c>
      <c r="N12" s="1">
        <f t="shared" si="0"/>
        <v>8</v>
      </c>
      <c r="O12" s="1">
        <v>7</v>
      </c>
      <c r="P12" s="2" t="str">
        <f t="shared" si="1"/>
        <v>Alianzas</v>
      </c>
    </row>
    <row r="13" spans="1:17" ht="19.899999999999999" customHeight="1" x14ac:dyDescent="0.3">
      <c r="A13" s="20"/>
      <c r="B13" s="25" t="str">
        <f>P13</f>
        <v>Ceremonia</v>
      </c>
      <c r="C13" s="68">
        <f>VLOOKUP(TBL_Summary[[#This Row],[CATEGORÍA]],TBL_RankingData,2,FALSE)</f>
        <v>800</v>
      </c>
      <c r="D13" s="68" t="str">
        <f>IF(VLOOKUP(TBL_Summary[[#This Row],[CATEGORÍA]],TBL_RankingData,3,FALSE)=0,"",VLOOKUP(TBL_Summary[[#This Row],[CATEGORÍA]],TBL_RankingData,3,FALSE))</f>
        <v/>
      </c>
      <c r="E13" s="68" t="str">
        <f>IF(OR(TBL_Summary[[#This Row],[COSTO ESTIMADO]]="",TBL_Summary[[#This Row],[COSTO REAL]]=""),"",TBL_Summary[[#This Row],[COSTO ESTIMADO]]-TBL_Summary[[#This Row],[COSTO REAL]])</f>
        <v/>
      </c>
      <c r="F13" s="31">
        <f>TBL_Summary[[#This Row],[COSTO ESTIMADO]]/SUM(TBL_Summary[COSTO ESTIMADO])</f>
        <v>2.689075630252101E-2</v>
      </c>
      <c r="J13" s="2" t="s">
        <v>15</v>
      </c>
      <c r="K13" s="1">
        <f>TBL_Stationery[[#Totals],[ESTIMADOS]]</f>
        <v>500</v>
      </c>
      <c r="L13" s="1">
        <f>TBL_Stationery[[#Totals],[REAL]]</f>
        <v>0</v>
      </c>
      <c r="M13" s="1">
        <f t="shared" si="3"/>
        <v>499.92</v>
      </c>
      <c r="N13" s="1">
        <f t="shared" si="0"/>
        <v>9</v>
      </c>
      <c r="O13" s="1">
        <v>8</v>
      </c>
      <c r="P13" s="2" t="str">
        <f t="shared" si="1"/>
        <v>Ceremonia</v>
      </c>
    </row>
    <row r="14" spans="1:17" ht="19.899999999999999" customHeight="1" x14ac:dyDescent="0.3">
      <c r="A14" s="20"/>
      <c r="B14" s="25" t="str">
        <f>P14</f>
        <v>Papelería</v>
      </c>
      <c r="C14" s="68">
        <f>VLOOKUP(TBL_Summary[[#This Row],[CATEGORÍA]],TBL_RankingData,2,FALSE)</f>
        <v>500</v>
      </c>
      <c r="D14" s="68" t="str">
        <f>IF(VLOOKUP(TBL_Summary[[#This Row],[CATEGORÍA]],TBL_RankingData,3,FALSE)=0,"",VLOOKUP(TBL_Summary[[#This Row],[CATEGORÍA]],TBL_RankingData,3,FALSE))</f>
        <v/>
      </c>
      <c r="E14" s="68" t="str">
        <f>IF(OR(TBL_Summary[[#This Row],[COSTO ESTIMADO]]="",TBL_Summary[[#This Row],[COSTO REAL]]=""),"",TBL_Summary[[#This Row],[COSTO ESTIMADO]]-TBL_Summary[[#This Row],[COSTO REAL]])</f>
        <v/>
      </c>
      <c r="F14" s="31">
        <f>TBL_Summary[[#This Row],[COSTO ESTIMADO]]/SUM(TBL_Summary[COSTO ESTIMADO])</f>
        <v>1.680672268907563E-2</v>
      </c>
      <c r="J14" s="2" t="s">
        <v>16</v>
      </c>
      <c r="K14" s="1">
        <f>TBL_WeddingRings[[#Totals],[ESTIMADOS]]</f>
        <v>1100</v>
      </c>
      <c r="L14" s="1">
        <f>TBL_WeddingRings[[#Totals],[REAL]]</f>
        <v>0</v>
      </c>
      <c r="M14" s="1">
        <f t="shared" si="3"/>
        <v>1099.9100000000001</v>
      </c>
      <c r="N14" s="1">
        <f t="shared" si="0"/>
        <v>7</v>
      </c>
      <c r="O14" s="1">
        <v>9</v>
      </c>
      <c r="P14" s="2" t="str">
        <f t="shared" si="1"/>
        <v>Papelería</v>
      </c>
    </row>
    <row r="15" spans="1:17" ht="19.899999999999999" customHeight="1" x14ac:dyDescent="0.3">
      <c r="A15" s="20"/>
      <c r="B15" s="25" t="str">
        <f>P15</f>
        <v>Transporte</v>
      </c>
      <c r="C15" s="68">
        <f>VLOOKUP(TBL_Summary[[#This Row],[CATEGORÍA]],TBL_RankingData,2,FALSE)</f>
        <v>450</v>
      </c>
      <c r="D15" s="68" t="str">
        <f>IF(VLOOKUP(TBL_Summary[[#This Row],[CATEGORÍA]],TBL_RankingData,3,FALSE)=0,"",VLOOKUP(TBL_Summary[[#This Row],[CATEGORÍA]],TBL_RankingData,3,FALSE))</f>
        <v/>
      </c>
      <c r="E15" s="68" t="str">
        <f>IF(OR(TBL_Summary[[#This Row],[COSTO ESTIMADO]]="",TBL_Summary[[#This Row],[COSTO REAL]]=""),"",TBL_Summary[[#This Row],[COSTO ESTIMADO]]-TBL_Summary[[#This Row],[COSTO REAL]])</f>
        <v/>
      </c>
      <c r="F15" s="31">
        <f>TBL_Summary[[#This Row],[COSTO ESTIMADO]]/SUM(TBL_Summary[COSTO ESTIMADO])</f>
        <v>1.5126050420168067E-2</v>
      </c>
      <c r="J15" s="2" t="s">
        <v>17</v>
      </c>
      <c r="K15" s="1">
        <f>TBL_Transportation[[#Totals],[ESTIMADOS]]</f>
        <v>450</v>
      </c>
      <c r="L15" s="1">
        <f>TBL_Transportation[[#Totals],[REAL]]</f>
        <v>0</v>
      </c>
      <c r="M15" s="1">
        <f t="shared" si="3"/>
        <v>449.9</v>
      </c>
      <c r="N15" s="1">
        <f t="shared" si="0"/>
        <v>10</v>
      </c>
      <c r="O15" s="1">
        <v>10</v>
      </c>
      <c r="P15" s="2" t="str">
        <f t="shared" si="1"/>
        <v>Transporte</v>
      </c>
    </row>
    <row r="16" spans="1:17" s="11" customFormat="1" ht="34.9" customHeight="1" x14ac:dyDescent="0.3">
      <c r="A16" s="24"/>
      <c r="B16" s="42" t="s">
        <v>1</v>
      </c>
      <c r="C16" s="69">
        <f>SUBTOTAL(109,TBL_Summary[COSTO ESTIMADO])</f>
        <v>29750</v>
      </c>
      <c r="D16" s="69">
        <f>SUBTOTAL(109,TBL_Summary[COSTO REAL])</f>
        <v>15700</v>
      </c>
      <c r="E16" s="69">
        <f>TBL_Summary[[#Totals],[COSTO ESTIMADO]]-TBL_Summary[[#Totals],[COSTO REAL]]</f>
        <v>14050</v>
      </c>
      <c r="F16" s="43">
        <f>SUBTOTAL(109,TBL_Summary[PRESUPUESTO %])</f>
        <v>1</v>
      </c>
      <c r="J16" s="12"/>
      <c r="K16" s="12"/>
      <c r="L16" s="12"/>
      <c r="P16" s="12"/>
    </row>
    <row r="17" spans="1:7" ht="21" customHeight="1" x14ac:dyDescent="0.3">
      <c r="A17" s="20"/>
      <c r="B17" s="22"/>
      <c r="C17" s="23"/>
      <c r="D17" s="23"/>
      <c r="E17" s="23"/>
      <c r="F17" s="23"/>
    </row>
    <row r="18" spans="1:7" ht="21" customHeight="1" x14ac:dyDescent="0.3">
      <c r="A18" s="20"/>
      <c r="B18" s="23"/>
      <c r="C18" s="23"/>
      <c r="D18" s="23"/>
      <c r="E18" s="23"/>
      <c r="F18" s="23"/>
    </row>
    <row r="19" spans="1:7" ht="21" customHeight="1" x14ac:dyDescent="0.3">
      <c r="A19" s="20"/>
      <c r="B19" s="23"/>
      <c r="C19" s="23"/>
      <c r="D19" s="23"/>
      <c r="E19" s="23"/>
      <c r="F19" s="23"/>
    </row>
    <row r="20" spans="1:7" ht="21" customHeight="1" x14ac:dyDescent="0.3">
      <c r="A20" s="20"/>
      <c r="B20" s="23"/>
      <c r="C20" s="23"/>
      <c r="D20" s="23"/>
      <c r="E20" s="23"/>
      <c r="F20" s="23"/>
    </row>
    <row r="21" spans="1:7" ht="21" customHeight="1" x14ac:dyDescent="0.3">
      <c r="B21" s="1"/>
    </row>
    <row r="22" spans="1:7" ht="21" customHeight="1" x14ac:dyDescent="0.3">
      <c r="B22" s="1"/>
    </row>
    <row r="23" spans="1:7" ht="21" customHeight="1" x14ac:dyDescent="0.3">
      <c r="B23" s="1"/>
    </row>
    <row r="24" spans="1:7" ht="21" customHeight="1" x14ac:dyDescent="0.3">
      <c r="B24" s="1"/>
      <c r="G24" s="19"/>
    </row>
  </sheetData>
  <mergeCells count="1">
    <mergeCell ref="B2:F2"/>
  </mergeCells>
  <dataValidations count="6">
    <dataValidation allowBlank="1" showInputMessage="1" showErrorMessage="1" promptTitle="Presupuesto para la boda" prompt="_x000a_Cree el presupuesto de boda con esta plantilla._x000a__x000a_En la pestaña Detalles del presupuesto, escribe detalles de cada categoría de gasto._x000a__x000a_La tabla resumen (celda B5) y el gráfico (celda B3) se actualizan automáticamente._x000a_" sqref="A1" xr:uid="{00000000-0002-0000-0000-000000000000}"/>
    <dataValidation allowBlank="1" showInputMessage="1" showErrorMessage="1" prompt="El presupuesto de la boda se resume automáticamente en esta tabla. _x000a__x000a_La categoría de gastos se ordena automáticamente en orden descendente según los costos estimados totales._x000a__x000a_" sqref="B5" xr:uid="{00000000-0002-0000-0000-000001000000}"/>
    <dataValidation allowBlank="1" showInputMessage="1" showErrorMessage="1" prompt="Los costos estimados se calculan automáticamente._x000a__x000a_Los datos se leen de la pestaña Detalles del presupuesto." sqref="C5" xr:uid="{00000000-0002-0000-0000-000002000000}"/>
    <dataValidation allowBlank="1" showInputMessage="1" showErrorMessage="1" prompt="Los costos reales se calculan automáticamente._x000a__x000a_Los datos se leen de la pestaña Detalles del presupuesto." sqref="D5" xr:uid="{00000000-0002-0000-0000-000003000000}"/>
    <dataValidation allowBlank="1" showInputMessage="1" showErrorMessage="1" prompt="La varianza se calcula automáticamente._x000a__x000a_Esto muestra la diferencia entre costos estimados y costos reales." sqref="E5" xr:uid="{00000000-0002-0000-0000-000004000000}"/>
    <dataValidation allowBlank="1" showInputMessage="1" showErrorMessage="1" prompt="El porcentaje del presupuesto se calcula automáticamente._x000a__x000a_Esto muestra el desglose en función de los costos totales estimados." sqref="F5" xr:uid="{00000000-0002-0000-0000-000005000000}"/>
  </dataValidations>
  <printOptions horizontalCentered="1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4"/>
  <sheetViews>
    <sheetView showGridLines="0" zoomScaleNormal="100" workbookViewId="0"/>
  </sheetViews>
  <sheetFormatPr defaultColWidth="8.77734375" defaultRowHeight="21" customHeight="1" x14ac:dyDescent="0.3"/>
  <cols>
    <col min="1" max="1" width="1.44140625" style="13" customWidth="1"/>
    <col min="2" max="2" width="34.44140625" style="14" customWidth="1"/>
    <col min="3" max="5" width="14.44140625" style="48" customWidth="1"/>
    <col min="6" max="6" width="1.44140625" style="1" customWidth="1"/>
    <col min="7" max="16384" width="8.77734375" style="1"/>
  </cols>
  <sheetData>
    <row r="1" spans="1:6" ht="9" customHeight="1" x14ac:dyDescent="0.3">
      <c r="F1" s="6" t="s">
        <v>6</v>
      </c>
    </row>
    <row r="2" spans="1:6" s="4" customFormat="1" ht="41.25" customHeight="1" x14ac:dyDescent="0.3">
      <c r="A2" s="15"/>
      <c r="B2" s="47" t="s">
        <v>24</v>
      </c>
      <c r="C2" s="49"/>
      <c r="D2" s="49"/>
      <c r="E2" s="49"/>
    </row>
    <row r="3" spans="1:6" ht="21" customHeight="1" x14ac:dyDescent="0.3">
      <c r="A3" s="30"/>
      <c r="B3" s="10"/>
      <c r="C3" s="50"/>
      <c r="D3" s="50"/>
      <c r="E3" s="50"/>
    </row>
    <row r="4" spans="1:6" ht="21" customHeight="1" x14ac:dyDescent="0.3">
      <c r="B4" s="39" t="s">
        <v>25</v>
      </c>
      <c r="C4" s="51" t="s">
        <v>86</v>
      </c>
      <c r="D4" s="51" t="s">
        <v>88</v>
      </c>
      <c r="E4" s="52" t="s">
        <v>4</v>
      </c>
    </row>
    <row r="5" spans="1:6" ht="21" customHeight="1" x14ac:dyDescent="0.3">
      <c r="B5" s="34" t="s">
        <v>26</v>
      </c>
      <c r="C5" s="53">
        <v>8000</v>
      </c>
      <c r="D5" s="54">
        <v>7800</v>
      </c>
      <c r="E5" s="55">
        <f>IF(OR(TBL_Reception[[#This Row],[ESTIMADO]]="",TBL_Reception[[#This Row],[REAL]]=""),"",TBL_Reception[[#This Row],[ESTIMADO]]-TBL_Reception[[#This Row],[REAL]])</f>
        <v>200</v>
      </c>
    </row>
    <row r="6" spans="1:6" ht="21" customHeight="1" x14ac:dyDescent="0.3">
      <c r="B6" s="35" t="s">
        <v>27</v>
      </c>
      <c r="C6" s="56">
        <v>4000</v>
      </c>
      <c r="D6" s="57">
        <v>4200</v>
      </c>
      <c r="E6" s="55">
        <f>IF(OR(TBL_Reception[[#This Row],[ESTIMADO]]="",TBL_Reception[[#This Row],[REAL]]=""),"",TBL_Reception[[#This Row],[ESTIMADO]]-TBL_Reception[[#This Row],[REAL]])</f>
        <v>-200</v>
      </c>
    </row>
    <row r="7" spans="1:6" ht="21" customHeight="1" x14ac:dyDescent="0.3">
      <c r="B7" s="35" t="s">
        <v>28</v>
      </c>
      <c r="C7" s="56">
        <v>1000</v>
      </c>
      <c r="D7" s="57">
        <v>800</v>
      </c>
      <c r="E7" s="55">
        <f>IF(OR(TBL_Reception[[#This Row],[ESTIMADO]]="",TBL_Reception[[#This Row],[REAL]]=""),"",TBL_Reception[[#This Row],[ESTIMADO]]-TBL_Reception[[#This Row],[REAL]])</f>
        <v>200</v>
      </c>
    </row>
    <row r="8" spans="1:6" ht="21" customHeight="1" x14ac:dyDescent="0.3">
      <c r="B8" s="35" t="s">
        <v>29</v>
      </c>
      <c r="C8" s="56">
        <v>1000</v>
      </c>
      <c r="D8" s="57"/>
      <c r="E8" s="55" t="str">
        <f>IF(OR(TBL_Reception[[#This Row],[ESTIMADO]]="",TBL_Reception[[#This Row],[REAL]]=""),"",TBL_Reception[[#This Row],[ESTIMADO]]-TBL_Reception[[#This Row],[REAL]])</f>
        <v/>
      </c>
    </row>
    <row r="9" spans="1:6" ht="21" customHeight="1" x14ac:dyDescent="0.3">
      <c r="B9" s="36" t="s">
        <v>30</v>
      </c>
      <c r="C9" s="58">
        <v>500</v>
      </c>
      <c r="D9" s="59"/>
      <c r="E9" s="55" t="str">
        <f>IF(OR(TBL_Reception[[#This Row],[ESTIMADO]]="",TBL_Reception[[#This Row],[REAL]]=""),"",TBL_Reception[[#This Row],[ESTIMADO]]-TBL_Reception[[#This Row],[REAL]])</f>
        <v/>
      </c>
    </row>
    <row r="10" spans="1:6" ht="21" customHeight="1" x14ac:dyDescent="0.3">
      <c r="B10" s="37" t="s">
        <v>31</v>
      </c>
      <c r="C10" s="60">
        <f>SUBTOTAL(109,TBL_Reception[ESTIMADO])</f>
        <v>14500</v>
      </c>
      <c r="D10" s="60">
        <f>SUBTOTAL(109,TBL_Reception[REAL])</f>
        <v>12800</v>
      </c>
      <c r="E10" s="61">
        <f>TBL_Reception[[#Totals],[ESTIMADO]]-TBL_Reception[[#Totals],[REAL]]</f>
        <v>1700</v>
      </c>
      <c r="F10" s="29"/>
    </row>
    <row r="11" spans="1:6" ht="21" customHeight="1" x14ac:dyDescent="0.3">
      <c r="B11" s="28"/>
      <c r="C11" s="62"/>
      <c r="D11" s="63"/>
      <c r="E11" s="62"/>
    </row>
    <row r="12" spans="1:6" ht="21" customHeight="1" x14ac:dyDescent="0.3">
      <c r="B12" s="28"/>
      <c r="C12" s="62"/>
      <c r="D12" s="62"/>
      <c r="E12" s="62"/>
    </row>
    <row r="13" spans="1:6" ht="21" customHeight="1" x14ac:dyDescent="0.3">
      <c r="B13" s="39" t="s">
        <v>32</v>
      </c>
      <c r="C13" s="64" t="s">
        <v>87</v>
      </c>
      <c r="D13" s="64" t="s">
        <v>88</v>
      </c>
      <c r="E13" s="65" t="s">
        <v>4</v>
      </c>
    </row>
    <row r="14" spans="1:6" ht="21" customHeight="1" x14ac:dyDescent="0.3">
      <c r="B14" s="34" t="s">
        <v>33</v>
      </c>
      <c r="C14" s="56">
        <v>3000</v>
      </c>
      <c r="D14" s="56">
        <v>2900</v>
      </c>
      <c r="E14" s="56">
        <f>IF(OR(TBL_Attire[[#This Row],[ESTIMADOS]]="",TBL_Attire[[#This Row],[REAL]]=""),"",TBL_Attire[[#This Row],[ESTIMADOS]]-TBL_Attire[[#This Row],[REAL]])</f>
        <v>100</v>
      </c>
    </row>
    <row r="15" spans="1:6" ht="21" customHeight="1" x14ac:dyDescent="0.3">
      <c r="B15" s="35" t="s">
        <v>34</v>
      </c>
      <c r="C15" s="56">
        <v>100</v>
      </c>
      <c r="D15" s="56"/>
      <c r="E15" s="56" t="str">
        <f>IF(OR(TBL_Attire[[#This Row],[ESTIMADOS]]="",TBL_Attire[[#This Row],[REAL]]=""),"",TBL_Attire[[#This Row],[ESTIMADOS]]-TBL_Attire[[#This Row],[REAL]])</f>
        <v/>
      </c>
    </row>
    <row r="16" spans="1:6" ht="21" customHeight="1" x14ac:dyDescent="0.3">
      <c r="B16" s="35" t="s">
        <v>35</v>
      </c>
      <c r="C16" s="56">
        <v>200</v>
      </c>
      <c r="D16" s="56"/>
      <c r="E16" s="56" t="str">
        <f>IF(OR(TBL_Attire[[#This Row],[ESTIMADOS]]="",TBL_Attire[[#This Row],[REAL]]=""),"",TBL_Attire[[#This Row],[ESTIMADOS]]-TBL_Attire[[#This Row],[REAL]])</f>
        <v/>
      </c>
    </row>
    <row r="17" spans="2:5" ht="21" customHeight="1" x14ac:dyDescent="0.3">
      <c r="B17" s="35" t="s">
        <v>36</v>
      </c>
      <c r="C17" s="56">
        <v>100</v>
      </c>
      <c r="D17" s="56"/>
      <c r="E17" s="56" t="str">
        <f>IF(OR(TBL_Attire[[#This Row],[ESTIMADOS]]="",TBL_Attire[[#This Row],[REAL]]=""),"",TBL_Attire[[#This Row],[ESTIMADOS]]-TBL_Attire[[#This Row],[REAL]])</f>
        <v/>
      </c>
    </row>
    <row r="18" spans="2:5" ht="21" customHeight="1" x14ac:dyDescent="0.3">
      <c r="B18" s="35" t="s">
        <v>37</v>
      </c>
      <c r="C18" s="56">
        <v>500</v>
      </c>
      <c r="D18" s="56"/>
      <c r="E18" s="56" t="str">
        <f>IF(OR(TBL_Attire[[#This Row],[ESTIMADOS]]="",TBL_Attire[[#This Row],[REAL]]=""),"",TBL_Attire[[#This Row],[ESTIMADOS]]-TBL_Attire[[#This Row],[REAL]])</f>
        <v/>
      </c>
    </row>
    <row r="19" spans="2:5" ht="21" customHeight="1" x14ac:dyDescent="0.3">
      <c r="B19" s="44" t="s">
        <v>30</v>
      </c>
      <c r="C19" s="56">
        <v>100</v>
      </c>
      <c r="D19" s="56"/>
      <c r="E19" s="56" t="str">
        <f>IF(OR(TBL_Attire[[#This Row],[ESTIMADOS]]="",TBL_Attire[[#This Row],[REAL]]=""),"",TBL_Attire[[#This Row],[ESTIMADOS]]-TBL_Attire[[#This Row],[REAL]])</f>
        <v/>
      </c>
    </row>
    <row r="20" spans="2:5" ht="21" customHeight="1" x14ac:dyDescent="0.3">
      <c r="B20" s="46" t="s">
        <v>38</v>
      </c>
      <c r="C20" s="60">
        <f>SUBTOTAL(109,TBL_Attire[ESTIMADOS])</f>
        <v>4000</v>
      </c>
      <c r="D20" s="60">
        <f>SUBTOTAL(109,TBL_Attire[REAL])</f>
        <v>2900</v>
      </c>
      <c r="E20" s="61">
        <f>TBL_Attire[[#Totals],[ESTIMADOS]]-TBL_Attire[[#Totals],[REAL]]</f>
        <v>1100</v>
      </c>
    </row>
    <row r="21" spans="2:5" ht="21" customHeight="1" x14ac:dyDescent="0.3">
      <c r="B21" s="28"/>
      <c r="C21" s="62"/>
      <c r="D21" s="62"/>
      <c r="E21" s="62"/>
    </row>
    <row r="22" spans="2:5" ht="21" customHeight="1" x14ac:dyDescent="0.3">
      <c r="B22" s="28"/>
      <c r="C22" s="62"/>
      <c r="D22" s="62"/>
      <c r="E22" s="62"/>
    </row>
    <row r="23" spans="2:5" ht="21" customHeight="1" x14ac:dyDescent="0.3">
      <c r="B23" s="39" t="s">
        <v>39</v>
      </c>
      <c r="C23" s="64" t="s">
        <v>87</v>
      </c>
      <c r="D23" s="64" t="s">
        <v>88</v>
      </c>
      <c r="E23" s="65" t="s">
        <v>4</v>
      </c>
    </row>
    <row r="24" spans="2:5" ht="21" customHeight="1" x14ac:dyDescent="0.3">
      <c r="B24" s="34" t="s">
        <v>40</v>
      </c>
      <c r="C24" s="66">
        <v>1000</v>
      </c>
      <c r="D24" s="66"/>
      <c r="E24" s="66" t="str">
        <f>IF(OR(TBL_FlowersAndDecor[[#This Row],[ESTIMADOS]]="",TBL_FlowersAndDecor[[#This Row],[REAL]]=""),"",TBL_FlowersAndDecor[[#This Row],[ESTIMADOS]]-TBL_FlowersAndDecor[[#This Row],[REAL]])</f>
        <v/>
      </c>
    </row>
    <row r="25" spans="2:5" ht="21" customHeight="1" x14ac:dyDescent="0.3">
      <c r="B25" s="35" t="s">
        <v>41</v>
      </c>
      <c r="C25" s="66">
        <v>500</v>
      </c>
      <c r="D25" s="66"/>
      <c r="E25" s="66" t="str">
        <f>IF(OR(TBL_FlowersAndDecor[[#This Row],[ESTIMADOS]]="",TBL_FlowersAndDecor[[#This Row],[REAL]]=""),"",TBL_FlowersAndDecor[[#This Row],[ESTIMADOS]]-TBL_FlowersAndDecor[[#This Row],[REAL]])</f>
        <v/>
      </c>
    </row>
    <row r="26" spans="2:5" ht="21" customHeight="1" x14ac:dyDescent="0.3">
      <c r="B26" s="35" t="s">
        <v>42</v>
      </c>
      <c r="C26" s="66">
        <v>100</v>
      </c>
      <c r="D26" s="66"/>
      <c r="E26" s="66" t="str">
        <f>IF(OR(TBL_FlowersAndDecor[[#This Row],[ESTIMADOS]]="",TBL_FlowersAndDecor[[#This Row],[REAL]]=""),"",TBL_FlowersAndDecor[[#This Row],[ESTIMADOS]]-TBL_FlowersAndDecor[[#This Row],[REAL]])</f>
        <v/>
      </c>
    </row>
    <row r="27" spans="2:5" ht="21" customHeight="1" x14ac:dyDescent="0.3">
      <c r="B27" s="35" t="s">
        <v>43</v>
      </c>
      <c r="C27" s="66">
        <v>500</v>
      </c>
      <c r="D27" s="66"/>
      <c r="E27" s="66" t="str">
        <f>IF(OR(TBL_FlowersAndDecor[[#This Row],[ESTIMADOS]]="",TBL_FlowersAndDecor[[#This Row],[REAL]]=""),"",TBL_FlowersAndDecor[[#This Row],[ESTIMADOS]]-TBL_FlowersAndDecor[[#This Row],[REAL]])</f>
        <v/>
      </c>
    </row>
    <row r="28" spans="2:5" ht="21" customHeight="1" x14ac:dyDescent="0.3">
      <c r="B28" s="35" t="s">
        <v>44</v>
      </c>
      <c r="C28" s="66">
        <v>100</v>
      </c>
      <c r="D28" s="66"/>
      <c r="E28" s="66" t="str">
        <f>IF(OR(TBL_FlowersAndDecor[[#This Row],[ESTIMADOS]]="",TBL_FlowersAndDecor[[#This Row],[REAL]]=""),"",TBL_FlowersAndDecor[[#This Row],[ESTIMADOS]]-TBL_FlowersAndDecor[[#This Row],[REAL]])</f>
        <v/>
      </c>
    </row>
    <row r="29" spans="2:5" ht="21" customHeight="1" x14ac:dyDescent="0.3">
      <c r="B29" s="35" t="s">
        <v>45</v>
      </c>
      <c r="C29" s="66">
        <v>200</v>
      </c>
      <c r="D29" s="66"/>
      <c r="E29" s="66" t="str">
        <f>IF(OR(TBL_FlowersAndDecor[[#This Row],[ESTIMADOS]]="",TBL_FlowersAndDecor[[#This Row],[REAL]]=""),"",TBL_FlowersAndDecor[[#This Row],[ESTIMADOS]]-TBL_FlowersAndDecor[[#This Row],[REAL]])</f>
        <v/>
      </c>
    </row>
    <row r="30" spans="2:5" ht="21" customHeight="1" x14ac:dyDescent="0.3">
      <c r="B30" s="35" t="s">
        <v>46</v>
      </c>
      <c r="C30" s="66">
        <v>300</v>
      </c>
      <c r="D30" s="66"/>
      <c r="E30" s="66" t="str">
        <f>IF(OR(TBL_FlowersAndDecor[[#This Row],[ESTIMADOS]]="",TBL_FlowersAndDecor[[#This Row],[REAL]]=""),"",TBL_FlowersAndDecor[[#This Row],[ESTIMADOS]]-TBL_FlowersAndDecor[[#This Row],[REAL]])</f>
        <v/>
      </c>
    </row>
    <row r="31" spans="2:5" ht="21" customHeight="1" x14ac:dyDescent="0.3">
      <c r="B31" s="35" t="s">
        <v>47</v>
      </c>
      <c r="C31" s="66">
        <v>200</v>
      </c>
      <c r="D31" s="66"/>
      <c r="E31" s="66" t="str">
        <f>IF(OR(TBL_FlowersAndDecor[[#This Row],[ESTIMADOS]]="",TBL_FlowersAndDecor[[#This Row],[REAL]]=""),"",TBL_FlowersAndDecor[[#This Row],[ESTIMADOS]]-TBL_FlowersAndDecor[[#This Row],[REAL]])</f>
        <v/>
      </c>
    </row>
    <row r="32" spans="2:5" ht="21" customHeight="1" x14ac:dyDescent="0.3">
      <c r="B32" s="36" t="s">
        <v>30</v>
      </c>
      <c r="C32" s="66">
        <v>100</v>
      </c>
      <c r="D32" s="66"/>
      <c r="E32" s="66" t="str">
        <f>IF(OR(TBL_FlowersAndDecor[[#This Row],[ESTIMADOS]]="",TBL_FlowersAndDecor[[#This Row],[REAL]]=""),"",TBL_FlowersAndDecor[[#This Row],[ESTIMADOS]]-TBL_FlowersAndDecor[[#This Row],[REAL]])</f>
        <v/>
      </c>
    </row>
    <row r="33" spans="2:5" ht="21" customHeight="1" x14ac:dyDescent="0.3">
      <c r="B33" s="46" t="s">
        <v>48</v>
      </c>
      <c r="C33" s="60">
        <f>SUBTOTAL(109,TBL_FlowersAndDecor[ESTIMADOS])</f>
        <v>3000</v>
      </c>
      <c r="D33" s="60">
        <f>SUBTOTAL(109,TBL_FlowersAndDecor[REAL])</f>
        <v>0</v>
      </c>
      <c r="E33" s="61">
        <f>TBL_FlowersAndDecor[[#Totals],[ESTIMADOS]]-TBL_FlowersAndDecor[[#Totals],[REAL]]</f>
        <v>3000</v>
      </c>
    </row>
    <row r="34" spans="2:5" ht="21" customHeight="1" x14ac:dyDescent="0.3">
      <c r="B34" s="28"/>
      <c r="C34" s="62"/>
      <c r="D34" s="62"/>
      <c r="E34" s="62"/>
    </row>
    <row r="35" spans="2:5" ht="21" customHeight="1" x14ac:dyDescent="0.3">
      <c r="B35" s="28"/>
      <c r="C35" s="62"/>
      <c r="D35" s="62"/>
      <c r="E35" s="62"/>
    </row>
    <row r="36" spans="2:5" ht="21" customHeight="1" x14ac:dyDescent="0.3">
      <c r="B36" s="39" t="s">
        <v>49</v>
      </c>
      <c r="C36" s="64" t="s">
        <v>87</v>
      </c>
      <c r="D36" s="64" t="s">
        <v>88</v>
      </c>
      <c r="E36" s="65" t="s">
        <v>4</v>
      </c>
    </row>
    <row r="37" spans="2:5" ht="21" customHeight="1" x14ac:dyDescent="0.3">
      <c r="B37" s="34" t="s">
        <v>50</v>
      </c>
      <c r="C37" s="66">
        <v>700</v>
      </c>
      <c r="D37" s="66"/>
      <c r="E37" s="66" t="str">
        <f>IF(OR(TBL_Music[[#This Row],[ESTIMADOS]]="",TBL_Music[[#This Row],[REAL]]=""),"",TBL_Music[[#This Row],[ESTIMADOS]]-TBL_Music[[#This Row],[REAL]])</f>
        <v/>
      </c>
    </row>
    <row r="38" spans="2:5" ht="21" customHeight="1" x14ac:dyDescent="0.3">
      <c r="B38" s="35" t="s">
        <v>51</v>
      </c>
      <c r="C38" s="66">
        <v>300</v>
      </c>
      <c r="D38" s="66"/>
      <c r="E38" s="66" t="str">
        <f>IF(OR(TBL_Music[[#This Row],[ESTIMADOS]]="",TBL_Music[[#This Row],[REAL]]=""),"",TBL_Music[[#This Row],[ESTIMADOS]]-TBL_Music[[#This Row],[REAL]])</f>
        <v/>
      </c>
    </row>
    <row r="39" spans="2:5" ht="21" customHeight="1" x14ac:dyDescent="0.3">
      <c r="B39" s="35" t="s">
        <v>52</v>
      </c>
      <c r="C39" s="66">
        <v>200</v>
      </c>
      <c r="D39" s="66"/>
      <c r="E39" s="66" t="str">
        <f>IF(OR(TBL_Music[[#This Row],[ESTIMADOS]]="",TBL_Music[[#This Row],[REAL]]=""),"",TBL_Music[[#This Row],[ESTIMADOS]]-TBL_Music[[#This Row],[REAL]])</f>
        <v/>
      </c>
    </row>
    <row r="40" spans="2:5" ht="21" customHeight="1" x14ac:dyDescent="0.3">
      <c r="B40" s="35" t="s">
        <v>53</v>
      </c>
      <c r="C40" s="66">
        <v>400</v>
      </c>
      <c r="D40" s="66"/>
      <c r="E40" s="66" t="str">
        <f>IF(OR(TBL_Music[[#This Row],[ESTIMADOS]]="",TBL_Music[[#This Row],[REAL]]=""),"",TBL_Music[[#This Row],[ESTIMADOS]]-TBL_Music[[#This Row],[REAL]])</f>
        <v/>
      </c>
    </row>
    <row r="41" spans="2:5" ht="21" customHeight="1" x14ac:dyDescent="0.3">
      <c r="B41" s="36" t="s">
        <v>30</v>
      </c>
      <c r="C41" s="66">
        <v>200</v>
      </c>
      <c r="D41" s="66"/>
      <c r="E41" s="66" t="str">
        <f>IF(OR(TBL_Music[[#This Row],[ESTIMADOS]]="",TBL_Music[[#This Row],[REAL]]=""),"",TBL_Music[[#This Row],[ESTIMADOS]]-TBL_Music[[#This Row],[REAL]])</f>
        <v/>
      </c>
    </row>
    <row r="42" spans="2:5" ht="21" customHeight="1" x14ac:dyDescent="0.3">
      <c r="B42" s="46" t="s">
        <v>54</v>
      </c>
      <c r="C42" s="60">
        <f>SUBTOTAL(109,TBL_Music[ESTIMADOS])</f>
        <v>1800</v>
      </c>
      <c r="D42" s="60">
        <f>SUBTOTAL(109,TBL_Music[REAL])</f>
        <v>0</v>
      </c>
      <c r="E42" s="60">
        <f>TBL_Music[[#Totals],[ESTIMADOS]]-TBL_Music[[#Totals],[REAL]]</f>
        <v>1800</v>
      </c>
    </row>
    <row r="43" spans="2:5" ht="21" customHeight="1" x14ac:dyDescent="0.3">
      <c r="B43" s="28"/>
      <c r="C43" s="62"/>
      <c r="D43" s="62"/>
      <c r="E43" s="62"/>
    </row>
    <row r="44" spans="2:5" ht="21" customHeight="1" x14ac:dyDescent="0.3">
      <c r="B44" s="28"/>
      <c r="C44" s="62"/>
      <c r="D44" s="62"/>
      <c r="E44" s="62"/>
    </row>
    <row r="45" spans="2:5" ht="21" customHeight="1" x14ac:dyDescent="0.3">
      <c r="B45" s="39" t="s">
        <v>55</v>
      </c>
      <c r="C45" s="64" t="s">
        <v>87</v>
      </c>
      <c r="D45" s="64" t="s">
        <v>88</v>
      </c>
      <c r="E45" s="65" t="s">
        <v>4</v>
      </c>
    </row>
    <row r="46" spans="2:5" ht="21" customHeight="1" x14ac:dyDescent="0.3">
      <c r="B46" s="34" t="s">
        <v>56</v>
      </c>
      <c r="C46" s="66">
        <v>1000</v>
      </c>
      <c r="D46" s="66"/>
      <c r="E46" s="66" t="str">
        <f>IF(OR(TBL_PhotographsAndVideo[[#This Row],[ESTIMADOS]]="",TBL_PhotographsAndVideo[[#This Row],[REAL]]=""),"",TBL_PhotographsAndVideo[[#This Row],[ESTIMADOS]]-TBL_PhotographsAndVideo[[#This Row],[REAL]])</f>
        <v/>
      </c>
    </row>
    <row r="47" spans="2:5" ht="21" customHeight="1" x14ac:dyDescent="0.3">
      <c r="B47" s="35" t="s">
        <v>57</v>
      </c>
      <c r="C47" s="66">
        <v>800</v>
      </c>
      <c r="D47" s="66"/>
      <c r="E47" s="66" t="str">
        <f>IF(OR(TBL_PhotographsAndVideo[[#This Row],[ESTIMADOS]]="",TBL_PhotographsAndVideo[[#This Row],[REAL]]=""),"",TBL_PhotographsAndVideo[[#This Row],[ESTIMADOS]]-TBL_PhotographsAndVideo[[#This Row],[REAL]])</f>
        <v/>
      </c>
    </row>
    <row r="48" spans="2:5" ht="21" customHeight="1" x14ac:dyDescent="0.3">
      <c r="B48" s="35" t="s">
        <v>58</v>
      </c>
      <c r="C48" s="66">
        <v>500</v>
      </c>
      <c r="D48" s="66"/>
      <c r="E48" s="66" t="str">
        <f>IF(OR(TBL_PhotographsAndVideo[[#This Row],[ESTIMADOS]]="",TBL_PhotographsAndVideo[[#This Row],[REAL]]=""),"",TBL_PhotographsAndVideo[[#This Row],[ESTIMADOS]]-TBL_PhotographsAndVideo[[#This Row],[REAL]])</f>
        <v/>
      </c>
    </row>
    <row r="49" spans="2:5" ht="21" customHeight="1" x14ac:dyDescent="0.3">
      <c r="B49" s="36" t="s">
        <v>30</v>
      </c>
      <c r="C49" s="66">
        <v>200</v>
      </c>
      <c r="D49" s="66"/>
      <c r="E49" s="66" t="str">
        <f>IF(OR(TBL_PhotographsAndVideo[[#This Row],[ESTIMADOS]]="",TBL_PhotographsAndVideo[[#This Row],[REAL]]=""),"",TBL_PhotographsAndVideo[[#This Row],[ESTIMADOS]]-TBL_PhotographsAndVideo[[#This Row],[REAL]])</f>
        <v/>
      </c>
    </row>
    <row r="50" spans="2:5" ht="21" customHeight="1" x14ac:dyDescent="0.3">
      <c r="B50" s="46" t="s">
        <v>59</v>
      </c>
      <c r="C50" s="60">
        <f>SUBTOTAL(109,TBL_PhotographsAndVideo[ESTIMADOS])</f>
        <v>2500</v>
      </c>
      <c r="D50" s="60">
        <f>SUBTOTAL(109,TBL_PhotographsAndVideo[REAL])</f>
        <v>0</v>
      </c>
      <c r="E50" s="60">
        <f>TBL_PhotographsAndVideo[[#Totals],[ESTIMADOS]]-TBL_PhotographsAndVideo[[#Totals],[REAL]]</f>
        <v>2500</v>
      </c>
    </row>
    <row r="51" spans="2:5" ht="21" customHeight="1" x14ac:dyDescent="0.3">
      <c r="B51" s="28"/>
      <c r="C51" s="62"/>
      <c r="D51" s="62"/>
      <c r="E51" s="62"/>
    </row>
    <row r="52" spans="2:5" ht="21" customHeight="1" x14ac:dyDescent="0.3">
      <c r="B52" s="28"/>
      <c r="C52" s="62"/>
      <c r="D52" s="62"/>
      <c r="E52" s="62"/>
    </row>
    <row r="53" spans="2:5" ht="21" customHeight="1" x14ac:dyDescent="0.3">
      <c r="B53" s="39" t="s">
        <v>60</v>
      </c>
      <c r="C53" s="64" t="s">
        <v>87</v>
      </c>
      <c r="D53" s="64" t="s">
        <v>88</v>
      </c>
      <c r="E53" s="65" t="s">
        <v>4</v>
      </c>
    </row>
    <row r="54" spans="2:5" ht="21" customHeight="1" x14ac:dyDescent="0.3">
      <c r="B54" s="34" t="s">
        <v>61</v>
      </c>
      <c r="C54" s="66">
        <v>700</v>
      </c>
      <c r="D54" s="66"/>
      <c r="E54" s="66" t="str">
        <f>IF(OR(TBL_FavorsAndGifts[[#This Row],[ESTIMADOS]]="",TBL_FavorsAndGifts[[#This Row],[REAL]]=""),"",TBL_FavorsAndGifts[[#This Row],[ESTIMADOS]]-TBL_FavorsAndGifts[[#This Row],[REAL]])</f>
        <v/>
      </c>
    </row>
    <row r="55" spans="2:5" ht="21" customHeight="1" x14ac:dyDescent="0.3">
      <c r="B55" s="35" t="s">
        <v>62</v>
      </c>
      <c r="C55" s="66">
        <v>200</v>
      </c>
      <c r="D55" s="66"/>
      <c r="E55" s="66" t="str">
        <f>IF(OR(TBL_FavorsAndGifts[[#This Row],[ESTIMADOS]]="",TBL_FavorsAndGifts[[#This Row],[REAL]]=""),"",TBL_FavorsAndGifts[[#This Row],[ESTIMADOS]]-TBL_FavorsAndGifts[[#This Row],[REAL]])</f>
        <v/>
      </c>
    </row>
    <row r="56" spans="2:5" ht="21" customHeight="1" x14ac:dyDescent="0.3">
      <c r="B56" s="36" t="s">
        <v>30</v>
      </c>
      <c r="C56" s="66">
        <v>200</v>
      </c>
      <c r="D56" s="66"/>
      <c r="E56" s="66" t="str">
        <f>IF(OR(TBL_FavorsAndGifts[[#This Row],[ESTIMADOS]]="",TBL_FavorsAndGifts[[#This Row],[REAL]]=""),"",TBL_FavorsAndGifts[[#This Row],[ESTIMADOS]]-TBL_FavorsAndGifts[[#This Row],[REAL]])</f>
        <v/>
      </c>
    </row>
    <row r="57" spans="2:5" ht="21" customHeight="1" x14ac:dyDescent="0.3">
      <c r="B57" s="38" t="s">
        <v>63</v>
      </c>
      <c r="C57" s="60">
        <f>SUBTOTAL(109,TBL_FavorsAndGifts[ESTIMADOS])</f>
        <v>1100</v>
      </c>
      <c r="D57" s="60">
        <f>SUBTOTAL(109,TBL_FavorsAndGifts[REAL])</f>
        <v>0</v>
      </c>
      <c r="E57" s="60">
        <f>TBL_FavorsAndGifts[[#Totals],[ESTIMADOS]]-TBL_FavorsAndGifts[[#Totals],[REAL]]</f>
        <v>1100</v>
      </c>
    </row>
    <row r="58" spans="2:5" ht="21" customHeight="1" x14ac:dyDescent="0.3">
      <c r="B58" s="28"/>
      <c r="C58" s="62"/>
      <c r="D58" s="62"/>
      <c r="E58" s="62"/>
    </row>
    <row r="59" spans="2:5" ht="21" customHeight="1" x14ac:dyDescent="0.3">
      <c r="B59" s="28"/>
      <c r="C59" s="62"/>
      <c r="D59" s="62"/>
      <c r="E59" s="62"/>
    </row>
    <row r="60" spans="2:5" ht="21" customHeight="1" x14ac:dyDescent="0.3">
      <c r="B60" s="39" t="s">
        <v>64</v>
      </c>
      <c r="C60" s="64" t="s">
        <v>87</v>
      </c>
      <c r="D60" s="64" t="s">
        <v>88</v>
      </c>
      <c r="E60" s="65" t="s">
        <v>4</v>
      </c>
    </row>
    <row r="61" spans="2:5" ht="21" customHeight="1" x14ac:dyDescent="0.3">
      <c r="B61" s="34" t="s">
        <v>65</v>
      </c>
      <c r="C61" s="66">
        <v>500</v>
      </c>
      <c r="D61" s="66"/>
      <c r="E61" s="66" t="str">
        <f>IF(OR(TBL_Ceremony[[#This Row],[ESTIMADOS]]="",TBL_Ceremony[[#This Row],[REAL]]=""),"",TBL_Ceremony[[#This Row],[ESTIMADOS]]-TBL_Ceremony[[#This Row],[REAL]])</f>
        <v/>
      </c>
    </row>
    <row r="62" spans="2:5" ht="21" customHeight="1" x14ac:dyDescent="0.3">
      <c r="B62" s="35" t="s">
        <v>66</v>
      </c>
      <c r="C62" s="66">
        <v>200</v>
      </c>
      <c r="D62" s="66"/>
      <c r="E62" s="66" t="str">
        <f>IF(OR(TBL_Ceremony[[#This Row],[ESTIMADOS]]="",TBL_Ceremony[[#This Row],[REAL]]=""),"",TBL_Ceremony[[#This Row],[ESTIMADOS]]-TBL_Ceremony[[#This Row],[REAL]])</f>
        <v/>
      </c>
    </row>
    <row r="63" spans="2:5" ht="21" customHeight="1" x14ac:dyDescent="0.3">
      <c r="B63" s="36" t="s">
        <v>30</v>
      </c>
      <c r="C63" s="66">
        <v>100</v>
      </c>
      <c r="D63" s="66"/>
      <c r="E63" s="66" t="str">
        <f>IF(OR(TBL_Ceremony[[#This Row],[ESTIMADOS]]="",TBL_Ceremony[[#This Row],[REAL]]=""),"",TBL_Ceremony[[#This Row],[ESTIMADOS]]-TBL_Ceremony[[#This Row],[REAL]])</f>
        <v/>
      </c>
    </row>
    <row r="64" spans="2:5" ht="21" customHeight="1" x14ac:dyDescent="0.3">
      <c r="B64" s="46" t="s">
        <v>67</v>
      </c>
      <c r="C64" s="60">
        <f>SUBTOTAL(109,TBL_Ceremony[ESTIMADOS])</f>
        <v>800</v>
      </c>
      <c r="D64" s="60">
        <f>SUBTOTAL(109,TBL_Ceremony[REAL])</f>
        <v>0</v>
      </c>
      <c r="E64" s="60">
        <f>TBL_Ceremony[[#Totals],[ESTIMADOS]]-TBL_Ceremony[[#Totals],[REAL]]</f>
        <v>800</v>
      </c>
    </row>
    <row r="65" spans="2:5" ht="21" customHeight="1" x14ac:dyDescent="0.3">
      <c r="B65" s="28"/>
      <c r="C65" s="62"/>
      <c r="D65" s="62"/>
      <c r="E65" s="62"/>
    </row>
    <row r="66" spans="2:5" ht="21" customHeight="1" x14ac:dyDescent="0.3">
      <c r="B66" s="28"/>
      <c r="C66" s="62"/>
      <c r="D66" s="62"/>
      <c r="E66" s="62"/>
    </row>
    <row r="67" spans="2:5" ht="21" customHeight="1" x14ac:dyDescent="0.3">
      <c r="B67" s="39" t="s">
        <v>68</v>
      </c>
      <c r="C67" s="64" t="s">
        <v>87</v>
      </c>
      <c r="D67" s="64" t="s">
        <v>88</v>
      </c>
      <c r="E67" s="65" t="s">
        <v>4</v>
      </c>
    </row>
    <row r="68" spans="2:5" ht="21" customHeight="1" x14ac:dyDescent="0.3">
      <c r="B68" s="34" t="s">
        <v>69</v>
      </c>
      <c r="C68" s="66">
        <v>50</v>
      </c>
      <c r="D68" s="66"/>
      <c r="E68" s="66" t="str">
        <f>IF(OR(TBL_Stationery[[#This Row],[ESTIMADOS]]="",TBL_Stationery[[#This Row],[REAL]]=""),"",TBL_Stationery[[#This Row],[ESTIMADOS]]-TBL_Stationery[[#This Row],[REAL]])</f>
        <v/>
      </c>
    </row>
    <row r="69" spans="2:5" ht="21" customHeight="1" x14ac:dyDescent="0.3">
      <c r="B69" s="35" t="s">
        <v>70</v>
      </c>
      <c r="C69" s="66">
        <v>100</v>
      </c>
      <c r="D69" s="66"/>
      <c r="E69" s="66" t="str">
        <f>IF(OR(TBL_Stationery[[#This Row],[ESTIMADOS]]="",TBL_Stationery[[#This Row],[REAL]]=""),"",TBL_Stationery[[#This Row],[ESTIMADOS]]-TBL_Stationery[[#This Row],[REAL]])</f>
        <v/>
      </c>
    </row>
    <row r="70" spans="2:5" ht="21" customHeight="1" x14ac:dyDescent="0.3">
      <c r="B70" s="35" t="s">
        <v>71</v>
      </c>
      <c r="C70" s="66">
        <v>50</v>
      </c>
      <c r="D70" s="66"/>
      <c r="E70" s="66" t="str">
        <f>IF(OR(TBL_Stationery[[#This Row],[ESTIMADOS]]="",TBL_Stationery[[#This Row],[REAL]]=""),"",TBL_Stationery[[#This Row],[ESTIMADOS]]-TBL_Stationery[[#This Row],[REAL]])</f>
        <v/>
      </c>
    </row>
    <row r="71" spans="2:5" ht="21" customHeight="1" x14ac:dyDescent="0.3">
      <c r="B71" s="35" t="s">
        <v>72</v>
      </c>
      <c r="C71" s="66">
        <v>50</v>
      </c>
      <c r="D71" s="66"/>
      <c r="E71" s="66" t="str">
        <f>IF(OR(TBL_Stationery[[#This Row],[ESTIMADOS]]="",TBL_Stationery[[#This Row],[REAL]]=""),"",TBL_Stationery[[#This Row],[ESTIMADOS]]-TBL_Stationery[[#This Row],[REAL]])</f>
        <v/>
      </c>
    </row>
    <row r="72" spans="2:5" ht="21" customHeight="1" x14ac:dyDescent="0.3">
      <c r="B72" s="35" t="s">
        <v>73</v>
      </c>
      <c r="C72" s="66">
        <v>50</v>
      </c>
      <c r="D72" s="66"/>
      <c r="E72" s="66" t="str">
        <f>IF(OR(TBL_Stationery[[#This Row],[ESTIMADOS]]="",TBL_Stationery[[#This Row],[REAL]]=""),"",TBL_Stationery[[#This Row],[ESTIMADOS]]-TBL_Stationery[[#This Row],[REAL]])</f>
        <v/>
      </c>
    </row>
    <row r="73" spans="2:5" ht="21" customHeight="1" x14ac:dyDescent="0.3">
      <c r="B73" s="35" t="s">
        <v>74</v>
      </c>
      <c r="C73" s="66">
        <v>50</v>
      </c>
      <c r="D73" s="66"/>
      <c r="E73" s="66" t="str">
        <f>IF(OR(TBL_Stationery[[#This Row],[ESTIMADOS]]="",TBL_Stationery[[#This Row],[REAL]]=""),"",TBL_Stationery[[#This Row],[ESTIMADOS]]-TBL_Stationery[[#This Row],[REAL]])</f>
        <v/>
      </c>
    </row>
    <row r="74" spans="2:5" ht="21" customHeight="1" x14ac:dyDescent="0.3">
      <c r="B74" s="35" t="s">
        <v>75</v>
      </c>
      <c r="C74" s="66">
        <v>50</v>
      </c>
      <c r="D74" s="66"/>
      <c r="E74" s="66" t="str">
        <f>IF(OR(TBL_Stationery[[#This Row],[ESTIMADOS]]="",TBL_Stationery[[#This Row],[REAL]]=""),"",TBL_Stationery[[#This Row],[ESTIMADOS]]-TBL_Stationery[[#This Row],[REAL]])</f>
        <v/>
      </c>
    </row>
    <row r="75" spans="2:5" ht="21" customHeight="1" x14ac:dyDescent="0.3">
      <c r="B75" s="36" t="s">
        <v>30</v>
      </c>
      <c r="C75" s="66">
        <v>100</v>
      </c>
      <c r="D75" s="66"/>
      <c r="E75" s="66" t="str">
        <f>IF(OR(TBL_Stationery[[#This Row],[ESTIMADOS]]="",TBL_Stationery[[#This Row],[REAL]]=""),"",TBL_Stationery[[#This Row],[ESTIMADOS]]-TBL_Stationery[[#This Row],[REAL]])</f>
        <v/>
      </c>
    </row>
    <row r="76" spans="2:5" ht="21" customHeight="1" x14ac:dyDescent="0.3">
      <c r="B76" s="46" t="s">
        <v>76</v>
      </c>
      <c r="C76" s="60">
        <f>SUBTOTAL(109,TBL_Stationery[ESTIMADOS])</f>
        <v>500</v>
      </c>
      <c r="D76" s="60">
        <f>SUBTOTAL(109,TBL_Stationery[REAL])</f>
        <v>0</v>
      </c>
      <c r="E76" s="60">
        <f>TBL_Stationery[[#Totals],[ESTIMADOS]]-TBL_Stationery[[#Totals],[REAL]]</f>
        <v>500</v>
      </c>
    </row>
    <row r="77" spans="2:5" ht="21" customHeight="1" x14ac:dyDescent="0.3">
      <c r="B77" s="28"/>
      <c r="C77" s="62"/>
      <c r="D77" s="62"/>
      <c r="E77" s="62"/>
    </row>
    <row r="78" spans="2:5" ht="21" customHeight="1" x14ac:dyDescent="0.3">
      <c r="B78" s="28"/>
      <c r="C78" s="62"/>
      <c r="D78" s="62"/>
      <c r="E78" s="62"/>
    </row>
    <row r="79" spans="2:5" ht="21" customHeight="1" x14ac:dyDescent="0.3">
      <c r="B79" s="45" t="s">
        <v>77</v>
      </c>
      <c r="C79" s="64" t="s">
        <v>87</v>
      </c>
      <c r="D79" s="64" t="s">
        <v>88</v>
      </c>
      <c r="E79" s="65" t="s">
        <v>4</v>
      </c>
    </row>
    <row r="80" spans="2:5" ht="21" customHeight="1" x14ac:dyDescent="0.3">
      <c r="B80" s="32" t="s">
        <v>16</v>
      </c>
      <c r="C80" s="67">
        <v>1000</v>
      </c>
      <c r="D80" s="67"/>
      <c r="E80" s="67" t="str">
        <f>IF(OR(TBL_WeddingRings[[#This Row],[ESTIMADOS]]="",TBL_WeddingRings[[#This Row],[REAL]]=""),"",TBL_WeddingRings[[#This Row],[ESTIMADOS]]-TBL_WeddingRings[[#This Row],[REAL]])</f>
        <v/>
      </c>
    </row>
    <row r="81" spans="2:5" ht="21" customHeight="1" x14ac:dyDescent="0.3">
      <c r="B81" s="33" t="s">
        <v>78</v>
      </c>
      <c r="C81" s="67">
        <v>100</v>
      </c>
      <c r="D81" s="67"/>
      <c r="E81" s="67" t="str">
        <f>IF(OR(TBL_WeddingRings[[#This Row],[ESTIMADOS]]="",TBL_WeddingRings[[#This Row],[REAL]]=""),"",TBL_WeddingRings[[#This Row],[ESTIMADOS]]-TBL_WeddingRings[[#This Row],[REAL]])</f>
        <v/>
      </c>
    </row>
    <row r="82" spans="2:5" ht="21" customHeight="1" x14ac:dyDescent="0.3">
      <c r="B82" s="46" t="s">
        <v>79</v>
      </c>
      <c r="C82" s="60">
        <f>SUBTOTAL(109,TBL_WeddingRings[ESTIMADOS])</f>
        <v>1100</v>
      </c>
      <c r="D82" s="60">
        <f>SUBTOTAL(109,TBL_WeddingRings[REAL])</f>
        <v>0</v>
      </c>
      <c r="E82" s="60">
        <f>TBL_WeddingRings[[#Totals],[ESTIMADOS]]-TBL_WeddingRings[[#Totals],[REAL]]</f>
        <v>1100</v>
      </c>
    </row>
    <row r="83" spans="2:5" ht="21" customHeight="1" x14ac:dyDescent="0.3">
      <c r="B83" s="28"/>
      <c r="C83" s="62"/>
      <c r="D83" s="62"/>
      <c r="E83" s="62"/>
    </row>
    <row r="84" spans="2:5" ht="21" customHeight="1" x14ac:dyDescent="0.3">
      <c r="B84" s="28"/>
      <c r="C84" s="62"/>
      <c r="D84" s="62"/>
      <c r="E84" s="62"/>
    </row>
    <row r="85" spans="2:5" ht="21" customHeight="1" x14ac:dyDescent="0.3">
      <c r="B85" s="45" t="s">
        <v>80</v>
      </c>
      <c r="C85" s="64" t="s">
        <v>87</v>
      </c>
      <c r="D85" s="64" t="s">
        <v>88</v>
      </c>
      <c r="E85" s="65" t="s">
        <v>4</v>
      </c>
    </row>
    <row r="86" spans="2:5" ht="21" customHeight="1" x14ac:dyDescent="0.3">
      <c r="B86" s="34" t="s">
        <v>81</v>
      </c>
      <c r="C86" s="66">
        <v>100</v>
      </c>
      <c r="D86" s="66"/>
      <c r="E86" s="66" t="str">
        <f>IF(OR(TBL_Transportation[[#This Row],[ESTIMADOS]]="",TBL_Transportation[[#This Row],[REAL]]=""),"",TBL_Transportation[[#This Row],[ESTIMADOS]]-TBL_Transportation[[#This Row],[REAL]])</f>
        <v/>
      </c>
    </row>
    <row r="87" spans="2:5" ht="21" customHeight="1" x14ac:dyDescent="0.3">
      <c r="B87" s="35" t="s">
        <v>82</v>
      </c>
      <c r="C87" s="66">
        <v>100</v>
      </c>
      <c r="D87" s="66"/>
      <c r="E87" s="66" t="str">
        <f>IF(OR(TBL_Transportation[[#This Row],[ESTIMADOS]]="",TBL_Transportation[[#This Row],[REAL]]=""),"",TBL_Transportation[[#This Row],[ESTIMADOS]]-TBL_Transportation[[#This Row],[REAL]])</f>
        <v/>
      </c>
    </row>
    <row r="88" spans="2:5" ht="21" customHeight="1" x14ac:dyDescent="0.3">
      <c r="B88" s="35" t="s">
        <v>83</v>
      </c>
      <c r="C88" s="66">
        <v>100</v>
      </c>
      <c r="D88" s="66"/>
      <c r="E88" s="66" t="str">
        <f>IF(OR(TBL_Transportation[[#This Row],[ESTIMADOS]]="",TBL_Transportation[[#This Row],[REAL]]=""),"",TBL_Transportation[[#This Row],[ESTIMADOS]]-TBL_Transportation[[#This Row],[REAL]])</f>
        <v/>
      </c>
    </row>
    <row r="89" spans="2:5" ht="21" customHeight="1" x14ac:dyDescent="0.3">
      <c r="B89" s="35" t="s">
        <v>84</v>
      </c>
      <c r="C89" s="66">
        <v>50</v>
      </c>
      <c r="D89" s="66"/>
      <c r="E89" s="66" t="str">
        <f>IF(OR(TBL_Transportation[[#This Row],[ESTIMADOS]]="",TBL_Transportation[[#This Row],[REAL]]=""),"",TBL_Transportation[[#This Row],[ESTIMADOS]]-TBL_Transportation[[#This Row],[REAL]])</f>
        <v/>
      </c>
    </row>
    <row r="90" spans="2:5" ht="21" customHeight="1" x14ac:dyDescent="0.3">
      <c r="B90" s="36" t="s">
        <v>30</v>
      </c>
      <c r="C90" s="66">
        <v>100</v>
      </c>
      <c r="D90" s="66"/>
      <c r="E90" s="66" t="str">
        <f>IF(OR(TBL_Transportation[[#This Row],[ESTIMADOS]]="",TBL_Transportation[[#This Row],[REAL]]=""),"",TBL_Transportation[[#This Row],[ESTIMADOS]]-TBL_Transportation[[#This Row],[REAL]])</f>
        <v/>
      </c>
    </row>
    <row r="91" spans="2:5" ht="21" customHeight="1" x14ac:dyDescent="0.3">
      <c r="B91" s="46" t="s">
        <v>85</v>
      </c>
      <c r="C91" s="60">
        <f>SUBTOTAL(109,TBL_Transportation[ESTIMADOS])</f>
        <v>450</v>
      </c>
      <c r="D91" s="60">
        <f>SUBTOTAL(109,TBL_Transportation[REAL])</f>
        <v>0</v>
      </c>
      <c r="E91" s="60">
        <f>TBL_Transportation[[#Totals],[ESTIMADOS]]-TBL_Transportation[[#Totals],[REAL]]</f>
        <v>450</v>
      </c>
    </row>
    <row r="92" spans="2:5" ht="21" customHeight="1" x14ac:dyDescent="0.3">
      <c r="B92" s="10"/>
    </row>
    <row r="93" spans="2:5" ht="21" customHeight="1" x14ac:dyDescent="0.3">
      <c r="B93" s="10"/>
    </row>
    <row r="94" spans="2:5" ht="21" customHeight="1" x14ac:dyDescent="0.3">
      <c r="B94" s="10"/>
    </row>
  </sheetData>
  <dataValidations count="1">
    <dataValidation allowBlank="1" showInputMessage="1" showErrorMessage="1" prompt="Agrega o edita los elementos de gasto específicos de cada categoría._x000a__x000a_Escribe los costos estimados y reales. Las columnas Varianza y las filas Total se calculan automáticamente." sqref="A1" xr:uid="{00000000-0002-0000-0100-000000000000}"/>
  </dataValidations>
  <printOptions horizontalCentered="1"/>
  <pageMargins left="0.25" right="0.25" top="0.75" bottom="0.75" header="0.3" footer="0.3"/>
  <pageSetup paperSize="9" orientation="portrait" r:id="rId1"/>
  <rowBreaks count="2" manualBreakCount="2">
    <brk id="35" max="16383" man="1"/>
    <brk id="66" max="16383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A0F02-85C8-4B8F-89D8-668D4E6F9B8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6223853-B9DB-43C6-BAAA-5E1EE7156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524A9-AAD4-4D89-AE3F-C59CD6152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Presupuesto para la boda</vt:lpstr>
      <vt:lpstr>Detalles del presupuesto</vt:lpstr>
      <vt:lpstr>'Detalles del presupuesto'!Print_Titles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2020-06-09T06:03:15Z</dcterms:created>
  <dcterms:modified xsi:type="dcterms:W3CDTF">2020-08-27T00:35:10Z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