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tables/table61.xml" ContentType="application/vnd.openxmlformats-officedocument.spreadsheetml.table+xml"/>
  <Override PartName="/xl/tables/table102.xml" ContentType="application/vnd.openxmlformats-officedocument.spreadsheetml.table+xml"/>
  <Override PartName="/xl/drawings/drawing21.xml" ContentType="application/vnd.openxmlformats-officedocument.drawing+xml"/>
  <Override PartName="/xl/tables/table93.xml" ContentType="application/vnd.openxmlformats-officedocument.spreadsheetml.table+xml"/>
  <Override PartName="/xl/tables/table84.xml" ContentType="application/vnd.openxmlformats-officedocument.spreadsheetml.table+xml"/>
  <Override PartName="/xl/tables/table75.xml" ContentType="application/vnd.openxmlformats-officedocument.spreadsheetml.tab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16.xml" ContentType="application/vnd.openxmlformats-officedocument.spreadsheetml.table+xml"/>
  <Override PartName="/xl/tables/table57.xml" ContentType="application/vnd.openxmlformats-officedocument.spreadsheetml.table+xml"/>
  <Override PartName="/xl/drawings/drawing12.xml" ContentType="application/vnd.openxmlformats-officedocument.drawing+xml"/>
  <Override PartName="/xl/tables/table48.xml" ContentType="application/vnd.openxmlformats-officedocument.spreadsheetml.table+xml"/>
  <Override PartName="/xl/tables/table39.xml" ContentType="application/vnd.openxmlformats-officedocument.spreadsheetml.table+xml"/>
  <Override PartName="/xl/tables/table210.xml" ContentType="application/vnd.openxmlformats-officedocument.spreadsheetml.table+xml"/>
  <Override PartName="/xl/worksheets/sheet13.xml" ContentType="application/vnd.openxmlformats-officedocument.spreadsheetml.worksheet+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54.xml" ContentType="application/vnd.openxmlformats-officedocument.spreadsheetml.worksheet+xml"/>
  <Override PartName="/xl/tables/table1611.xml" ContentType="application/vnd.openxmlformats-officedocument.spreadsheetml.table+xml"/>
  <Override PartName="/xl/drawings/drawing43.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customXml/item13.xml" ContentType="application/xml"/>
  <Override PartName="/customXml/itemProps13.xml" ContentType="application/vnd.openxmlformats-officedocument.customXmlProperties+xml"/>
  <Override PartName="/xl/worksheets/sheet45.xml" ContentType="application/vnd.openxmlformats-officedocument.spreadsheetml.worksheet+xml"/>
  <Override PartName="/xl/tables/table1112.xml" ContentType="application/vnd.openxmlformats-officedocument.spreadsheetml.table+xml"/>
  <Override PartName="/xl/tables/table1513.xml" ContentType="application/vnd.openxmlformats-officedocument.spreadsheetml.table+xml"/>
  <Override PartName="/xl/drawings/drawing34.xml" ContentType="application/vnd.openxmlformats-officedocument.drawing+xml"/>
  <Override PartName="/xl/tables/table1414.xml" ContentType="application/vnd.openxmlformats-officedocument.spreadsheetml.table+xml"/>
  <Override PartName="/xl/tables/table1315.xml" ContentType="application/vnd.openxmlformats-officedocument.spreadsheetml.table+xml"/>
  <Override PartName="/xl/tables/table1216.xml" ContentType="application/vnd.openxmlformats-officedocument.spreadsheetml.table+xml"/>
  <Override PartName="/xl/calcChain.xml" ContentType="application/vnd.openxmlformats-officedocument.spreadsheetml.calcChain+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xr:revisionPtr revIDLastSave="0" documentId="13_ncr:1_{E7A5C534-3CC2-4FE3-82C9-160630BC4346}" xr6:coauthVersionLast="47" xr6:coauthVersionMax="48" xr10:uidLastSave="{00000000-0000-0000-0000-000000000000}"/>
  <bookViews>
    <workbookView xWindow="-120" yWindow="-120" windowWidth="29040" windowHeight="17640" tabRatio="756" xr2:uid="{00000000-000D-0000-FFFF-FFFF00000000}"/>
  </bookViews>
  <sheets>
    <sheet name="ΕΝΑΡΞΗ" sheetId="6" r:id="rId1"/>
    <sheet name="ΠΡΟΓΡΑΜΜΑΤΙΣΜΕΝΑ ΕΞΟΔΑ" sheetId="2" r:id="rId2"/>
    <sheet name="ΠΡΑΓΜΑΤΙΚΑ ΕΞΟΔΑ" sheetId="3" r:id="rId3"/>
    <sheet name="ΔΙΑΚΥΜΑΝΣΕΙΣ ΕΞΟΔΩΝ" sheetId="4" r:id="rId4"/>
    <sheet name="ΑΝΑΛΥΣΗ ΕΞΟΔΩΝ" sheetId="5" r:id="rId5"/>
  </sheets>
  <definedNames>
    <definedName name="τίτλος_φύλλου_εργασίας">'ΠΡΟΓΡΑΜΜΑΤΙΣΜΕΝΑ ΕΞΟΔΑ'!$K$2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4" l="1"/>
  <c r="M7" i="4"/>
  <c r="M6" i="4"/>
  <c r="M36" i="3"/>
  <c r="M36" i="2"/>
  <c r="K2" i="3"/>
  <c r="K2" i="4"/>
  <c r="E3" i="5"/>
  <c r="B2" i="3" l="1"/>
  <c r="B2" i="5" l="1"/>
  <c r="B2" i="4"/>
  <c r="I7" i="3" l="1"/>
  <c r="J7" i="3"/>
  <c r="K7" i="3"/>
  <c r="L7" i="3"/>
  <c r="M7" i="3"/>
  <c r="N7" i="3"/>
  <c r="C32" i="4"/>
  <c r="D32" i="4"/>
  <c r="E32" i="4"/>
  <c r="F32" i="4"/>
  <c r="G32" i="4"/>
  <c r="H32" i="4"/>
  <c r="I32" i="4"/>
  <c r="J32" i="4"/>
  <c r="K32" i="4"/>
  <c r="L32" i="4"/>
  <c r="M32" i="4"/>
  <c r="N32" i="4"/>
  <c r="D31" i="4"/>
  <c r="E31" i="4"/>
  <c r="F31" i="4"/>
  <c r="G31" i="4"/>
  <c r="H31" i="4"/>
  <c r="I31" i="4"/>
  <c r="J31" i="4"/>
  <c r="K31" i="4"/>
  <c r="L31" i="4"/>
  <c r="M31" i="4"/>
  <c r="N31" i="4"/>
  <c r="C31" i="4"/>
  <c r="C23" i="4"/>
  <c r="D23" i="4"/>
  <c r="E23" i="4"/>
  <c r="F23" i="4"/>
  <c r="G23" i="4"/>
  <c r="H23" i="4"/>
  <c r="I23" i="4"/>
  <c r="J23" i="4"/>
  <c r="K23" i="4"/>
  <c r="L23" i="4"/>
  <c r="M23" i="4"/>
  <c r="N23" i="4"/>
  <c r="C24" i="4"/>
  <c r="D24" i="4"/>
  <c r="E24" i="4"/>
  <c r="F24" i="4"/>
  <c r="G24" i="4"/>
  <c r="H24" i="4"/>
  <c r="I24" i="4"/>
  <c r="J24" i="4"/>
  <c r="K24" i="4"/>
  <c r="L24" i="4"/>
  <c r="M24" i="4"/>
  <c r="N24" i="4"/>
  <c r="C25" i="4"/>
  <c r="D25" i="4"/>
  <c r="E25" i="4"/>
  <c r="F25" i="4"/>
  <c r="G25" i="4"/>
  <c r="H25" i="4"/>
  <c r="I25" i="4"/>
  <c r="J25" i="4"/>
  <c r="K25" i="4"/>
  <c r="L25" i="4"/>
  <c r="M25" i="4"/>
  <c r="N25" i="4"/>
  <c r="C26" i="4"/>
  <c r="D26" i="4"/>
  <c r="E26" i="4"/>
  <c r="F26" i="4"/>
  <c r="G26" i="4"/>
  <c r="H26" i="4"/>
  <c r="I26" i="4"/>
  <c r="J26" i="4"/>
  <c r="K26" i="4"/>
  <c r="L26" i="4"/>
  <c r="M26" i="4"/>
  <c r="N26" i="4"/>
  <c r="C27" i="4"/>
  <c r="D27" i="4"/>
  <c r="E27" i="4"/>
  <c r="F27" i="4"/>
  <c r="G27" i="4"/>
  <c r="H27" i="4"/>
  <c r="I27" i="4"/>
  <c r="J27" i="4"/>
  <c r="K27" i="4"/>
  <c r="L27" i="4"/>
  <c r="M27" i="4"/>
  <c r="N27" i="4"/>
  <c r="D22" i="4"/>
  <c r="E22" i="4"/>
  <c r="F22" i="4"/>
  <c r="G22" i="4"/>
  <c r="H22" i="4"/>
  <c r="I22" i="4"/>
  <c r="J22" i="4"/>
  <c r="K22" i="4"/>
  <c r="L22" i="4"/>
  <c r="M22" i="4"/>
  <c r="N22" i="4"/>
  <c r="C22" i="4"/>
  <c r="D6" i="4"/>
  <c r="E6" i="4"/>
  <c r="F6" i="4"/>
  <c r="G6" i="4"/>
  <c r="H6" i="4"/>
  <c r="I6" i="4"/>
  <c r="J6" i="4"/>
  <c r="K6" i="4"/>
  <c r="L6" i="4"/>
  <c r="N6" i="4"/>
  <c r="C6" i="4"/>
  <c r="C12" i="4"/>
  <c r="D12" i="4"/>
  <c r="E12" i="4"/>
  <c r="F12" i="4"/>
  <c r="G12" i="4"/>
  <c r="H12" i="4"/>
  <c r="I12" i="4"/>
  <c r="J12" i="4"/>
  <c r="K12" i="4"/>
  <c r="L12" i="4"/>
  <c r="M12" i="4"/>
  <c r="N12" i="4"/>
  <c r="C13" i="4"/>
  <c r="D13" i="4"/>
  <c r="E13" i="4"/>
  <c r="F13" i="4"/>
  <c r="G13" i="4"/>
  <c r="H13" i="4"/>
  <c r="I13" i="4"/>
  <c r="J13" i="4"/>
  <c r="K13" i="4"/>
  <c r="L13" i="4"/>
  <c r="M13" i="4"/>
  <c r="N13" i="4"/>
  <c r="C14" i="4"/>
  <c r="D14" i="4"/>
  <c r="E14" i="4"/>
  <c r="F14" i="4"/>
  <c r="G14" i="4"/>
  <c r="H14" i="4"/>
  <c r="I14" i="4"/>
  <c r="J14" i="4"/>
  <c r="K14" i="4"/>
  <c r="L14" i="4"/>
  <c r="M14" i="4"/>
  <c r="N14" i="4"/>
  <c r="C15" i="4"/>
  <c r="D15" i="4"/>
  <c r="E15" i="4"/>
  <c r="F15" i="4"/>
  <c r="G15" i="4"/>
  <c r="H15" i="4"/>
  <c r="I15" i="4"/>
  <c r="J15" i="4"/>
  <c r="K15" i="4"/>
  <c r="L15" i="4"/>
  <c r="M15" i="4"/>
  <c r="N15" i="4"/>
  <c r="C16" i="4"/>
  <c r="D16" i="4"/>
  <c r="E16" i="4"/>
  <c r="F16" i="4"/>
  <c r="G16" i="4"/>
  <c r="H16" i="4"/>
  <c r="I16" i="4"/>
  <c r="J16" i="4"/>
  <c r="K16" i="4"/>
  <c r="L16" i="4"/>
  <c r="M16" i="4"/>
  <c r="N16" i="4"/>
  <c r="C17" i="4"/>
  <c r="D17" i="4"/>
  <c r="E17" i="4"/>
  <c r="F17" i="4"/>
  <c r="G17" i="4"/>
  <c r="H17" i="4"/>
  <c r="I17" i="4"/>
  <c r="J17" i="4"/>
  <c r="K17" i="4"/>
  <c r="L17" i="4"/>
  <c r="M17" i="4"/>
  <c r="N17" i="4"/>
  <c r="C18" i="4"/>
  <c r="D18" i="4"/>
  <c r="E18" i="4"/>
  <c r="F18" i="4"/>
  <c r="G18" i="4"/>
  <c r="H18" i="4"/>
  <c r="I18" i="4"/>
  <c r="J18" i="4"/>
  <c r="K18" i="4"/>
  <c r="L18" i="4"/>
  <c r="M18" i="4"/>
  <c r="N18" i="4"/>
  <c r="D11" i="4"/>
  <c r="E11" i="4"/>
  <c r="F11" i="4"/>
  <c r="G11" i="4"/>
  <c r="H11" i="4"/>
  <c r="I11" i="4"/>
  <c r="J11" i="4"/>
  <c r="K11" i="4"/>
  <c r="L11" i="4"/>
  <c r="M11" i="4"/>
  <c r="N11" i="4"/>
  <c r="C11" i="4"/>
  <c r="D19" i="3"/>
  <c r="E19" i="3"/>
  <c r="F19" i="3"/>
  <c r="G19" i="3"/>
  <c r="H19" i="3"/>
  <c r="I19" i="3"/>
  <c r="J19" i="3"/>
  <c r="K19" i="3"/>
  <c r="L19" i="3"/>
  <c r="M19" i="3"/>
  <c r="N19" i="3"/>
  <c r="D28" i="3"/>
  <c r="E28" i="3"/>
  <c r="F28" i="3"/>
  <c r="G28" i="3"/>
  <c r="H28" i="3"/>
  <c r="I28" i="3"/>
  <c r="J28" i="3"/>
  <c r="K28" i="3"/>
  <c r="L28" i="3"/>
  <c r="M28" i="3"/>
  <c r="N28" i="3"/>
  <c r="D33" i="3"/>
  <c r="E33" i="3"/>
  <c r="F33" i="3"/>
  <c r="G33" i="3"/>
  <c r="H33" i="3"/>
  <c r="I33" i="3"/>
  <c r="J33" i="3"/>
  <c r="K33" i="3"/>
  <c r="L33" i="3"/>
  <c r="M33" i="3"/>
  <c r="N33" i="3"/>
  <c r="C33" i="3"/>
  <c r="C28" i="3"/>
  <c r="C19" i="3"/>
  <c r="D33" i="2"/>
  <c r="E33" i="2"/>
  <c r="F33" i="2"/>
  <c r="G33" i="2"/>
  <c r="H33" i="2"/>
  <c r="I33" i="2"/>
  <c r="J33" i="2"/>
  <c r="K33" i="2"/>
  <c r="L33" i="2"/>
  <c r="M33" i="2"/>
  <c r="N33" i="2"/>
  <c r="C33" i="2"/>
  <c r="D28" i="2"/>
  <c r="E28" i="2"/>
  <c r="F28" i="2"/>
  <c r="G28" i="2"/>
  <c r="H28" i="2"/>
  <c r="I28" i="2"/>
  <c r="J28" i="2"/>
  <c r="K28" i="2"/>
  <c r="L28" i="2"/>
  <c r="M28" i="2"/>
  <c r="N28" i="2"/>
  <c r="C28" i="2"/>
  <c r="D19" i="2"/>
  <c r="E19" i="2"/>
  <c r="F19" i="2"/>
  <c r="G19" i="2"/>
  <c r="H19" i="2"/>
  <c r="I19" i="2"/>
  <c r="J19" i="2"/>
  <c r="K19" i="2"/>
  <c r="L19" i="2"/>
  <c r="M19" i="2"/>
  <c r="N19" i="2"/>
  <c r="C19" i="2"/>
  <c r="O22" i="4" l="1"/>
  <c r="O24" i="4"/>
  <c r="O6" i="4"/>
  <c r="O23" i="4"/>
  <c r="O32" i="4"/>
  <c r="O27" i="4"/>
  <c r="O26" i="4"/>
  <c r="O25" i="4"/>
  <c r="O31" i="4"/>
  <c r="O17" i="4"/>
  <c r="O16" i="4"/>
  <c r="O15" i="4"/>
  <c r="O14" i="4"/>
  <c r="O12" i="4"/>
  <c r="O18" i="4"/>
  <c r="O13" i="4"/>
  <c r="O11" i="4"/>
  <c r="B10" i="5"/>
  <c r="B9" i="5"/>
  <c r="B8" i="5"/>
  <c r="B7" i="5"/>
  <c r="N33" i="4"/>
  <c r="M33" i="4"/>
  <c r="L33" i="4"/>
  <c r="K33" i="4"/>
  <c r="J33" i="4"/>
  <c r="I33" i="4"/>
  <c r="H33" i="4"/>
  <c r="G33" i="4"/>
  <c r="F33" i="4"/>
  <c r="E33" i="4"/>
  <c r="D33" i="4"/>
  <c r="C33" i="4"/>
  <c r="N28" i="4"/>
  <c r="M28" i="4"/>
  <c r="L28" i="4"/>
  <c r="K28" i="4"/>
  <c r="J28" i="4"/>
  <c r="I28" i="4"/>
  <c r="H28" i="4"/>
  <c r="G28" i="4"/>
  <c r="F28" i="4"/>
  <c r="E28" i="4"/>
  <c r="D28" i="4"/>
  <c r="C28" i="4"/>
  <c r="N19" i="4"/>
  <c r="M19" i="4"/>
  <c r="L19" i="4"/>
  <c r="K19" i="4"/>
  <c r="J19" i="4"/>
  <c r="I19" i="4"/>
  <c r="H19" i="4"/>
  <c r="G19" i="4"/>
  <c r="F19" i="4"/>
  <c r="E19" i="4"/>
  <c r="D19" i="4"/>
  <c r="C19" i="4"/>
  <c r="O32" i="3"/>
  <c r="O31" i="3"/>
  <c r="O27" i="3"/>
  <c r="O26" i="3"/>
  <c r="O25" i="3"/>
  <c r="O24" i="3"/>
  <c r="O23" i="3"/>
  <c r="O22" i="3"/>
  <c r="O18" i="3"/>
  <c r="O17" i="3"/>
  <c r="O16" i="3"/>
  <c r="O15" i="3"/>
  <c r="O14" i="3"/>
  <c r="O13" i="3"/>
  <c r="O12" i="3"/>
  <c r="O11" i="3"/>
  <c r="N8" i="3"/>
  <c r="N36" i="3" s="1"/>
  <c r="M8" i="3"/>
  <c r="L8" i="3"/>
  <c r="L36" i="3" s="1"/>
  <c r="K8" i="3"/>
  <c r="K36" i="3" s="1"/>
  <c r="J8" i="3"/>
  <c r="J36" i="3" s="1"/>
  <c r="I8" i="3"/>
  <c r="I36" i="3" s="1"/>
  <c r="H7" i="3"/>
  <c r="H8" i="3" s="1"/>
  <c r="H36" i="3" s="1"/>
  <c r="G7" i="3"/>
  <c r="G8" i="3" s="1"/>
  <c r="G36" i="3" s="1"/>
  <c r="F7" i="3"/>
  <c r="F8" i="3" s="1"/>
  <c r="F36" i="3" s="1"/>
  <c r="E7" i="3"/>
  <c r="E8" i="3" s="1"/>
  <c r="E36" i="3" s="1"/>
  <c r="D7" i="3"/>
  <c r="D8" i="3" s="1"/>
  <c r="D36" i="3" s="1"/>
  <c r="C7" i="3"/>
  <c r="C8" i="3" s="1"/>
  <c r="C36" i="3" s="1"/>
  <c r="O6" i="3"/>
  <c r="O32" i="2"/>
  <c r="O31" i="2"/>
  <c r="O33" i="2" s="1"/>
  <c r="O27" i="2"/>
  <c r="O26" i="2"/>
  <c r="O25" i="2"/>
  <c r="O24" i="2"/>
  <c r="O23" i="2"/>
  <c r="O22" i="2"/>
  <c r="O18" i="2"/>
  <c r="O17" i="2"/>
  <c r="O16" i="2"/>
  <c r="O15" i="2"/>
  <c r="O14" i="2"/>
  <c r="O13" i="2"/>
  <c r="O12" i="2"/>
  <c r="O11" i="2"/>
  <c r="N7" i="2"/>
  <c r="M7" i="2"/>
  <c r="L7" i="2"/>
  <c r="K7" i="2"/>
  <c r="J7" i="2"/>
  <c r="I7" i="2"/>
  <c r="H7" i="2"/>
  <c r="G7" i="2"/>
  <c r="F7" i="2"/>
  <c r="E7" i="2"/>
  <c r="D7" i="2"/>
  <c r="C7" i="2"/>
  <c r="O6" i="2"/>
  <c r="J8" i="2" l="1"/>
  <c r="J36" i="2" s="1"/>
  <c r="J7" i="4"/>
  <c r="J8" i="4" s="1"/>
  <c r="J36" i="4" s="1"/>
  <c r="L8" i="2"/>
  <c r="L36" i="2" s="1"/>
  <c r="L7" i="4"/>
  <c r="L8" i="4" s="1"/>
  <c r="L36" i="4" s="1"/>
  <c r="G8" i="2"/>
  <c r="G36" i="2" s="1"/>
  <c r="G7" i="4"/>
  <c r="G8" i="4" s="1"/>
  <c r="G36" i="4" s="1"/>
  <c r="H8" i="2"/>
  <c r="H36" i="2" s="1"/>
  <c r="H7" i="4"/>
  <c r="H8" i="4" s="1"/>
  <c r="H36" i="4" s="1"/>
  <c r="N8" i="2"/>
  <c r="N36" i="2" s="1"/>
  <c r="N7" i="4"/>
  <c r="N8" i="4" s="1"/>
  <c r="N36" i="4" s="1"/>
  <c r="D8" i="2"/>
  <c r="D36" i="2" s="1"/>
  <c r="D7" i="4"/>
  <c r="D8" i="4" s="1"/>
  <c r="D36" i="4" s="1"/>
  <c r="E7" i="4"/>
  <c r="E8" i="4" s="1"/>
  <c r="E36" i="4" s="1"/>
  <c r="E8" i="2"/>
  <c r="E36" i="2" s="1"/>
  <c r="K8" i="2"/>
  <c r="K36" i="2" s="1"/>
  <c r="K7" i="4"/>
  <c r="K8" i="4" s="1"/>
  <c r="K36" i="4" s="1"/>
  <c r="F7" i="4"/>
  <c r="F8" i="4" s="1"/>
  <c r="F36" i="4" s="1"/>
  <c r="F8" i="2"/>
  <c r="F36" i="2" s="1"/>
  <c r="M8" i="2"/>
  <c r="M8" i="4"/>
  <c r="C7" i="4"/>
  <c r="C8" i="4" l="1"/>
  <c r="C36" i="4" s="1"/>
  <c r="C8" i="2"/>
  <c r="C36" i="2" s="1"/>
  <c r="I7" i="4"/>
  <c r="I8" i="4" l="1"/>
  <c r="I36" i="4" s="1"/>
  <c r="O7" i="4"/>
  <c r="I8" i="2"/>
  <c r="I36" i="2" s="1"/>
  <c r="O33" i="3"/>
  <c r="O28" i="3"/>
  <c r="D8" i="5" s="1"/>
  <c r="O19" i="3"/>
  <c r="D7" i="5" s="1"/>
  <c r="C9" i="5"/>
  <c r="O28" i="2"/>
  <c r="C8" i="5" s="1"/>
  <c r="O19" i="2"/>
  <c r="C7" i="5" s="1"/>
  <c r="O7" i="3"/>
  <c r="O8" i="3" s="1"/>
  <c r="D6" i="5" s="1"/>
  <c r="O33" i="4"/>
  <c r="O7" i="2"/>
  <c r="O8" i="2" s="1"/>
  <c r="C6" i="5" s="1"/>
  <c r="E37" i="2" l="1"/>
  <c r="D37" i="2"/>
  <c r="J37" i="2"/>
  <c r="O8" i="4"/>
  <c r="O36" i="2"/>
  <c r="C10" i="5" s="1"/>
  <c r="I37" i="2"/>
  <c r="C37" i="2"/>
  <c r="F37" i="2"/>
  <c r="E8" i="5"/>
  <c r="F8" i="5" s="1"/>
  <c r="D37" i="4"/>
  <c r="J37" i="4"/>
  <c r="M37" i="4"/>
  <c r="H37" i="4"/>
  <c r="N37" i="4"/>
  <c r="C37" i="4"/>
  <c r="E37" i="4"/>
  <c r="K37" i="4"/>
  <c r="F37" i="4"/>
  <c r="L37" i="4"/>
  <c r="G37" i="4"/>
  <c r="I37" i="4"/>
  <c r="O19" i="4"/>
  <c r="O28" i="4"/>
  <c r="D9" i="5"/>
  <c r="E9" i="5" s="1"/>
  <c r="F9" i="5" s="1"/>
  <c r="O36" i="3"/>
  <c r="D10" i="5" s="1"/>
  <c r="K37" i="2"/>
  <c r="G37" i="3"/>
  <c r="M37" i="3"/>
  <c r="J37" i="3"/>
  <c r="F37" i="3"/>
  <c r="H37" i="3"/>
  <c r="N37" i="3"/>
  <c r="I37" i="3"/>
  <c r="C37" i="3"/>
  <c r="D37" i="3"/>
  <c r="E37" i="3"/>
  <c r="K37" i="3"/>
  <c r="L37" i="3"/>
  <c r="E7" i="5"/>
  <c r="F7" i="5" s="1"/>
  <c r="N37" i="2"/>
  <c r="H37" i="2"/>
  <c r="M37" i="2"/>
  <c r="L37" i="2"/>
  <c r="G37" i="2"/>
  <c r="E6" i="5"/>
  <c r="F6" i="5" s="1"/>
  <c r="O36" i="4" l="1"/>
  <c r="E10" i="5"/>
  <c r="F10" i="5" s="1"/>
</calcChain>
</file>

<file path=xl/sharedStrings.xml><?xml version="1.0" encoding="utf-8"?>
<sst xmlns="http://schemas.openxmlformats.org/spreadsheetml/2006/main" count="348" uniqueCount="75">
  <si>
    <t>ΠΛΗΡΟΦΟΡΙΕΣ ΓΙΑ ΑΥΤΟ ΤΟ ΠΡΟΤΥΠΟ</t>
  </si>
  <si>
    <t>Χρησιμοποιήστε αυτό το βιβλίο εργασίας προϋπολογισμού επαγγελματικών εξόδων για να παρακολουθείτε τα προγραμματισμένα και τα πραγματικά έξοδα και τις αντίστοιχες διακυμάνσεις.</t>
  </si>
  <si>
    <t>Συμπληρώστε την επωνυμία της εταιρείας και προσθέστε το λογότυπο.</t>
  </si>
  <si>
    <t>Εισαγάγετε λεπτομέρειες στο φύλλο εργασίας "Προγραμματισμένα έξοδα" και στο φύλλο εργασίας "Πραγματικά έξοδα".</t>
  </si>
  <si>
    <t>Οι πίνακες ενημερώνονται αυτόματα στο φύλλο εργασίας "Διακυμάνσεις εξόδων" και τα γραφήματα στο φύλλο εργασίας "Ανάλυση εξόδων"</t>
  </si>
  <si>
    <t>Σημείωση: </t>
  </si>
  <si>
    <t>Στη στήλη A σε κάθε φύλλο εργασίας παρέχονται πρόσθετες οδηγίες. Αυτό το κείμενο είναι κρυφό σκόπιμα. Για να καταργήσετε το κείμενο, επιλέξτε τη στήλη A και, στη συνέχεια, πατήστε το πλήκτρο DELETE. Για να εμφανίσετε το κείμενο, επιλέξτε τη στήλη A και, στη συνέχεια, αλλάξτε το χρώμα γραμματοσειράς.</t>
  </si>
  <si>
    <t>Για να μάθετε περισσότερα σχετικά με τους πίνακες, πατήστε το πλήκτρο SHIFT και στη συνέχεια το F10 μέσα σε έναν πίνακα, επιλέξτε ΠΙΝΑΚΑΣ και κατόπιν επιλέξτε ΕΝΑΛΛΑΚΤΙΚΟ ΚΕΙΜΕΝΟ</t>
  </si>
  <si>
    <t>Επωνυμία εταιρείας</t>
  </si>
  <si>
    <t>ΠΡΟΓΡΑΜΜΑΤΙΣΜΕΝΑ ΕΞΟΔΑ</t>
  </si>
  <si>
    <t>Έξοδα υπαλλήλων</t>
  </si>
  <si>
    <t>Μισθοί</t>
  </si>
  <si>
    <t>Επιδόματα</t>
  </si>
  <si>
    <t>Μερικό άθροισμα</t>
  </si>
  <si>
    <t>Έξοδα γραφείου</t>
  </si>
  <si>
    <t>Μίσθωση γραφείου</t>
  </si>
  <si>
    <t>Αέριο</t>
  </si>
  <si>
    <t>Ηλεκτρικό</t>
  </si>
  <si>
    <t>Νερό</t>
  </si>
  <si>
    <t>Τηλέφωνο</t>
  </si>
  <si>
    <t>Πρόσβαση στο Internet</t>
  </si>
  <si>
    <t>Προμήθειες γραφείου</t>
  </si>
  <si>
    <t>Ασφάλεια</t>
  </si>
  <si>
    <t>Έξοδα μάρκετινγκ</t>
  </si>
  <si>
    <t>Φιλοξενία τοποθεσίας Web</t>
  </si>
  <si>
    <t>Ενημερώσεις τοποθεσίας Web</t>
  </si>
  <si>
    <t>Προετοιμασία εντύπων</t>
  </si>
  <si>
    <t>Εκτύπωση εντύπων</t>
  </si>
  <si>
    <t>Εκδηλώσεις μάρκετινγκ</t>
  </si>
  <si>
    <t>Διάφορα έξοδα</t>
  </si>
  <si>
    <t>Εκπαίδευση/Ταξίδια</t>
  </si>
  <si>
    <t>Εκπαιδευτικά μαθήματα</t>
  </si>
  <si>
    <t>Έξοδα μετακινήσεων που σχετίζονται με εκπαίδευση</t>
  </si>
  <si>
    <t>ΣΥΝΟΛΑ</t>
  </si>
  <si>
    <t>Μηνιαία προγραμματισμένα έξοδα</t>
  </si>
  <si>
    <t>ΣΥΝΟΛΙΚΑ προγραμματισμένα έξοδα</t>
  </si>
  <si>
    <t>ΙΑΝ</t>
  </si>
  <si>
    <t>Ιαν</t>
  </si>
  <si>
    <t>ΦΕΒ</t>
  </si>
  <si>
    <t>Φεβ</t>
  </si>
  <si>
    <t>ΜΑΡ</t>
  </si>
  <si>
    <t>Μάρ</t>
  </si>
  <si>
    <t>ΑΠΡ</t>
  </si>
  <si>
    <t>Απρ</t>
  </si>
  <si>
    <t>ΜΑΪΟΣ</t>
  </si>
  <si>
    <t>Μάι</t>
  </si>
  <si>
    <t>ΙΟΥΝ</t>
  </si>
  <si>
    <t>Ιούν</t>
  </si>
  <si>
    <t>ΙΟΥΛ</t>
  </si>
  <si>
    <t>Ιούλ</t>
  </si>
  <si>
    <t>ΑΥΓ</t>
  </si>
  <si>
    <t>Αύγ</t>
  </si>
  <si>
    <t>Λεπτομερείς εκτιμήσεις εξόδων</t>
  </si>
  <si>
    <t>Τα σκιασμένα κελιά είναι υπολογισμοί.</t>
  </si>
  <si>
    <t>ΣΕΠ</t>
  </si>
  <si>
    <t>Σεπ</t>
  </si>
  <si>
    <t>ΟΚΤ</t>
  </si>
  <si>
    <t>Οκτ</t>
  </si>
  <si>
    <t>ΝΟΕ</t>
  </si>
  <si>
    <t>Νοέ</t>
  </si>
  <si>
    <t>Νοε</t>
  </si>
  <si>
    <t>ΔΕΚ</t>
  </si>
  <si>
    <t>Δεκ</t>
  </si>
  <si>
    <t>ΕΤΟΣ</t>
  </si>
  <si>
    <t>Έτος</t>
  </si>
  <si>
    <t xml:space="preserve"> </t>
  </si>
  <si>
    <t>ΠΡΑΓΜΑΤΙΚΑ ΕΞΟΔΑ</t>
  </si>
  <si>
    <t>Μηνιαία πραγματικά έξοδα</t>
  </si>
  <si>
    <t>ΣΥΝΟΛΙΚΑ πραγματικά έξοδα</t>
  </si>
  <si>
    <t>ΔΙΑΚΥΜΑΝΣΕΙΣ ΕΞΟΔΩΝ</t>
  </si>
  <si>
    <t>Κατηγορία εξόδων</t>
  </si>
  <si>
    <t>Προγραμματισμένα έξοδα</t>
  </si>
  <si>
    <t>Πραγματικά έξοδα</t>
  </si>
  <si>
    <t>Διακυμάνσεις εξόδων</t>
  </si>
  <si>
    <t>Ποσοστό διακύμανσης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</si>
</sst>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0.00\ &quot;€&quot;;[Red]\-#,##0.00\ &quot;€&quot;"/>
    <numFmt numFmtId="165" formatCode="_-* #,##0\ &quot;€&quot;_-;\-* #,##0\ &quot;€&quot;_-;_-* &quot;-&quot;\ &quot;€&quot;_-;_-@_-"/>
    <numFmt numFmtId="166" formatCode="_-* #,##0.00\ &quot;€&quot;_-;\-* #,##0.00\ &quot;€&quot;_-;_-* &quot;-&quot;??\ &quot;€&quot;_-;_-@_-"/>
    <numFmt numFmtId="167" formatCode="#,##0.00\ &quot;€&quot;;[Red]#,##0.00\ &quot;€&quot;"/>
    <numFmt numFmtId="168" formatCode="#,##0_ ;\-#,##0\ "/>
  </numFmts>
  <fonts count="54" x14ac:knownFonts="1">
    <font>
      <sz val="9"/>
      <color theme="1" tint="0.24994659260841701"/>
      <name val="Microsoft Sans Serif"/>
      <family val="2"/>
      <scheme val="minor"/>
    </font>
    <font>
      <sz val="11"/>
      <color theme="1"/>
      <name val="Microsoft Sans Serif"/>
      <family val="2"/>
      <scheme val="minor"/>
    </font>
    <font>
      <sz val="14"/>
      <color theme="1"/>
      <name val="Microsoft Sans Serif"/>
      <family val="2"/>
      <scheme val="minor"/>
    </font>
    <font>
      <b/>
      <sz val="14"/>
      <color theme="1"/>
      <name val="Microsoft Sans Serif"/>
      <family val="2"/>
      <scheme val="minor"/>
    </font>
    <font>
      <sz val="10"/>
      <color theme="1"/>
      <name val="Microsoft Sans Serif"/>
      <family val="2"/>
      <scheme val="minor"/>
    </font>
    <font>
      <b/>
      <u/>
      <sz val="10"/>
      <color theme="1"/>
      <name val="Microsoft Sans Serif"/>
      <family val="2"/>
      <scheme val="minor"/>
    </font>
    <font>
      <b/>
      <sz val="10"/>
      <color theme="1"/>
      <name val="Microsoft Sans Serif"/>
      <family val="2"/>
      <scheme val="minor"/>
    </font>
    <font>
      <b/>
      <i/>
      <sz val="10"/>
      <color theme="1"/>
      <name val="Microsoft Sans Serif"/>
      <family val="2"/>
      <scheme val="minor"/>
    </font>
    <font>
      <b/>
      <sz val="22"/>
      <color theme="1" tint="0.24994659260841701"/>
      <name val="Franklin Gothic Book"/>
      <family val="2"/>
      <scheme val="major"/>
    </font>
    <font>
      <sz val="11"/>
      <color theme="1" tint="0.24994659260841701"/>
      <name val="Franklin Gothic Book"/>
      <family val="2"/>
      <scheme val="major"/>
    </font>
    <font>
      <b/>
      <sz val="10"/>
      <color theme="2"/>
      <name val="Franklin Gothic Book"/>
      <family val="2"/>
      <scheme val="major"/>
    </font>
    <font>
      <b/>
      <sz val="14"/>
      <color theme="0"/>
      <name val="Franklin Gothic Book"/>
      <family val="2"/>
      <scheme val="major"/>
    </font>
    <font>
      <i/>
      <sz val="11"/>
      <color theme="3" tint="0.79998168889431442"/>
      <name val="Microsoft Sans Serif"/>
      <family val="2"/>
      <scheme val="minor"/>
    </font>
    <font>
      <b/>
      <sz val="36"/>
      <color theme="0"/>
      <name val="Franklin Gothic Book"/>
      <family val="2"/>
      <scheme val="major"/>
    </font>
    <font>
      <sz val="9"/>
      <color theme="1"/>
      <name val="Microsoft Sans Serif"/>
      <family val="2"/>
      <scheme val="minor"/>
    </font>
    <font>
      <b/>
      <sz val="9"/>
      <color theme="1"/>
      <name val="Microsoft Sans Serif"/>
      <family val="2"/>
      <scheme val="minor"/>
    </font>
    <font>
      <b/>
      <sz val="10"/>
      <color theme="0"/>
      <name val="Microsoft Sans Serif"/>
      <family val="2"/>
      <scheme val="minor"/>
    </font>
    <font>
      <b/>
      <sz val="16"/>
      <color theme="0"/>
      <name val="Franklin Gothic Book"/>
      <family val="2"/>
      <scheme val="major"/>
    </font>
    <font>
      <sz val="10"/>
      <color theme="1" tint="0.24994659260841701"/>
      <name val="Microsoft Sans Serif"/>
      <family val="2"/>
      <scheme val="minor"/>
    </font>
    <font>
      <b/>
      <sz val="10"/>
      <color theme="1" tint="0.24994659260841701"/>
      <name val="Microsoft Sans Serif"/>
      <family val="2"/>
      <scheme val="minor"/>
    </font>
    <font>
      <sz val="9"/>
      <color theme="6" tint="0.39997558519241921"/>
      <name val="Microsoft Sans Serif"/>
      <family val="2"/>
      <scheme val="minor"/>
    </font>
    <font>
      <b/>
      <sz val="14"/>
      <color theme="2"/>
      <name val="Franklin Gothic Book"/>
      <family val="2"/>
      <scheme val="major"/>
    </font>
    <font>
      <sz val="14"/>
      <color theme="3"/>
      <name val="Microsoft Sans Serif"/>
      <family val="2"/>
      <scheme val="minor"/>
    </font>
    <font>
      <b/>
      <sz val="13"/>
      <color theme="3"/>
      <name val="Franklin Gothic Book"/>
      <family val="2"/>
      <scheme val="major"/>
    </font>
    <font>
      <b/>
      <sz val="14"/>
      <color theme="0"/>
      <name val="Microsoft Sans Serif"/>
      <family val="2"/>
      <scheme val="minor"/>
    </font>
    <font>
      <sz val="9"/>
      <name val="Microsoft Sans Serif"/>
      <family val="2"/>
      <scheme val="minor"/>
    </font>
    <font>
      <b/>
      <sz val="9"/>
      <name val="Microsoft Sans Serif"/>
      <family val="2"/>
      <scheme val="minor"/>
    </font>
    <font>
      <b/>
      <sz val="10"/>
      <name val="Microsoft Sans Serif"/>
      <family val="2"/>
      <scheme val="minor"/>
    </font>
    <font>
      <b/>
      <sz val="10"/>
      <color theme="3" tint="-0.499984740745262"/>
      <name val="Franklin Gothic Book"/>
      <family val="2"/>
      <scheme val="major"/>
    </font>
    <font>
      <b/>
      <sz val="14"/>
      <color theme="3"/>
      <name val="Microsoft Sans Serif"/>
      <family val="2"/>
      <scheme val="minor"/>
    </font>
    <font>
      <b/>
      <sz val="14"/>
      <color theme="3" tint="-0.499984740745262"/>
      <name val="Franklin Gothic Book"/>
      <family val="2"/>
      <scheme val="major"/>
    </font>
    <font>
      <sz val="10"/>
      <color theme="5" tint="0.79998168889431442"/>
      <name val="Microsoft Sans Serif"/>
      <family val="2"/>
      <scheme val="minor"/>
    </font>
    <font>
      <b/>
      <sz val="16"/>
      <color theme="0"/>
      <name val="Arial"/>
      <family val="2"/>
    </font>
    <font>
      <sz val="14"/>
      <color theme="3" tint="-0.249977111117893"/>
      <name val="Microsoft Sans Serif"/>
      <family val="2"/>
      <scheme val="minor"/>
    </font>
    <font>
      <sz val="14"/>
      <color theme="6" tint="0.39997558519241921"/>
      <name val="Microsoft Sans Serif"/>
      <family val="2"/>
      <scheme val="minor"/>
    </font>
    <font>
      <sz val="11"/>
      <color theme="6" tint="0.39997558519241921"/>
      <name val="Calibri"/>
      <family val="2"/>
    </font>
    <font>
      <sz val="11"/>
      <color theme="1" tint="4.9989318521683403E-2"/>
      <name val="Calibri"/>
      <family val="2"/>
    </font>
    <font>
      <b/>
      <sz val="11"/>
      <color theme="1" tint="4.9989318521683403E-2"/>
      <name val="Calibri"/>
      <family val="2"/>
    </font>
    <font>
      <i/>
      <sz val="11"/>
      <color theme="0"/>
      <name val="Microsoft Sans Serif"/>
      <family val="2"/>
      <scheme val="minor"/>
    </font>
    <font>
      <b/>
      <sz val="16"/>
      <color theme="3"/>
      <name val="Franklin Gothic Book"/>
      <family val="2"/>
      <scheme val="major"/>
    </font>
    <font>
      <sz val="14"/>
      <color theme="0"/>
      <name val="Microsoft Sans Serif"/>
      <family val="2"/>
      <scheme val="minor"/>
    </font>
    <font>
      <sz val="9"/>
      <color theme="1" tint="0.24994659260841701"/>
      <name val="Microsoft Sans Serif"/>
      <family val="2"/>
      <scheme val="minor"/>
    </font>
    <font>
      <sz val="18"/>
      <color theme="3"/>
      <name val="Franklin Gothic Book"/>
      <family val="2"/>
      <scheme val="major"/>
    </font>
    <font>
      <sz val="11"/>
      <color rgb="FF006100"/>
      <name val="Microsoft Sans Serif"/>
      <family val="2"/>
      <scheme val="minor"/>
    </font>
    <font>
      <sz val="11"/>
      <color rgb="FF9C0006"/>
      <name val="Microsoft Sans Serif"/>
      <family val="2"/>
      <scheme val="minor"/>
    </font>
    <font>
      <sz val="11"/>
      <color rgb="FF9C5700"/>
      <name val="Microsoft Sans Serif"/>
      <family val="2"/>
      <scheme val="minor"/>
    </font>
    <font>
      <sz val="11"/>
      <color rgb="FF3F3F76"/>
      <name val="Microsoft Sans Serif"/>
      <family val="2"/>
      <scheme val="minor"/>
    </font>
    <font>
      <b/>
      <sz val="11"/>
      <color rgb="FF3F3F3F"/>
      <name val="Microsoft Sans Serif"/>
      <family val="2"/>
      <scheme val="minor"/>
    </font>
    <font>
      <b/>
      <sz val="11"/>
      <color rgb="FFFA7D00"/>
      <name val="Microsoft Sans Serif"/>
      <family val="2"/>
      <scheme val="minor"/>
    </font>
    <font>
      <sz val="11"/>
      <color rgb="FFFA7D00"/>
      <name val="Microsoft Sans Serif"/>
      <family val="2"/>
      <scheme val="minor"/>
    </font>
    <font>
      <b/>
      <sz val="11"/>
      <color theme="0"/>
      <name val="Microsoft Sans Serif"/>
      <family val="2"/>
      <scheme val="minor"/>
    </font>
    <font>
      <sz val="11"/>
      <color rgb="FFFF0000"/>
      <name val="Microsoft Sans Serif"/>
      <family val="2"/>
      <scheme val="minor"/>
    </font>
    <font>
      <b/>
      <sz val="11"/>
      <color theme="1"/>
      <name val="Microsoft Sans Serif"/>
      <family val="2"/>
      <scheme val="minor"/>
    </font>
    <font>
      <sz val="11"/>
      <color theme="0"/>
      <name val="Microsoft Sans Serif"/>
      <family val="2"/>
      <scheme val="minor"/>
    </font>
  </fonts>
  <fills count="45">
    <fill>
      <patternFill patternType="none"/>
    </fill>
    <fill>
      <patternFill patternType="gray125"/>
    </fill>
    <fill>
      <patternFill patternType="solid">
        <fgColor theme="5" tint="-0.499984740745262"/>
        <bgColor indexed="64"/>
      </patternFill>
    </fill>
    <fill>
      <patternFill patternType="solid">
        <fgColor theme="3" tint="0.89996032593768116"/>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right/>
      <top/>
      <bottom style="medium">
        <color theme="6" tint="0.39997558519241921"/>
      </bottom>
      <diagonal/>
    </border>
    <border>
      <left/>
      <right/>
      <top style="medium">
        <color theme="6" tint="0.39997558519241921"/>
      </top>
      <bottom/>
      <diagonal/>
    </border>
    <border>
      <left style="medium">
        <color theme="6" tint="0.39997558519241921"/>
      </left>
      <right style="medium">
        <color theme="6" tint="0.39997558519241921"/>
      </right>
      <top style="medium">
        <color theme="6" tint="0.39997558519241921"/>
      </top>
      <bottom/>
      <diagonal/>
    </border>
    <border>
      <left/>
      <right style="medium">
        <color theme="6" tint="0.39997558519241921"/>
      </right>
      <top/>
      <bottom/>
      <diagonal/>
    </border>
    <border>
      <left/>
      <right style="medium">
        <color theme="6" tint="0.39997558519241921"/>
      </right>
      <top style="medium">
        <color theme="6" tint="0.39997558519241921"/>
      </top>
      <bottom/>
      <diagonal/>
    </border>
    <border>
      <left style="medium">
        <color theme="6" tint="0.39997558519241921"/>
      </left>
      <right style="medium">
        <color theme="6" tint="0.39997558519241921"/>
      </right>
      <top/>
      <bottom/>
      <diagonal/>
    </border>
    <border>
      <left/>
      <right/>
      <top/>
      <bottom style="medium">
        <color theme="6" tint="0.39994506668294322"/>
      </bottom>
      <diagonal/>
    </border>
    <border>
      <left/>
      <right/>
      <top style="medium">
        <color theme="6" tint="0.39994506668294322"/>
      </top>
      <bottom style="medium">
        <color theme="6" tint="0.39994506668294322"/>
      </bottom>
      <diagonal/>
    </border>
    <border>
      <left/>
      <right/>
      <top style="medium">
        <color theme="6" tint="0.39994506668294322"/>
      </top>
      <bottom/>
      <diagonal/>
    </border>
    <border>
      <left/>
      <right style="medium">
        <color theme="6" tint="0.39991454817346722"/>
      </right>
      <top style="medium">
        <color theme="6" tint="0.39994506668294322"/>
      </top>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right style="medium">
        <color theme="6" tint="0.39994506668294322"/>
      </right>
      <top/>
      <bottom style="medium">
        <color theme="6" tint="0.39994506668294322"/>
      </bottom>
      <diagonal/>
    </border>
    <border>
      <left style="medium">
        <color theme="6" tint="0.39994506668294322"/>
      </left>
      <right style="medium">
        <color theme="6" tint="0.39994506668294322"/>
      </right>
      <top/>
      <bottom style="medium">
        <color theme="6" tint="0.39994506668294322"/>
      </bottom>
      <diagonal/>
    </border>
    <border>
      <left style="medium">
        <color theme="6" tint="0.39994506668294322"/>
      </left>
      <right/>
      <top/>
      <bottom style="medium">
        <color theme="6" tint="0.39994506668294322"/>
      </bottom>
      <diagonal/>
    </border>
    <border>
      <left/>
      <right style="medium">
        <color theme="6" tint="0.39994506668294322"/>
      </right>
      <top style="medium">
        <color theme="6" tint="0.39994506668294322"/>
      </top>
      <bottom style="medium">
        <color theme="6" tint="0.39994506668294322"/>
      </bottom>
      <diagonal/>
    </border>
    <border>
      <left style="medium">
        <color theme="6" tint="0.39994506668294322"/>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diagonal/>
    </border>
    <border>
      <left style="medium">
        <color theme="6" tint="0.39994506668294322"/>
      </left>
      <right style="medium">
        <color theme="6" tint="0.39994506668294322"/>
      </right>
      <top style="medium">
        <color theme="6" tint="0.39994506668294322"/>
      </top>
      <bottom/>
      <diagonal/>
    </border>
    <border>
      <left style="medium">
        <color theme="6" tint="0.39994506668294322"/>
      </left>
      <right/>
      <top style="medium">
        <color theme="6" tint="0.39994506668294322"/>
      </top>
      <bottom/>
      <diagonal/>
    </border>
    <border>
      <left/>
      <right style="medium">
        <color theme="6" tint="0.39994506668294322"/>
      </right>
      <top style="medium">
        <color theme="6" tint="0.39991454817346722"/>
      </top>
      <bottom style="medium">
        <color theme="6" tint="0.39994506668294322"/>
      </bottom>
      <diagonal/>
    </border>
    <border>
      <left style="medium">
        <color theme="6" tint="0.39994506668294322"/>
      </left>
      <right style="medium">
        <color theme="6" tint="0.39994506668294322"/>
      </right>
      <top style="medium">
        <color theme="6" tint="0.39991454817346722"/>
      </top>
      <bottom style="medium">
        <color theme="6" tint="0.39994506668294322"/>
      </bottom>
      <diagonal/>
    </border>
    <border>
      <left style="medium">
        <color theme="6" tint="0.39994506668294322"/>
      </left>
      <right/>
      <top style="medium">
        <color theme="6" tint="0.39991454817346722"/>
      </top>
      <bottom style="medium">
        <color theme="6" tint="0.39994506668294322"/>
      </bottom>
      <diagonal/>
    </border>
    <border>
      <left style="medium">
        <color theme="6" tint="0.39988402966399123"/>
      </left>
      <right/>
      <top style="medium">
        <color theme="6" tint="0.39991454817346722"/>
      </top>
      <bottom style="medium">
        <color theme="6" tint="0.39994506668294322"/>
      </bottom>
      <diagonal/>
    </border>
    <border>
      <left style="medium">
        <color theme="6" tint="0.39988402966399123"/>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style="medium">
        <color theme="6" tint="0.39985351115451523"/>
      </bottom>
      <diagonal/>
    </border>
    <border>
      <left style="medium">
        <color theme="6" tint="0.39994506668294322"/>
      </left>
      <right style="medium">
        <color theme="6" tint="0.39994506668294322"/>
      </right>
      <top style="medium">
        <color theme="6" tint="0.39994506668294322"/>
      </top>
      <bottom style="medium">
        <color theme="6" tint="0.39985351115451523"/>
      </bottom>
      <diagonal/>
    </border>
    <border>
      <left style="medium">
        <color theme="6" tint="0.39994506668294322"/>
      </left>
      <right/>
      <top style="medium">
        <color theme="6" tint="0.39994506668294322"/>
      </top>
      <bottom style="medium">
        <color theme="6" tint="0.39985351115451523"/>
      </bottom>
      <diagonal/>
    </border>
    <border>
      <left style="medium">
        <color theme="6" tint="0.39988402966399123"/>
      </left>
      <right style="medium">
        <color theme="6" tint="0.39985351115451523"/>
      </right>
      <top style="medium">
        <color theme="6" tint="0.39994506668294322"/>
      </top>
      <bottom style="medium">
        <color theme="6" tint="0.39985351115451523"/>
      </bottom>
      <diagonal/>
    </border>
    <border>
      <left/>
      <right style="medium">
        <color theme="6" tint="0.39997558519241921"/>
      </right>
      <top style="medium">
        <color theme="6" tint="0.39997558519241921"/>
      </top>
      <bottom style="medium">
        <color theme="6" tint="0.39997558519241921"/>
      </bottom>
      <diagonal/>
    </border>
    <border>
      <left/>
      <right style="medium">
        <color theme="6" tint="0.39994506668294322"/>
      </right>
      <top/>
      <bottom style="medium">
        <color theme="6"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10" borderId="0"/>
    <xf numFmtId="0" fontId="8" fillId="0" borderId="0" applyNumberFormat="0" applyFill="0" applyProtection="0">
      <alignment vertical="center"/>
    </xf>
    <xf numFmtId="0" fontId="17" fillId="4" borderId="0" applyNumberFormat="0" applyProtection="0">
      <alignment vertical="center"/>
    </xf>
    <xf numFmtId="0" fontId="10" fillId="2" borderId="0" applyNumberFormat="0" applyProtection="0">
      <alignment vertical="center"/>
    </xf>
    <xf numFmtId="0" fontId="9" fillId="3" borderId="1" applyNumberFormat="0" applyProtection="0">
      <alignment horizontal="left" vertical="center" indent="1"/>
    </xf>
    <xf numFmtId="0" fontId="12" fillId="0" borderId="0" applyNumberFormat="0" applyFill="0" applyBorder="0" applyAlignment="0" applyProtection="0"/>
    <xf numFmtId="43" fontId="41" fillId="0" borderId="0" applyFont="0" applyFill="0" applyBorder="0" applyAlignment="0" applyProtection="0"/>
    <xf numFmtId="41" fontId="41" fillId="0" borderId="0" applyFont="0" applyFill="0" applyBorder="0" applyAlignment="0" applyProtection="0"/>
    <xf numFmtId="166" fontId="41" fillId="0" borderId="0" applyFont="0" applyFill="0" applyBorder="0" applyAlignment="0" applyProtection="0"/>
    <xf numFmtId="165" fontId="41" fillId="0" borderId="0" applyFont="0" applyFill="0" applyBorder="0" applyAlignment="0" applyProtection="0"/>
    <xf numFmtId="9" fontId="41" fillId="0" borderId="0" applyFont="0" applyFill="0" applyBorder="0" applyAlignment="0" applyProtection="0"/>
    <xf numFmtId="0" fontId="42" fillId="0" borderId="0" applyNumberFormat="0" applyFill="0" applyBorder="0" applyAlignment="0" applyProtection="0"/>
    <xf numFmtId="0" fontId="43" fillId="14" borderId="0" applyNumberFormat="0" applyBorder="0" applyAlignment="0" applyProtection="0"/>
    <xf numFmtId="0" fontId="44" fillId="15" borderId="0" applyNumberFormat="0" applyBorder="0" applyAlignment="0" applyProtection="0"/>
    <xf numFmtId="0" fontId="45" fillId="16" borderId="0" applyNumberFormat="0" applyBorder="0" applyAlignment="0" applyProtection="0"/>
    <xf numFmtId="0" fontId="46" fillId="17" borderId="33" applyNumberFormat="0" applyAlignment="0" applyProtection="0"/>
    <xf numFmtId="0" fontId="47" fillId="18" borderId="34" applyNumberFormat="0" applyAlignment="0" applyProtection="0"/>
    <xf numFmtId="0" fontId="48" fillId="18" borderId="33" applyNumberFormat="0" applyAlignment="0" applyProtection="0"/>
    <xf numFmtId="0" fontId="49" fillId="0" borderId="35" applyNumberFormat="0" applyFill="0" applyAlignment="0" applyProtection="0"/>
    <xf numFmtId="0" fontId="50" fillId="19" borderId="36" applyNumberFormat="0" applyAlignment="0" applyProtection="0"/>
    <xf numFmtId="0" fontId="51" fillId="0" borderId="0" applyNumberFormat="0" applyFill="0" applyBorder="0" applyAlignment="0" applyProtection="0"/>
    <xf numFmtId="0" fontId="41" fillId="20" borderId="37" applyNumberFormat="0" applyFont="0" applyAlignment="0" applyProtection="0"/>
    <xf numFmtId="0" fontId="52" fillId="0" borderId="38" applyNumberFormat="0" applyFill="0" applyAlignment="0" applyProtection="0"/>
    <xf numFmtId="0" fontId="5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3"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cellStyleXfs>
  <cellXfs count="130">
    <xf numFmtId="0" fontId="0" fillId="10" borderId="0" xfId="0"/>
    <xf numFmtId="0" fontId="2" fillId="10" borderId="0" xfId="0" applyFont="1"/>
    <xf numFmtId="0" fontId="4" fillId="10" borderId="0" xfId="0" applyFont="1"/>
    <xf numFmtId="9" fontId="0" fillId="10" borderId="0" xfId="0" applyNumberFormat="1" applyAlignment="1">
      <alignment horizontal="right"/>
    </xf>
    <xf numFmtId="0" fontId="2" fillId="4" borderId="0" xfId="0" applyFont="1" applyFill="1" applyAlignment="1">
      <alignment horizontal="left" vertical="top" indent="1"/>
    </xf>
    <xf numFmtId="0" fontId="3" fillId="4" borderId="0" xfId="0" applyFont="1" applyFill="1" applyAlignment="1">
      <alignment horizontal="left" vertical="top" indent="1"/>
    </xf>
    <xf numFmtId="0" fontId="5" fillId="4" borderId="0" xfId="0" applyFont="1" applyFill="1" applyAlignment="1">
      <alignment horizontal="left" vertical="top" indent="1"/>
    </xf>
    <xf numFmtId="0" fontId="2" fillId="8" borderId="0" xfId="0" applyFont="1" applyFill="1" applyAlignment="1">
      <alignment horizontal="left" vertical="top" indent="1"/>
    </xf>
    <xf numFmtId="0" fontId="22" fillId="10" borderId="0" xfId="0" applyFont="1"/>
    <xf numFmtId="0" fontId="21" fillId="9" borderId="0" xfId="3" applyFont="1" applyFill="1" applyAlignment="1">
      <alignment horizontal="left" vertical="center" indent="1"/>
    </xf>
    <xf numFmtId="0" fontId="16" fillId="4" borderId="5" xfId="0" applyFont="1" applyFill="1" applyBorder="1" applyAlignment="1">
      <alignment horizontal="left" vertical="center" indent="1"/>
    </xf>
    <xf numFmtId="0" fontId="4" fillId="10" borderId="4" xfId="0" applyFont="1" applyBorder="1"/>
    <xf numFmtId="0" fontId="17" fillId="4" borderId="0" xfId="2" applyAlignment="1"/>
    <xf numFmtId="0" fontId="10" fillId="6" borderId="0" xfId="3" applyFill="1" applyAlignment="1">
      <alignment horizontal="left" vertical="center" indent="2"/>
    </xf>
    <xf numFmtId="0" fontId="10" fillId="5" borderId="0" xfId="3" applyFill="1" applyAlignment="1">
      <alignment horizontal="left" vertical="center" indent="2"/>
    </xf>
    <xf numFmtId="0" fontId="10" fillId="7" borderId="0" xfId="3" applyFill="1" applyAlignment="1">
      <alignment horizontal="left" vertical="center" indent="2"/>
    </xf>
    <xf numFmtId="0" fontId="10" fillId="4" borderId="0" xfId="3" applyFill="1" applyAlignment="1">
      <alignment horizontal="left" vertical="center" indent="2"/>
    </xf>
    <xf numFmtId="0" fontId="0" fillId="11" borderId="2" xfId="0" applyFill="1" applyBorder="1" applyAlignment="1">
      <alignment horizontal="left" vertical="center" indent="2"/>
    </xf>
    <xf numFmtId="9" fontId="0" fillId="11" borderId="2" xfId="0" applyNumberFormat="1" applyFill="1" applyBorder="1" applyAlignment="1">
      <alignment horizontal="right" vertical="center" indent="2"/>
    </xf>
    <xf numFmtId="0" fontId="23" fillId="12" borderId="0" xfId="3" applyFont="1" applyFill="1" applyAlignment="1">
      <alignment horizontal="left"/>
    </xf>
    <xf numFmtId="0" fontId="23" fillId="12" borderId="0" xfId="3" applyFont="1" applyFill="1" applyAlignment="1">
      <alignment horizontal="center"/>
    </xf>
    <xf numFmtId="0" fontId="11" fillId="9" borderId="3" xfId="3" applyFont="1" applyFill="1" applyBorder="1" applyAlignment="1">
      <alignment horizontal="left" vertical="center" indent="1"/>
    </xf>
    <xf numFmtId="0" fontId="16" fillId="4" borderId="7" xfId="0" applyFont="1" applyFill="1" applyBorder="1" applyAlignment="1">
      <alignment horizontal="left" vertical="center" indent="1"/>
    </xf>
    <xf numFmtId="0" fontId="28" fillId="9" borderId="3" xfId="3" applyFont="1" applyFill="1" applyBorder="1">
      <alignment vertical="center"/>
    </xf>
    <xf numFmtId="0" fontId="20" fillId="10" borderId="0" xfId="0" applyFont="1" applyAlignment="1">
      <alignment wrapText="1"/>
    </xf>
    <xf numFmtId="0" fontId="21" fillId="9" borderId="3" xfId="3" applyFont="1" applyFill="1" applyBorder="1" applyAlignment="1">
      <alignment horizontal="left" vertical="center" indent="1"/>
    </xf>
    <xf numFmtId="0" fontId="30" fillId="9" borderId="0" xfId="3" applyFont="1" applyFill="1">
      <alignment vertical="center"/>
    </xf>
    <xf numFmtId="0" fontId="0" fillId="10" borderId="0" xfId="0" applyAlignment="1">
      <alignment vertical="center"/>
    </xf>
    <xf numFmtId="0" fontId="32" fillId="8" borderId="0" xfId="2" applyFont="1" applyFill="1" applyAlignment="1">
      <alignment horizontal="center" vertical="center"/>
    </xf>
    <xf numFmtId="0" fontId="33" fillId="8" borderId="0" xfId="0" applyFont="1" applyFill="1" applyAlignment="1">
      <alignment horizontal="left" vertical="top" indent="1"/>
    </xf>
    <xf numFmtId="0" fontId="34" fillId="10" borderId="0" xfId="0" applyFont="1"/>
    <xf numFmtId="0" fontId="33" fillId="8" borderId="0" xfId="0" applyFont="1" applyFill="1" applyAlignment="1">
      <alignment horizontal="left" vertical="top" wrapText="1" indent="1"/>
    </xf>
    <xf numFmtId="0" fontId="33" fillId="8" borderId="0" xfId="0" applyFont="1" applyFill="1" applyAlignment="1">
      <alignment horizontal="left" vertical="top" wrapText="1"/>
    </xf>
    <xf numFmtId="0" fontId="34" fillId="10" borderId="0" xfId="0" applyFont="1" applyAlignment="1">
      <alignment wrapText="1"/>
    </xf>
    <xf numFmtId="0" fontId="35" fillId="10" borderId="0" xfId="0" applyFont="1" applyAlignment="1">
      <alignment vertical="center" wrapText="1"/>
    </xf>
    <xf numFmtId="0" fontId="2" fillId="10" borderId="0" xfId="0" applyFont="1" applyAlignment="1">
      <alignment wrapText="1"/>
    </xf>
    <xf numFmtId="0" fontId="0" fillId="11" borderId="5" xfId="0" applyFill="1" applyBorder="1" applyAlignment="1">
      <alignment horizontal="left" vertical="center" indent="2"/>
    </xf>
    <xf numFmtId="9" fontId="0" fillId="11" borderId="5" xfId="0" applyNumberFormat="1" applyFill="1" applyBorder="1" applyAlignment="1">
      <alignment horizontal="right" vertical="center" indent="2"/>
    </xf>
    <xf numFmtId="0" fontId="34" fillId="10" borderId="6" xfId="0" applyFont="1" applyBorder="1"/>
    <xf numFmtId="0" fontId="36" fillId="10" borderId="0" xfId="0" applyFont="1" applyAlignment="1">
      <alignment vertical="center" wrapText="1"/>
    </xf>
    <xf numFmtId="0" fontId="36" fillId="10" borderId="0" xfId="0" applyFont="1" applyAlignment="1">
      <alignment wrapText="1"/>
    </xf>
    <xf numFmtId="0" fontId="37" fillId="10" borderId="0" xfId="0" applyFont="1" applyAlignment="1">
      <alignment vertical="center" wrapText="1"/>
    </xf>
    <xf numFmtId="0" fontId="24" fillId="6" borderId="9" xfId="4" applyFont="1" applyFill="1" applyBorder="1">
      <alignment horizontal="left" vertical="center" indent="1"/>
    </xf>
    <xf numFmtId="0" fontId="16" fillId="4" borderId="10" xfId="0" applyFont="1" applyFill="1" applyBorder="1" applyAlignment="1">
      <alignment horizontal="left" vertical="center" indent="1"/>
    </xf>
    <xf numFmtId="0" fontId="6" fillId="11" borderId="12" xfId="0" applyFont="1" applyFill="1" applyBorder="1" applyAlignment="1">
      <alignment horizontal="left" vertical="center" indent="1"/>
    </xf>
    <xf numFmtId="0" fontId="6" fillId="11" borderId="12" xfId="0" applyFont="1" applyFill="1" applyBorder="1" applyAlignment="1">
      <alignment horizontal="left" vertical="center" indent="2"/>
    </xf>
    <xf numFmtId="0" fontId="24" fillId="5" borderId="14" xfId="4" applyFont="1" applyFill="1" applyBorder="1">
      <alignment horizontal="left" vertical="center" indent="1"/>
    </xf>
    <xf numFmtId="0" fontId="24" fillId="5" borderId="9" xfId="4" applyFont="1" applyFill="1" applyBorder="1">
      <alignment horizontal="left" vertical="center" indent="1"/>
    </xf>
    <xf numFmtId="0" fontId="24" fillId="5" borderId="25" xfId="4" applyFont="1" applyFill="1" applyBorder="1">
      <alignment horizontal="left" vertical="center" indent="1"/>
    </xf>
    <xf numFmtId="0" fontId="24" fillId="7" borderId="14" xfId="4" applyFont="1" applyFill="1" applyBorder="1">
      <alignment horizontal="left" vertical="center" indent="1"/>
    </xf>
    <xf numFmtId="0" fontId="24" fillId="6" borderId="14" xfId="4" applyFont="1" applyFill="1" applyBorder="1">
      <alignment horizontal="left" vertical="center" indent="1"/>
    </xf>
    <xf numFmtId="0" fontId="20" fillId="12" borderId="16" xfId="4" applyFont="1" applyFill="1" applyBorder="1" applyAlignment="1">
      <alignment horizontal="center" vertical="center"/>
    </xf>
    <xf numFmtId="0" fontId="6" fillId="11" borderId="30" xfId="0" applyFont="1" applyFill="1" applyBorder="1" applyAlignment="1">
      <alignment horizontal="left" vertical="center" indent="2"/>
    </xf>
    <xf numFmtId="0" fontId="40" fillId="4" borderId="0" xfId="0" applyFont="1" applyFill="1" applyAlignment="1">
      <alignment horizontal="left" vertical="top" indent="1"/>
    </xf>
    <xf numFmtId="0" fontId="16" fillId="4" borderId="17" xfId="0" applyFont="1" applyFill="1" applyBorder="1" applyAlignment="1">
      <alignment horizontal="left" vertical="center" indent="1"/>
    </xf>
    <xf numFmtId="0" fontId="27" fillId="11" borderId="19" xfId="0" applyFont="1" applyFill="1" applyBorder="1" applyAlignment="1">
      <alignment horizontal="left" vertical="center" indent="1"/>
    </xf>
    <xf numFmtId="0" fontId="27" fillId="11" borderId="11" xfId="0" applyFont="1" applyFill="1" applyBorder="1" applyAlignment="1">
      <alignment horizontal="left" vertical="center" indent="1"/>
    </xf>
    <xf numFmtId="0" fontId="27" fillId="11" borderId="19" xfId="0" applyFont="1" applyFill="1" applyBorder="1" applyAlignment="1">
      <alignment horizontal="left" vertical="center" indent="2"/>
    </xf>
    <xf numFmtId="0" fontId="24" fillId="7" borderId="9" xfId="4" applyFont="1" applyFill="1" applyBorder="1">
      <alignment horizontal="left" vertical="center" indent="1"/>
    </xf>
    <xf numFmtId="0" fontId="16" fillId="4" borderId="4" xfId="0" applyFont="1" applyFill="1" applyBorder="1" applyAlignment="1">
      <alignment horizontal="left" vertical="center" indent="1"/>
    </xf>
    <xf numFmtId="0" fontId="30" fillId="9" borderId="32" xfId="3" applyFont="1" applyFill="1" applyBorder="1">
      <alignment vertical="center"/>
    </xf>
    <xf numFmtId="0" fontId="19" fillId="11" borderId="19" xfId="0" applyFont="1" applyFill="1" applyBorder="1" applyAlignment="1">
      <alignment horizontal="left" vertical="center" indent="1"/>
    </xf>
    <xf numFmtId="0" fontId="18" fillId="11" borderId="19" xfId="0" applyFont="1" applyFill="1" applyBorder="1" applyAlignment="1">
      <alignment horizontal="left" vertical="center" indent="2"/>
    </xf>
    <xf numFmtId="0" fontId="6" fillId="11" borderId="19" xfId="0" applyFont="1" applyFill="1" applyBorder="1" applyAlignment="1">
      <alignment horizontal="left" vertical="center" indent="1"/>
    </xf>
    <xf numFmtId="0" fontId="19" fillId="11" borderId="19" xfId="0" applyFont="1" applyFill="1" applyBorder="1" applyAlignment="1">
      <alignment horizontal="left" vertical="center" indent="2"/>
    </xf>
    <xf numFmtId="0" fontId="0" fillId="11" borderId="2" xfId="0" applyFill="1" applyBorder="1" applyAlignment="1">
      <alignment horizontal="left" vertical="center" indent="1"/>
    </xf>
    <xf numFmtId="0" fontId="16" fillId="4" borderId="26" xfId="0" applyFont="1" applyFill="1" applyBorder="1" applyAlignment="1">
      <alignment horizontal="left" vertical="center" indent="1"/>
    </xf>
    <xf numFmtId="0" fontId="0" fillId="10" borderId="0" xfId="0" applyAlignment="1">
      <alignment horizontal="left" indent="1"/>
    </xf>
    <xf numFmtId="0" fontId="4" fillId="10" borderId="0" xfId="0" applyFont="1" applyAlignment="1">
      <alignment horizontal="left"/>
    </xf>
    <xf numFmtId="0" fontId="29" fillId="4" borderId="0" xfId="0" applyFont="1" applyFill="1" applyAlignment="1">
      <alignment horizontal="center" vertical="top"/>
    </xf>
    <xf numFmtId="0" fontId="6" fillId="10" borderId="0" xfId="0" applyFont="1" applyAlignment="1">
      <alignment horizontal="center"/>
    </xf>
    <xf numFmtId="0" fontId="4" fillId="10" borderId="0" xfId="0" applyFont="1" applyAlignment="1">
      <alignment horizontal="center"/>
    </xf>
    <xf numFmtId="0" fontId="13" fillId="8" borderId="0" xfId="1" applyFont="1" applyFill="1" applyAlignment="1">
      <alignment horizontal="left" vertical="top" indent="1"/>
    </xf>
    <xf numFmtId="0" fontId="4" fillId="10" borderId="0" xfId="0" applyFont="1" applyAlignment="1">
      <alignment horizontal="left" indent="1"/>
    </xf>
    <xf numFmtId="0" fontId="39" fillId="4" borderId="0" xfId="2" applyFont="1" applyAlignment="1">
      <alignment horizontal="center" wrapText="1"/>
    </xf>
    <xf numFmtId="167" fontId="0" fillId="10" borderId="0" xfId="0" applyNumberFormat="1" applyAlignment="1">
      <alignment horizontal="right"/>
    </xf>
    <xf numFmtId="0" fontId="23" fillId="12" borderId="0" xfId="3" applyNumberFormat="1" applyFont="1" applyFill="1" applyAlignment="1">
      <alignment horizontal="center"/>
    </xf>
    <xf numFmtId="0" fontId="20" fillId="12" borderId="14" xfId="4" applyNumberFormat="1" applyFont="1" applyFill="1" applyBorder="1" applyAlignment="1">
      <alignment horizontal="center" vertical="center"/>
    </xf>
    <xf numFmtId="0" fontId="20" fillId="12" borderId="15" xfId="4" applyNumberFormat="1" applyFont="1" applyFill="1" applyBorder="1" applyAlignment="1">
      <alignment horizontal="center" vertical="center"/>
    </xf>
    <xf numFmtId="164" fontId="14" fillId="13" borderId="17" xfId="0" applyNumberFormat="1" applyFont="1" applyFill="1" applyBorder="1" applyAlignment="1">
      <alignment horizontal="right" vertical="center"/>
    </xf>
    <xf numFmtId="164" fontId="14" fillId="13" borderId="13" xfId="0" applyNumberFormat="1" applyFont="1" applyFill="1" applyBorder="1" applyAlignment="1">
      <alignment horizontal="right" vertical="center"/>
    </xf>
    <xf numFmtId="164" fontId="14" fillId="11" borderId="18" xfId="0" applyNumberFormat="1" applyFont="1" applyFill="1" applyBorder="1" applyAlignment="1">
      <alignment horizontal="right" vertical="center"/>
    </xf>
    <xf numFmtId="164" fontId="14" fillId="11" borderId="19" xfId="0" applyNumberFormat="1" applyFont="1" applyFill="1" applyBorder="1" applyAlignment="1">
      <alignment horizontal="right" vertical="center"/>
    </xf>
    <xf numFmtId="164" fontId="14" fillId="11" borderId="20" xfId="0" applyNumberFormat="1" applyFont="1" applyFill="1" applyBorder="1" applyAlignment="1">
      <alignment horizontal="right" vertical="center"/>
    </xf>
    <xf numFmtId="164" fontId="14" fillId="11" borderId="21" xfId="0" applyNumberFormat="1" applyFont="1" applyFill="1" applyBorder="1" applyAlignment="1">
      <alignment horizontal="right" vertical="center"/>
    </xf>
    <xf numFmtId="168" fontId="4" fillId="10" borderId="0" xfId="0" applyNumberFormat="1" applyFont="1" applyAlignment="1">
      <alignment horizontal="right"/>
    </xf>
    <xf numFmtId="168" fontId="6" fillId="10" borderId="0" xfId="0" applyNumberFormat="1" applyFont="1" applyAlignment="1">
      <alignment horizontal="right"/>
    </xf>
    <xf numFmtId="0" fontId="20" fillId="12" borderId="22" xfId="4" applyNumberFormat="1" applyFont="1" applyFill="1" applyBorder="1">
      <alignment horizontal="left" vertical="center" indent="1"/>
    </xf>
    <xf numFmtId="0" fontId="20" fillId="12" borderId="23" xfId="4" applyNumberFormat="1" applyFont="1" applyFill="1" applyBorder="1">
      <alignment horizontal="left" vertical="center" indent="1"/>
    </xf>
    <xf numFmtId="0" fontId="20" fillId="12" borderId="24" xfId="4" applyNumberFormat="1" applyFont="1" applyFill="1" applyBorder="1">
      <alignment horizontal="left" vertical="center" indent="1"/>
    </xf>
    <xf numFmtId="164" fontId="14" fillId="11" borderId="27" xfId="0" applyNumberFormat="1" applyFont="1" applyFill="1" applyBorder="1" applyAlignment="1">
      <alignment horizontal="right" vertical="center"/>
    </xf>
    <xf numFmtId="164" fontId="14" fillId="11" borderId="28" xfId="0" applyNumberFormat="1" applyFont="1" applyFill="1" applyBorder="1" applyAlignment="1">
      <alignment horizontal="right" vertical="center"/>
    </xf>
    <xf numFmtId="164" fontId="14" fillId="11" borderId="29" xfId="0" applyNumberFormat="1" applyFont="1" applyFill="1" applyBorder="1" applyAlignment="1">
      <alignment horizontal="right" vertical="center"/>
    </xf>
    <xf numFmtId="168" fontId="7" fillId="10" borderId="0" xfId="0" applyNumberFormat="1" applyFont="1" applyAlignment="1">
      <alignment horizontal="right"/>
    </xf>
    <xf numFmtId="0" fontId="20" fillId="12" borderId="15" xfId="4" applyNumberFormat="1" applyFont="1" applyFill="1" applyBorder="1">
      <alignment horizontal="left" vertical="center" indent="1"/>
    </xf>
    <xf numFmtId="0" fontId="20" fillId="12" borderId="16" xfId="4" applyNumberFormat="1" applyFont="1" applyFill="1" applyBorder="1">
      <alignment horizontal="left" vertical="center" indent="1"/>
    </xf>
    <xf numFmtId="164" fontId="0" fillId="13" borderId="17" xfId="0" applyNumberFormat="1" applyFill="1" applyBorder="1" applyAlignment="1">
      <alignment horizontal="right" vertical="center"/>
    </xf>
    <xf numFmtId="164" fontId="0" fillId="13" borderId="13" xfId="0" applyNumberFormat="1" applyFill="1" applyBorder="1" applyAlignment="1">
      <alignment horizontal="right" vertical="center"/>
    </xf>
    <xf numFmtId="164" fontId="0" fillId="11" borderId="18" xfId="0" applyNumberFormat="1" applyFill="1" applyBorder="1" applyAlignment="1">
      <alignment horizontal="right" vertical="center"/>
    </xf>
    <xf numFmtId="164" fontId="0" fillId="11" borderId="19" xfId="0" applyNumberFormat="1" applyFill="1" applyBorder="1" applyAlignment="1">
      <alignment horizontal="right" vertical="center"/>
    </xf>
    <xf numFmtId="164" fontId="0" fillId="11" borderId="20" xfId="0" applyNumberFormat="1" applyFill="1" applyBorder="1" applyAlignment="1">
      <alignment horizontal="right" vertical="center"/>
    </xf>
    <xf numFmtId="164" fontId="0" fillId="11" borderId="21" xfId="0" applyNumberFormat="1" applyFill="1" applyBorder="1" applyAlignment="1">
      <alignment horizontal="right" vertical="center"/>
    </xf>
    <xf numFmtId="164" fontId="15" fillId="11" borderId="5" xfId="0" applyNumberFormat="1" applyFont="1" applyFill="1" applyBorder="1" applyAlignment="1">
      <alignment horizontal="right" vertical="center"/>
    </xf>
    <xf numFmtId="164" fontId="15" fillId="11" borderId="2" xfId="0" applyNumberFormat="1" applyFont="1" applyFill="1" applyBorder="1" applyAlignment="1">
      <alignment horizontal="right" vertical="center"/>
    </xf>
    <xf numFmtId="0" fontId="20" fillId="12" borderId="14" xfId="4" applyNumberFormat="1" applyFont="1" applyFill="1" applyBorder="1">
      <alignment horizontal="left" vertical="center" indent="1"/>
    </xf>
    <xf numFmtId="164" fontId="0" fillId="11" borderId="19" xfId="0" applyNumberFormat="1" applyFill="1" applyBorder="1" applyAlignment="1">
      <alignment vertical="center"/>
    </xf>
    <xf numFmtId="164" fontId="0" fillId="11" borderId="20" xfId="0" applyNumberFormat="1" applyFill="1" applyBorder="1" applyAlignment="1">
      <alignment vertical="center"/>
    </xf>
    <xf numFmtId="164" fontId="0" fillId="11" borderId="21" xfId="0" applyNumberFormat="1" applyFill="1" applyBorder="1" applyAlignment="1">
      <alignment vertical="center"/>
    </xf>
    <xf numFmtId="164" fontId="25" fillId="11" borderId="20" xfId="0" applyNumberFormat="1" applyFont="1" applyFill="1" applyBorder="1" applyAlignment="1">
      <alignment horizontal="right" vertical="center"/>
    </xf>
    <xf numFmtId="164" fontId="15" fillId="11" borderId="31" xfId="0" applyNumberFormat="1" applyFont="1" applyFill="1" applyBorder="1" applyAlignment="1">
      <alignment horizontal="right"/>
    </xf>
    <xf numFmtId="164" fontId="15" fillId="11" borderId="2" xfId="0" applyNumberFormat="1" applyFont="1" applyFill="1" applyBorder="1" applyAlignment="1">
      <alignment horizontal="right"/>
    </xf>
    <xf numFmtId="164" fontId="15" fillId="11" borderId="6" xfId="0" applyNumberFormat="1" applyFont="1" applyFill="1" applyBorder="1" applyAlignment="1">
      <alignment horizontal="right"/>
    </xf>
    <xf numFmtId="164" fontId="15" fillId="11" borderId="8" xfId="0" applyNumberFormat="1" applyFont="1" applyFill="1" applyBorder="1" applyAlignment="1">
      <alignment horizontal="right"/>
    </xf>
    <xf numFmtId="164" fontId="15" fillId="11" borderId="5" xfId="0" applyNumberFormat="1" applyFont="1" applyFill="1" applyBorder="1" applyAlignment="1">
      <alignment horizontal="right"/>
    </xf>
    <xf numFmtId="0" fontId="20" fillId="12" borderId="15" xfId="4" applyNumberFormat="1" applyFont="1" applyFill="1" applyBorder="1" applyAlignment="1">
      <alignment horizontal="left"/>
    </xf>
    <xf numFmtId="0" fontId="20" fillId="12" borderId="16" xfId="4" applyNumberFormat="1" applyFont="1" applyFill="1" applyBorder="1" applyAlignment="1">
      <alignment horizontal="left"/>
    </xf>
    <xf numFmtId="164" fontId="14" fillId="11" borderId="20" xfId="0" applyNumberFormat="1" applyFont="1" applyFill="1" applyBorder="1" applyAlignment="1">
      <alignment vertical="center"/>
    </xf>
    <xf numFmtId="164" fontId="26" fillId="11" borderId="2" xfId="0" applyNumberFormat="1" applyFont="1" applyFill="1" applyBorder="1" applyAlignment="1">
      <alignment horizontal="right"/>
    </xf>
    <xf numFmtId="164" fontId="26" fillId="11" borderId="8" xfId="0" applyNumberFormat="1" applyFont="1" applyFill="1" applyBorder="1" applyAlignment="1">
      <alignment horizontal="right"/>
    </xf>
    <xf numFmtId="164" fontId="0" fillId="11" borderId="2" xfId="0" applyNumberFormat="1" applyFill="1" applyBorder="1" applyAlignment="1">
      <alignment horizontal="right" vertical="center" indent="2"/>
    </xf>
    <xf numFmtId="164" fontId="0" fillId="11" borderId="5" xfId="0" applyNumberFormat="1" applyFill="1" applyBorder="1" applyAlignment="1">
      <alignment horizontal="right" vertical="center" indent="2"/>
    </xf>
    <xf numFmtId="0" fontId="20" fillId="10" borderId="0" xfId="0" applyFont="1" applyAlignment="1">
      <alignment wrapText="1"/>
    </xf>
    <xf numFmtId="0" fontId="20" fillId="10" borderId="0" xfId="0" applyFont="1"/>
    <xf numFmtId="0" fontId="17" fillId="4" borderId="0" xfId="2" applyAlignment="1">
      <alignment horizontal="left" indent="1"/>
    </xf>
    <xf numFmtId="0" fontId="12" fillId="4" borderId="0" xfId="5" applyFill="1" applyAlignment="1">
      <alignment horizontal="left" vertical="top" indent="1"/>
    </xf>
    <xf numFmtId="0" fontId="38" fillId="4" borderId="0" xfId="5" applyFont="1" applyFill="1" applyAlignment="1">
      <alignment horizontal="left" vertical="top" indent="1"/>
    </xf>
    <xf numFmtId="0" fontId="17" fillId="4" borderId="0" xfId="2" applyAlignment="1">
      <alignment horizontal="right" vertical="center" indent="3"/>
    </xf>
    <xf numFmtId="0" fontId="31" fillId="11" borderId="0" xfId="0" applyFont="1" applyFill="1" applyAlignment="1">
      <alignment horizontal="center"/>
    </xf>
    <xf numFmtId="0" fontId="3" fillId="8" borderId="0" xfId="0" applyNumberFormat="1" applyFont="1" applyFill="1" applyAlignment="1">
      <alignment horizontal="left" vertical="top" indent="1"/>
    </xf>
    <xf numFmtId="0" fontId="5" fillId="8" borderId="0" xfId="0" applyNumberFormat="1" applyFont="1" applyFill="1" applyAlignment="1">
      <alignment horizontal="left" vertical="top"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5" builtinId="53" customBuiltin="1"/>
    <cellStyle name="Good" xfId="12"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10" builtinId="5" customBuiltin="1"/>
    <cellStyle name="Title" xfId="11" builtinId="15" customBuiltin="1"/>
    <cellStyle name="Total" xfId="22" builtinId="25" customBuiltin="1"/>
    <cellStyle name="Warning Text" xfId="20" builtinId="11" customBuiltin="1"/>
  </cellStyles>
  <dxfs count="468">
    <dxf>
      <font>
        <b val="0"/>
        <i val="0"/>
        <strike val="0"/>
        <condense val="0"/>
        <extend val="0"/>
        <outline val="0"/>
        <shadow val="0"/>
        <u val="none"/>
        <vertAlign val="baseline"/>
        <sz val="9"/>
        <color theme="1" tint="0.24994659260841701"/>
        <name val="Microsoft Sans Serif"/>
        <family val="2"/>
        <scheme val="minor"/>
      </font>
      <numFmt numFmtId="13" formatCode="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0" formatCode="General"/>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border outline="0">
        <bottom style="medium">
          <color theme="6" tint="0.39997558519241921"/>
        </bottom>
      </border>
    </dxf>
    <dxf>
      <font>
        <b val="0"/>
        <i val="0"/>
        <strike val="0"/>
        <condense val="0"/>
        <extend val="0"/>
        <outline val="0"/>
        <shadow val="0"/>
        <u val="none"/>
        <vertAlign val="baseline"/>
        <sz val="9"/>
        <color theme="1" tint="0.24994659260841701"/>
        <name val="Microsoft Sans Serif"/>
        <family val="2"/>
        <scheme val="minor"/>
      </font>
      <fill>
        <patternFill patternType="solid">
          <fgColor indexed="64"/>
          <bgColor theme="6" tint="0.79998168889431442"/>
        </patternFill>
      </fill>
      <alignment horizontal="right" vertical="center" textRotation="0" wrapText="0" indent="2" justifyLastLine="0" shrinkToFit="0" readingOrder="0"/>
    </dxf>
    <dxf>
      <font>
        <b/>
        <i val="0"/>
        <strike val="0"/>
        <condense val="0"/>
        <extend val="0"/>
        <outline val="0"/>
        <shadow val="0"/>
        <u val="none"/>
        <vertAlign val="baseline"/>
        <sz val="9"/>
        <color auto="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border outline="0">
        <bottom style="medium">
          <color theme="6" tint="0.39997558519241921"/>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7"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4"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4"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4"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color theme="1"/>
        <name val="Microsoft Sans Serif"/>
        <family val="2"/>
        <scheme val="minor"/>
      </font>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color theme="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7" formatCode="#,##0.00\ &quot;€&quot;;[Red]#,##0.00\ &quot;€&quo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theme="6" tint="0.39994506668294322"/>
        </left>
        <right/>
        <top style="medium">
          <color theme="6" tint="0.39994506668294322"/>
        </top>
        <bottom/>
      </border>
    </dxf>
    <dxf>
      <font>
        <b val="0"/>
      </font>
      <numFmt numFmtId="164" formatCode="#,##0.00\ &quot;€&quot;;[Red]\-#,##0.00\ &quot;€&quot;"/>
      <fill>
        <patternFill patternType="solid">
          <fgColor indexed="64"/>
          <bgColor theme="6" tint="0.79998168889431442"/>
        </patternFill>
      </fill>
      <border diagonalUp="0" diagonalDown="0">
        <left style="medium">
          <color theme="6" tint="0.39994506668294322"/>
        </left>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border>
    </dxf>
    <dxf>
      <numFmt numFmtId="164" formatCode="#,##0.00\ &quot;€&quot;;[Red]\-#,##0.00\ &quot;€&quot;"/>
    </dxf>
    <dxf>
      <numFmt numFmtId="167" formatCode="#,##0.00\ &quot;€&quot;;[Red]#,##0.00\ &quot;€&quo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border>
    </dxf>
    <dxf>
      <numFmt numFmtId="164" formatCode="#,##0.00\ &quot;€&quot;;[Red]\-#,##0.00\ &quot;€&quot;"/>
    </dxf>
    <dxf>
      <numFmt numFmtId="167" formatCode="#,##0.00\ &quot;€&quot;;[Red]#,##0.00\ &quot;€&quo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border>
    </dxf>
    <dxf>
      <numFmt numFmtId="164" formatCode="#,##0.00\ &quot;€&quot;;[Red]\-#,##0.00\ &quot;€&quot;"/>
    </dxf>
    <dxf>
      <numFmt numFmtId="167" formatCode="#,##0.00\ &quot;€&quot;;[Red]#,##0.00\ &quot;€&quo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border>
    </dxf>
    <dxf>
      <numFmt numFmtId="164" formatCode="#,##0.00\ &quot;€&quot;;[Red]\-#,##0.00\ &quot;€&quot;"/>
    </dxf>
    <dxf>
      <numFmt numFmtId="167" formatCode="#,##0.00\ &quot;€&quot;;[Red]#,##0.00\ &quot;€&quo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border>
    </dxf>
    <dxf>
      <numFmt numFmtId="164" formatCode="#,##0.00\ &quot;€&quot;;[Red]\-#,##0.00\ &quot;€&quot;"/>
    </dxf>
    <dxf>
      <numFmt numFmtId="167" formatCode="#,##0.00\ &quot;€&quot;;[Red]#,##0.00\ &quot;€&quo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border>
    </dxf>
    <dxf>
      <numFmt numFmtId="164" formatCode="#,##0.00\ &quot;€&quot;;[Red]\-#,##0.00\ &quot;€&quot;"/>
    </dxf>
    <dxf>
      <numFmt numFmtId="167" formatCode="#,##0.00\ &quot;€&quot;;[Red]#,##0.00\ &quot;€&quo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border>
    </dxf>
    <dxf>
      <numFmt numFmtId="164" formatCode="#,##0.00\ &quot;€&quot;;[Red]\-#,##0.00\ &quot;€&quot;"/>
    </dxf>
    <dxf>
      <numFmt numFmtId="167" formatCode="#,##0.00\ &quot;€&quot;;[Red]#,##0.00\ &quot;€&quo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border>
    </dxf>
    <dxf>
      <numFmt numFmtId="164" formatCode="#,##0.00\ &quot;€&quot;;[Red]\-#,##0.00\ &quot;€&quot;"/>
    </dxf>
    <dxf>
      <numFmt numFmtId="167" formatCode="#,##0.00\ &quot;€&quot;;[Red]#,##0.00\ &quot;€&quo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border>
    </dxf>
    <dxf>
      <numFmt numFmtId="164" formatCode="#,##0.00\ &quot;€&quot;;[Red]\-#,##0.00\ &quot;€&quot;"/>
    </dxf>
    <dxf>
      <numFmt numFmtId="167" formatCode="#,##0.00\ &quot;€&quot;;[Red]#,##0.00\ &quot;€&quo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border>
    </dxf>
    <dxf>
      <numFmt numFmtId="164" formatCode="#,##0.00\ &quot;€&quot;;[Red]\-#,##0.00\ &quot;€&quot;"/>
    </dxf>
    <dxf>
      <numFmt numFmtId="167" formatCode="#,##0.00\ &quot;€&quot;;[Red]#,##0.00\ &quot;€&quo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border>
    </dxf>
    <dxf>
      <numFmt numFmtId="164" formatCode="#,##0.00\ &quot;€&quot;;[Red]\-#,##0.00\ &quot;€&quot;"/>
    </dxf>
    <dxf>
      <numFmt numFmtId="167" formatCode="#,##0.00\ &quot;€&quot;;[Red]#,##0.00\ &quot;€&quo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border>
    </dxf>
    <dxf>
      <numFmt numFmtId="164" formatCode="#,##0.00\ &quot;€&quot;;[Red]\-#,##0.00\ &quot;€&quot;"/>
    </dxf>
    <dxf>
      <font>
        <b/>
        <i val="0"/>
        <strike val="0"/>
        <condense val="0"/>
        <extend val="0"/>
        <outline val="0"/>
        <shadow val="0"/>
        <u val="none"/>
        <vertAlign val="baseline"/>
        <sz val="10"/>
        <color theme="1" tint="0.24994659260841701"/>
        <name val="Microsoft Sans Serif"/>
        <family val="2"/>
        <scheme val="minor"/>
      </font>
      <fill>
        <patternFill patternType="solid">
          <fgColor indexed="64"/>
          <bgColor theme="6" tint="0.79998168889431442"/>
        </patternFill>
      </fill>
      <alignment horizontal="left" vertical="center" textRotation="0" wrapText="0" indent="1" justifyLastLine="0" shrinkToFit="0" readingOrder="0"/>
      <border diagonalUp="0" diagonalDown="0" outline="0">
        <left/>
        <right style="medium">
          <color theme="6" tint="0.39994506668294322"/>
        </right>
        <top style="medium">
          <color theme="6" tint="0.39994506668294322"/>
        </top>
        <bottom/>
      </border>
    </dxf>
    <dxf>
      <alignment horizontal="left" vertical="center" textRotation="0" wrapText="0" relativeIndent="1" justifyLastLine="0" shrinkToFit="0" readingOrder="0"/>
    </dxf>
    <dxf>
      <border>
        <top style="medium">
          <color theme="6" tint="0.39994506668294322"/>
        </top>
      </border>
    </dxf>
    <dxf>
      <fill>
        <patternFill patternType="solid">
          <fgColor indexed="64"/>
          <bgColor theme="6" tint="0.79998168889431442"/>
        </patternFill>
      </fill>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7558519241921"/>
        </top>
        <bottom/>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4" formatCode="#,##0.00\ &quot;€&quot;;[Red]\-#,##0.00\ &quot;€&quot;"/>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medium">
          <color theme="6" tint="0.39994506668294322"/>
        </top>
        <bottom style="medium">
          <color theme="6" tint="0.39994506668294322"/>
        </bottom>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4" formatCode="#,##0.00\ &quot;€&quot;;[Red]\-#,##0.00\ &quot;€&quot;"/>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4"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color auto="1"/>
        <name val="Microsoft Sans Serif"/>
        <family val="2"/>
        <scheme val="minor"/>
      </font>
      <numFmt numFmtId="167"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4"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auto="1"/>
        <name val="Microsoft Sans Serif"/>
        <family val="2"/>
        <scheme val="minor"/>
      </font>
      <fill>
        <patternFill patternType="solid">
          <fgColor indexed="64"/>
          <bgColor theme="6" tint="0.79998168889431442"/>
        </patternFill>
      </fill>
      <border diagonalUp="0" diagonalDown="0">
        <left/>
        <right style="medium">
          <color theme="6" tint="0.39994506668294322"/>
        </right>
        <top/>
        <bottom/>
        <vertical style="medium">
          <color theme="6" tint="0.39994506668294322"/>
        </vertical>
        <horizontal style="medium">
          <color theme="6" tint="0.3999450666829432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right style="medium">
          <color theme="6" tint="0.39997558519241921"/>
        </right>
        <top style="medium">
          <color theme="6" tint="0.39997558519241921"/>
        </top>
        <bottom/>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7558519241921"/>
        </right>
        <top style="medium">
          <color theme="6" tint="0.39997558519241921"/>
        </top>
        <bottom/>
      </border>
    </dxf>
    <dxf>
      <border outline="0">
        <top style="medium">
          <color theme="6" tint="0.39997558519241921"/>
        </top>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dxf>
    <dxf>
      <border outline="0">
        <bottom style="medium">
          <color theme="6" tint="0.39997558519241921"/>
        </bottom>
      </border>
    </dxf>
    <dxf>
      <font>
        <b/>
        <i val="0"/>
        <strike val="0"/>
        <condense val="0"/>
        <extend val="0"/>
        <outline val="0"/>
        <shadow val="0"/>
        <u val="none"/>
        <vertAlign val="baseline"/>
        <sz val="10"/>
        <color theme="0"/>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64" formatCode="#,##0.00\ &quot;€&quot;;[Red]\-#,##0.00\ &quot;€&quot;"/>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4" formatCode="#,##0.00\ &quot;€&quot;;[Red]\-#,##0.00\ &quot;€&quot;"/>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7" formatCode="#,##0.00\ &quot;€&quot;;[Red]#,##0.00\ &quot;€&quot;"/>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7"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right style="medium">
          <color theme="6" tint="0.39994506668294322"/>
        </right>
        <top/>
        <bottom/>
      </border>
    </dxf>
    <dxf>
      <font>
        <strike val="0"/>
        <outline val="0"/>
        <shadow val="0"/>
        <u val="none"/>
        <vertAlign val="baseline"/>
        <sz val="9"/>
        <color theme="1"/>
        <name val="Microsoft Sans Serif"/>
        <family val="2"/>
        <scheme val="minor"/>
      </font>
      <numFmt numFmtId="164" formatCode="#,##0.00\ &quot;€&quot;;[Red]\-#,##0.00\ &quot;€&quot;"/>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i val="0"/>
        <strike val="0"/>
        <condense val="0"/>
        <extend val="0"/>
        <outline val="0"/>
        <shadow val="0"/>
        <u val="none"/>
        <vertAlign val="baseline"/>
        <sz val="10"/>
        <color theme="1"/>
        <name val="Microsoft Sans Serif"/>
        <family val="2"/>
        <scheme val="minor"/>
      </font>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88402966399123"/>
        </left>
        <right style="medium">
          <color theme="6" tint="0.39985351115451523"/>
        </right>
        <top style="medium">
          <color theme="6" tint="0.39994506668294322"/>
        </top>
        <bottom style="medium">
          <color theme="6" tint="0.39985351115451523"/>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88402966399123"/>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right style="medium">
          <color theme="6" tint="0.39994506668294322"/>
        </right>
        <top/>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medium">
          <color theme="6" tint="0.39994506668294322"/>
        </horizontal>
      </border>
    </dxf>
    <dxf>
      <font>
        <b val="0"/>
        <i val="0"/>
        <color theme="1"/>
      </font>
      <fill>
        <patternFill>
          <bgColor theme="6" tint="0.79998168889431442"/>
        </patternFill>
      </fill>
      <border diagonalUp="0" diagonalDown="0">
        <left/>
        <right/>
        <top/>
        <bottom/>
        <vertical/>
        <horizontal style="medium">
          <color theme="6" tint="0.3999450666829432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medium">
          <color theme="6" tint="0.39994506668294322"/>
        </top>
        <bottom/>
        <vertical style="medium">
          <color theme="6" tint="0.39991454817346722"/>
        </vertical>
        <horizontal/>
      </border>
    </dxf>
    <dxf>
      <font>
        <color theme="6" tint="0.39994506668294322"/>
      </font>
      <fill>
        <patternFill>
          <bgColor theme="6" tint="0.39994506668294322"/>
        </patternFill>
      </fill>
      <border diagonalUp="0" diagonalDown="0">
        <left/>
        <right/>
        <top/>
        <bottom style="medium">
          <color theme="6" tint="0.39994506668294322"/>
        </bottom>
        <vertical/>
        <horizontal/>
      </border>
    </dxf>
    <dxf>
      <font>
        <b val="0"/>
        <i val="0"/>
        <color theme="1"/>
      </font>
      <fill>
        <patternFill>
          <bgColor theme="0"/>
        </patternFill>
      </fill>
      <border diagonalUp="0" diagonalDown="0">
        <left/>
        <right/>
        <top style="medium">
          <color theme="6" tint="0.39994506668294322"/>
        </top>
        <bottom style="medium">
          <color theme="6" tint="0.39994506668294322"/>
        </bottom>
        <vertical style="medium">
          <color theme="6" tint="0.39994506668294322"/>
        </vertical>
        <horizontal style="medium">
          <color theme="6" tint="0.39994506668294322"/>
        </horizontal>
      </border>
    </dxf>
  </dxfs>
  <tableStyles count="1" defaultPivotStyle="PivotStyleLight16">
    <tableStyle name="Λεπτομερείς εκτιμήσεις εξόδων Πίνακας 2" pivot="0" count="7" xr9:uid="{00000000-0011-0000-FFFF-FFFF00000000}">
      <tableStyleElement type="wholeTable" dxfId="467"/>
      <tableStyleElement type="headerRow" dxfId="466"/>
      <tableStyleElement type="totalRow" dxfId="465"/>
      <tableStyleElement type="firstColumn" dxfId="464"/>
      <tableStyleElement type="lastColumn" dxfId="463"/>
      <tableStyleElement type="firstRowStripe" size="9" dxfId="462"/>
      <tableStyleElement type="firstColumnStripe" dxfId="461"/>
    </tableStyle>
  </tableStyles>
  <colors>
    <mruColors>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openxmlformats.org/officeDocument/2006/relationships/worksheet" Target="/xl/worksheets/sheet54.xml" Id="rId5" /><Relationship Type="http://schemas.openxmlformats.org/officeDocument/2006/relationships/customXml" Target="/customXml/item13.xml" Id="rId10" /><Relationship Type="http://schemas.openxmlformats.org/officeDocument/2006/relationships/worksheet" Target="/xl/worksheets/sheet45.xml" Id="rId4" /><Relationship Type="http://schemas.openxmlformats.org/officeDocument/2006/relationships/calcChain" Target="/xl/calcChain.xml" Id="rId9"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Μηνιαία έξοδα</a:t>
            </a:r>
          </a:p>
        </c:rich>
      </c:tx>
      <c:layout>
        <c:manualLayout>
          <c:xMode val="edge"/>
          <c:yMode val="edge"/>
          <c:x val="1.0996591979294411E-2"/>
          <c:y val="8.903205679824600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en-US"/>
        </a:p>
      </c:txPr>
    </c:title>
    <c:autoTitleDeleted val="0"/>
    <c:plotArea>
      <c:layout/>
      <c:barChart>
        <c:barDir val="col"/>
        <c:grouping val="clustered"/>
        <c:varyColors val="0"/>
        <c:ser>
          <c:idx val="1"/>
          <c:order val="1"/>
          <c:tx>
            <c:v>Προγραμματισμένα</c:v>
          </c:tx>
          <c:spPr>
            <a:solidFill>
              <a:schemeClr val="accent2"/>
            </a:solidFill>
            <a:ln>
              <a:noFill/>
            </a:ln>
            <a:effectLst/>
          </c:spPr>
          <c:invertIfNegative val="0"/>
          <c:val>
            <c:numRef>
              <c:f>'ΠΡΟΓΡΑΜΜΑΤΙΣΜΕΝΑ ΕΞΟΔΑ'!$C$36:$N$36</c:f>
              <c:numCache>
                <c:formatCode>#,##0.00\ "€";[Red]\-#,##0.00\ "€"</c:formatCode>
                <c:ptCount val="12"/>
                <c:pt idx="0">
                  <c:v>131420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c:ext xmlns:c16="http://schemas.microsoft.com/office/drawing/2014/chart" uri="{C3380CC4-5D6E-409C-BE32-E72D297353CC}">
              <c16:uniqueId val="{00000000-135D-4DB7-A511-401DE3785DC9}"/>
            </c:ext>
          </c:extLst>
        </c:ser>
        <c:ser>
          <c:idx val="2"/>
          <c:order val="2"/>
          <c:tx>
            <c:v>Πραγματικά</c:v>
          </c:tx>
          <c:spPr>
            <a:solidFill>
              <a:schemeClr val="accent4">
                <a:alpha val="25000"/>
              </a:schemeClr>
            </a:solidFill>
            <a:ln>
              <a:noFill/>
            </a:ln>
            <a:effectLst/>
          </c:spPr>
          <c:invertIfNegative val="0"/>
          <c:val>
            <c:numRef>
              <c:f>'ΠΡΑΓΜΑΤΙΚΑ ΕΞΟΔΑ'!$C$36:$N$36</c:f>
              <c:numCache>
                <c:formatCode>#,##0.00\ "€";[Red]\-#,##0.00\ "€"</c:formatCode>
                <c:ptCount val="12"/>
                <c:pt idx="0">
                  <c:v>129682</c:v>
                </c:pt>
                <c:pt idx="1">
                  <c:v>127804</c:v>
                </c:pt>
                <c:pt idx="2">
                  <c:v>125565</c:v>
                </c:pt>
                <c:pt idx="3">
                  <c:v>137394</c:v>
                </c:pt>
                <c:pt idx="4">
                  <c:v>128255</c:v>
                </c:pt>
                <c:pt idx="5">
                  <c:v>134239</c:v>
                </c:pt>
                <c:pt idx="6">
                  <c:v>0</c:v>
                </c:pt>
                <c:pt idx="7">
                  <c:v>0</c:v>
                </c:pt>
                <c:pt idx="8">
                  <c:v>0</c:v>
                </c:pt>
                <c:pt idx="9">
                  <c:v>0</c:v>
                </c:pt>
                <c:pt idx="10">
                  <c:v>0</c:v>
                </c:pt>
                <c:pt idx="11">
                  <c:v>0</c:v>
                </c:pt>
              </c:numCache>
            </c:numRef>
          </c:val>
          <c:extLs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362146616"/>
        <c:axId val="362147008"/>
      </c:barChart>
      <c:lineChart>
        <c:grouping val="standard"/>
        <c:varyColors val="0"/>
        <c:ser>
          <c:idx val="0"/>
          <c:order val="0"/>
          <c:tx>
            <c:v>Διακύμανση</c:v>
          </c:tx>
          <c:spPr>
            <a:ln w="28575" cap="rnd">
              <a:solidFill>
                <a:schemeClr val="accent3">
                  <a:shade val="65000"/>
                </a:schemeClr>
              </a:solidFill>
              <a:round/>
            </a:ln>
            <a:effectLst/>
          </c:spPr>
          <c:marker>
            <c:symbol val="none"/>
          </c:marker>
          <c:val>
            <c:numRef>
              <c:f>'ΔΙΑΚΥΜΑΝΣΕΙΣ ΕΞΟΔΩΝ'!$C$36:$N$36</c:f>
              <c:numCache>
                <c:formatCode>#,##0.00\ "€";[Red]\-#,##0.00\ "€"</c:formatCode>
                <c:ptCount val="12"/>
                <c:pt idx="0">
                  <c:v>1738</c:v>
                </c:pt>
                <c:pt idx="1">
                  <c:v>-984</c:v>
                </c:pt>
                <c:pt idx="2">
                  <c:v>1255</c:v>
                </c:pt>
                <c:pt idx="3">
                  <c:v>301</c:v>
                </c:pt>
                <c:pt idx="4">
                  <c:v>1440</c:v>
                </c:pt>
                <c:pt idx="5">
                  <c:v>-3744</c:v>
                </c:pt>
                <c:pt idx="6">
                  <c:v>134695</c:v>
                </c:pt>
                <c:pt idx="7">
                  <c:v>138918</c:v>
                </c:pt>
                <c:pt idx="8">
                  <c:v>135918</c:v>
                </c:pt>
                <c:pt idx="9">
                  <c:v>140918</c:v>
                </c:pt>
                <c:pt idx="10">
                  <c:v>136218</c:v>
                </c:pt>
                <c:pt idx="11">
                  <c:v>140018</c:v>
                </c:pt>
              </c:numCache>
            </c:numRef>
          </c:val>
          <c:smooth val="0"/>
          <c:extLs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362146616"/>
        <c:axId val="362147008"/>
      </c:lineChart>
      <c:catAx>
        <c:axId val="362146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Μήνας</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2147008"/>
        <c:crosses val="autoZero"/>
        <c:auto val="1"/>
        <c:lblAlgn val="ctr"/>
        <c:lblOffset val="100"/>
        <c:noMultiLvlLbl val="0"/>
      </c:catAx>
      <c:valAx>
        <c:axId val="362147008"/>
        <c:scaling>
          <c:orientation val="minMax"/>
        </c:scaling>
        <c:delete val="0"/>
        <c:axPos val="l"/>
        <c:majorGridlines>
          <c:spPr>
            <a:ln w="3175" cap="flat" cmpd="sng" algn="ctr">
              <a:solidFill>
                <a:schemeClr val="bg1">
                  <a:lumMod val="75000"/>
                  <a:alpha val="2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Έξοδα</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2146616"/>
        <c:crosses val="autoZero"/>
        <c:crossBetween val="between"/>
        <c:dispUnits>
          <c:builtInUnit val="tenThousands"/>
          <c:dispUnitsLbl>
            <c:layout>
              <c:manualLayout>
                <c:xMode val="edge"/>
                <c:yMode val="edge"/>
                <c:x val="4.1853475435826903E-2"/>
                <c:y val="0.11317096082764759"/>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1.8591667626513452E-4"/>
          <c:y val="5.3074322488831559E-2"/>
          <c:w val="0.33878368215294763"/>
          <c:h val="3.579789723106797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en-US"/>
        </a:p>
      </c:txPr>
    </c:legend>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4761214035933"/>
          <c:y val="0.17330539881195353"/>
          <c:w val="0.77251078549188523"/>
          <c:h val="0.71853463513379401"/>
        </c:manualLayout>
      </c:layout>
      <c:barChart>
        <c:barDir val="bar"/>
        <c:grouping val="clustered"/>
        <c:varyColors val="0"/>
        <c:ser>
          <c:idx val="1"/>
          <c:order val="0"/>
          <c:tx>
            <c:strRef>
              <c:f>'ΑΝΑΛΥΣΗ ΕΞΟΔΩΝ'!$C$5</c:f>
              <c:strCache>
                <c:ptCount val="1"/>
                <c:pt idx="0">
                  <c:v>Προγραμματισμένα έξοδα</c:v>
                </c:pt>
              </c:strCache>
            </c:strRef>
          </c:tx>
          <c:spPr>
            <a:solidFill>
              <a:schemeClr val="accent2"/>
            </a:solidFill>
            <a:ln w="19050">
              <a:noFill/>
            </a:ln>
            <a:effectLst/>
          </c:spPr>
          <c:invertIfNegative val="0"/>
          <c:cat>
            <c:strRef>
              <c:f>'ΑΝΑΛΥΣΗ ΕΞΟΔΩΝ'!$B$6:$B$9</c:f>
              <c:strCache>
                <c:ptCount val="4"/>
                <c:pt idx="0">
                  <c:v>Έξοδα υπαλλήλων</c:v>
                </c:pt>
                <c:pt idx="1">
                  <c:v>Έξοδα γραφείου</c:v>
                </c:pt>
                <c:pt idx="2">
                  <c:v>Έξοδα μάρκετινγκ</c:v>
                </c:pt>
                <c:pt idx="3">
                  <c:v>Εκπαίδευση/Ταξίδια</c:v>
                </c:pt>
              </c:strCache>
            </c:strRef>
          </c:cat>
          <c:val>
            <c:numRef>
              <c:f>'ΑΝΑΛΥΣΗ ΕΞΟΔΩΝ'!$C$6:$C$9</c:f>
              <c:numCache>
                <c:formatCode>#,##0.00\ "€";[Red]\-#,##0.00\ "€"</c:formatCode>
                <c:ptCount val="4"/>
                <c:pt idx="0">
                  <c:v>1355090</c:v>
                </c:pt>
                <c:pt idx="1">
                  <c:v>138740</c:v>
                </c:pt>
                <c:pt idx="2">
                  <c:v>67800</c:v>
                </c:pt>
                <c:pt idx="3">
                  <c:v>48000</c:v>
                </c:pt>
              </c:numCache>
            </c:numRef>
          </c:val>
          <c:extLst>
            <c:ext xmlns:c16="http://schemas.microsoft.com/office/drawing/2014/chart" uri="{C3380CC4-5D6E-409C-BE32-E72D297353CC}">
              <c16:uniqueId val="{00000009-F485-485F-B818-D5944CB69AAB}"/>
            </c:ext>
          </c:extLst>
        </c:ser>
        <c:ser>
          <c:idx val="0"/>
          <c:order val="1"/>
          <c:tx>
            <c:strRef>
              <c:f>'ΑΝΑΛΥΣΗ ΕΞΟΔΩΝ'!$D$5</c:f>
              <c:strCache>
                <c:ptCount val="1"/>
                <c:pt idx="0">
                  <c:v>Πραγματικά έξοδα</c:v>
                </c:pt>
              </c:strCache>
            </c:strRef>
          </c:tx>
          <c:spPr>
            <a:solidFill>
              <a:schemeClr val="accent4"/>
            </a:solidFill>
            <a:ln w="19050">
              <a:noFill/>
            </a:ln>
            <a:effectLst/>
          </c:spPr>
          <c:invertIfNegative val="0"/>
          <c:dPt>
            <c:idx val="0"/>
            <c:invertIfNegative val="0"/>
            <c:bubble3D val="0"/>
            <c:extLst>
              <c:ext xmlns:c16="http://schemas.microsoft.com/office/drawing/2014/chart" uri="{C3380CC4-5D6E-409C-BE32-E72D297353CC}">
                <c16:uniqueId val="{00000001-F485-485F-B818-D5944CB69AAB}"/>
              </c:ext>
            </c:extLst>
          </c:dPt>
          <c:dPt>
            <c:idx val="1"/>
            <c:invertIfNegative val="0"/>
            <c:bubble3D val="0"/>
            <c:extLst>
              <c:ext xmlns:c16="http://schemas.microsoft.com/office/drawing/2014/chart" uri="{C3380CC4-5D6E-409C-BE32-E72D297353CC}">
                <c16:uniqueId val="{00000003-F485-485F-B818-D5944CB69AAB}"/>
              </c:ext>
            </c:extLst>
          </c:dPt>
          <c:dPt>
            <c:idx val="2"/>
            <c:invertIfNegative val="0"/>
            <c:bubble3D val="0"/>
            <c:extLst>
              <c:ext xmlns:c16="http://schemas.microsoft.com/office/drawing/2014/chart" uri="{C3380CC4-5D6E-409C-BE32-E72D297353CC}">
                <c16:uniqueId val="{00000005-F485-485F-B818-D5944CB69AAB}"/>
              </c:ext>
            </c:extLst>
          </c:dPt>
          <c:dPt>
            <c:idx val="3"/>
            <c:invertIfNegative val="0"/>
            <c:bubble3D val="0"/>
            <c:extLst>
              <c:ext xmlns:c16="http://schemas.microsoft.com/office/drawing/2014/chart" uri="{C3380CC4-5D6E-409C-BE32-E72D297353CC}">
                <c16:uniqueId val="{00000007-F485-485F-B818-D5944CB69AAB}"/>
              </c:ext>
            </c:extLst>
          </c:dPt>
          <c:cat>
            <c:strRef>
              <c:f>'ΑΝΑΛΥΣΗ ΕΞΟΔΩΝ'!$B$6:$B$9</c:f>
              <c:strCache>
                <c:ptCount val="4"/>
                <c:pt idx="0">
                  <c:v>Έξοδα υπαλλήλων</c:v>
                </c:pt>
                <c:pt idx="1">
                  <c:v>Έξοδα γραφείου</c:v>
                </c:pt>
                <c:pt idx="2">
                  <c:v>Έξοδα μάρκετινγκ</c:v>
                </c:pt>
                <c:pt idx="3">
                  <c:v>Εκπαίδευση/Ταξίδια</c:v>
                </c:pt>
              </c:strCache>
            </c:strRef>
          </c:cat>
          <c:val>
            <c:numRef>
              <c:f>'ΑΝΑΛΥΣΗ ΕΞΟΔΩΝ'!$D$6:$D$9</c:f>
              <c:numCache>
                <c:formatCode>#,##0.00\ "€";[Red]\-#,##0.00\ "€"</c:formatCode>
                <c:ptCount val="4"/>
                <c:pt idx="0">
                  <c:v>659130</c:v>
                </c:pt>
                <c:pt idx="1">
                  <c:v>69350</c:v>
                </c:pt>
                <c:pt idx="2">
                  <c:v>33159</c:v>
                </c:pt>
                <c:pt idx="3">
                  <c:v>21300</c:v>
                </c:pt>
              </c:numCache>
            </c:numRef>
          </c:val>
          <c:extLst>
            <c:ext xmlns:c16="http://schemas.microsoft.com/office/drawing/2014/chart" uri="{C3380CC4-5D6E-409C-BE32-E72D297353CC}">
              <c16:uniqueId val="{00000008-F485-485F-B818-D5944CB69AAB}"/>
            </c:ext>
          </c:extLst>
        </c:ser>
        <c:dLbls>
          <c:showLegendKey val="0"/>
          <c:showVal val="0"/>
          <c:showCatName val="0"/>
          <c:showSerName val="0"/>
          <c:showPercent val="0"/>
          <c:showBubbleSize val="0"/>
        </c:dLbls>
        <c:gapWidth val="100"/>
        <c:axId val="716845712"/>
        <c:axId val="716855552"/>
      </c:barChart>
      <c:valAx>
        <c:axId val="716855552"/>
        <c:scaling>
          <c:orientation val="minMax"/>
          <c:max val="1400000"/>
        </c:scaling>
        <c:delete val="0"/>
        <c:axPos val="t"/>
        <c:majorGridlines>
          <c:spPr>
            <a:ln w="9525" cap="flat" cmpd="sng" algn="ctr">
              <a:solidFill>
                <a:schemeClr val="tx1">
                  <a:lumMod val="15000"/>
                  <a:lumOff val="85000"/>
                </a:schemeClr>
              </a:solidFill>
              <a:round/>
            </a:ln>
            <a:effectLst/>
          </c:spPr>
        </c:majorGridlines>
        <c:numFmt formatCode="#,##0\ &quot;€&quot;"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845712"/>
        <c:crosses val="autoZero"/>
        <c:crossBetween val="between"/>
        <c:dispUnits>
          <c:builtInUnit val="tenThousands"/>
          <c:dispUnitsLbl>
            <c:layout>
              <c:manualLayout>
                <c:xMode val="edge"/>
                <c:yMode val="edge"/>
                <c:x val="0.88923701186841542"/>
                <c:y val="0.94119752263847256"/>
              </c:manualLayout>
            </c:layout>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catAx>
        <c:axId val="71684571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855552"/>
        <c:crosses val="autoZero"/>
        <c:auto val="1"/>
        <c:lblAlgn val="ctr"/>
        <c:lblOffset val="100"/>
        <c:noMultiLvlLbl val="0"/>
      </c:catAx>
      <c:spPr>
        <a:noFill/>
        <a:ln>
          <a:noFill/>
        </a:ln>
        <a:effectLst/>
      </c:spPr>
    </c:plotArea>
    <c:legend>
      <c:legendPos val="t"/>
      <c:layout>
        <c:manualLayout>
          <c:xMode val="edge"/>
          <c:yMode val="edge"/>
          <c:x val="1.0972101080870553E-3"/>
          <c:y val="1.0416663818716148E-2"/>
          <c:w val="0.50412422913354504"/>
          <c:h val="5.58442541983119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2.xml.rels>&#65279;<?xml version="1.0" encoding="utf-8"?><Relationships xmlns="http://schemas.openxmlformats.org/package/2006/relationships"><Relationship Type="http://schemas.openxmlformats.org/officeDocument/2006/relationships/image" Target="/xl/media/image1.png" Id="rId1" /></Relationships>
</file>

<file path=xl/drawings/_rels/drawing21.xml.rels>&#65279;<?xml version="1.0" encoding="utf-8"?><Relationships xmlns="http://schemas.openxmlformats.org/package/2006/relationships"><Relationship Type="http://schemas.openxmlformats.org/officeDocument/2006/relationships/image" Target="/xl/media/image1.png" Id="rId1" /></Relationships>
</file>

<file path=xl/drawings/_rels/drawing34.xml.rels>&#65279;<?xml version="1.0" encoding="utf-8"?><Relationships xmlns="http://schemas.openxmlformats.org/package/2006/relationships"><Relationship Type="http://schemas.openxmlformats.org/officeDocument/2006/relationships/image" Target="/xl/media/image23.png" Id="rId1" /></Relationships>
</file>

<file path=xl/drawings/_rels/drawing43.xml.rels>&#65279;<?xml version="1.0" encoding="utf-8"?><Relationships xmlns="http://schemas.openxmlformats.org/package/2006/relationships"><Relationship Type="http://schemas.openxmlformats.org/officeDocument/2006/relationships/chart" Target="/xl/charts/chart21.xml" Id="rId3" /><Relationship Type="http://schemas.openxmlformats.org/officeDocument/2006/relationships/image" Target="/xl/media/image32.png" Id="rId2" /><Relationship Type="http://schemas.openxmlformats.org/officeDocument/2006/relationships/chart" Target="/xl/charts/chart12.xml" Id="rId1" /></Relationships>
</file>

<file path=xl/drawings/drawing12.xml><?xml version="1.0" encoding="utf-8"?>
<xdr:wsDr xmlns:xdr="http://schemas.openxmlformats.org/drawingml/2006/spreadsheetDrawing" xmlns:a="http://schemas.openxmlformats.org/drawingml/2006/main">
  <xdr:twoCellAnchor editAs="oneCell">
    <xdr:from>
      <xdr:col>17</xdr:col>
      <xdr:colOff>27504</xdr:colOff>
      <xdr:row>3</xdr:row>
      <xdr:rowOff>0</xdr:rowOff>
    </xdr:from>
    <xdr:to>
      <xdr:col>20</xdr:col>
      <xdr:colOff>962</xdr:colOff>
      <xdr:row>13</xdr:row>
      <xdr:rowOff>9525</xdr:rowOff>
    </xdr:to>
    <xdr:sp macro="" textlink="">
      <xdr:nvSpPr>
        <xdr:cNvPr id="3" name="Φυσαλίδα ομιλίας: Ορθογώνιο 2" descr="Tip: HOW TO USE THIS TEMPLATE&#10;Input data in the white cells on the PLANNED EXPENSES and ACTUAL EXPENSES worksheets, and the EXPENSE VARIANCES and EXPENSE ANALYSIS will be calculated for you.  If you add a row on one sheet, the other sheets need to match&#10;">
          <a:extLst>
            <a:ext uri="{FF2B5EF4-FFF2-40B4-BE49-F238E27FC236}">
              <a16:creationId xmlns:a16="http://schemas.microsoft.com/office/drawing/2014/main" id="{26EBCE28-31AF-4664-B39F-77F2857D060F}"/>
            </a:ext>
          </a:extLst>
        </xdr:cNvPr>
        <xdr:cNvSpPr/>
      </xdr:nvSpPr>
      <xdr:spPr>
        <a:xfrm>
          <a:off x="15515154" y="1257300"/>
          <a:ext cx="1935608" cy="3419475"/>
        </a:xfrm>
        <a:prstGeom prst="wedgeRectCallout">
          <a:avLst>
            <a:gd name="adj1" fmla="val -65157"/>
            <a:gd name="adj2" fmla="val -20833"/>
          </a:avLst>
        </a:prstGeom>
        <a:solidFill>
          <a:schemeClr val="accent3">
            <a:lumMod val="20000"/>
            <a:lumOff val="80000"/>
            <a:alpha val="6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bIns="182880" rtlCol="0" anchor="t"/>
        <a:lstStyle/>
        <a:p>
          <a:pPr rtl="0"/>
          <a:r>
            <a:rPr lang="el" sz="1100" b="1">
              <a:solidFill>
                <a:schemeClr val="tx2"/>
              </a:solidFill>
              <a:effectLst/>
              <a:latin typeface="Microsoft Sans Serif" panose="020B0604020202020204" pitchFamily="34" charset="0"/>
              <a:ea typeface="+mn-ea"/>
              <a:cs typeface="+mn-cs"/>
            </a:rPr>
            <a:t>ΠΩΣ ΝΑ ΧΡΗΣΙΜΟΠΟΙΗΣΕΤΕ ΑΥΤΟ ΤΟ ΠΡΟΤΥΠΟ</a:t>
          </a:r>
        </a:p>
        <a:p>
          <a:pPr rtl="0"/>
          <a:endParaRPr lang="en-US">
            <a:solidFill>
              <a:schemeClr val="tx2"/>
            </a:solidFill>
            <a:effectLst/>
            <a:latin typeface="Microsoft Sans Serif" panose="020B0604020202020204" pitchFamily="34" charset="0"/>
          </a:endParaRPr>
        </a:p>
        <a:p>
          <a:pPr rtl="0"/>
          <a:r>
            <a:rPr lang="el" sz="1100">
              <a:solidFill>
                <a:schemeClr val="tx2"/>
              </a:solidFill>
              <a:effectLst/>
              <a:latin typeface="Microsoft Sans Serif" panose="020B0604020202020204" pitchFamily="34" charset="0"/>
              <a:ea typeface="+mn-ea"/>
              <a:cs typeface="+mn-cs"/>
            </a:rPr>
            <a:t>Εισαγάγετε δεδομένα στα λευκά κελιά στα φύλλα εργασίας ΠΡΟΓΡΑΜΜΑΤΙΣΜΕΝΑ ΕΞΟΔΑ και ΠΡΑΓΜΑΤΙΚΑ ΕΞΟΔΑ και θα υπολογιστούν για εσάς οι ΔΙΑΚΥΜΑΝΣΕΙΣ ΕΞΟΔΩΝ και η ΑΝΑΛΥΣΗ ΕΞΟΔΩΝ.  Εάν προσθέσετε μια γραμμή σε ένα φύλλο εργασίας, τα </a:t>
          </a:r>
          <a:r>
            <a:rPr lang="el" sz="1100" baseline="0">
              <a:solidFill>
                <a:schemeClr val="tx2"/>
              </a:solidFill>
              <a:effectLst/>
              <a:latin typeface="Microsoft Sans Serif" panose="020B0604020202020204" pitchFamily="34" charset="0"/>
              <a:ea typeface="+mn-ea"/>
              <a:cs typeface="+mn-cs"/>
            </a:rPr>
            <a:t> υπόλοιπα φύλλα πρέπει να συμφωνούν.</a:t>
          </a:r>
          <a:endParaRPr lang="en-US" sz="1100">
            <a:solidFill>
              <a:schemeClr val="tx2"/>
            </a:solidFill>
            <a:latin typeface="Microsoft Sans Serif" panose="020B0604020202020204" pitchFamily="34" charset="0"/>
          </a:endParaRPr>
        </a:p>
      </xdr:txBody>
    </xdr:sp>
    <xdr:clientData fPrintsWithSheet="0"/>
  </xdr:twoCellAnchor>
  <xdr:twoCellAnchor editAs="oneCell">
    <xdr:from>
      <xdr:col>13</xdr:col>
      <xdr:colOff>267556</xdr:colOff>
      <xdr:row>1</xdr:row>
      <xdr:rowOff>2117</xdr:rowOff>
    </xdr:from>
    <xdr:to>
      <xdr:col>14</xdr:col>
      <xdr:colOff>851122</xdr:colOff>
      <xdr:row>2</xdr:row>
      <xdr:rowOff>139243</xdr:rowOff>
    </xdr:to>
    <xdr:pic>
      <xdr:nvPicPr>
        <xdr:cNvPr id="9" name="Εικόνα 18" descr="Θέση λογότυπου">
          <a:extLst>
            <a:ext uri="{FF2B5EF4-FFF2-40B4-BE49-F238E27FC236}">
              <a16:creationId xmlns:a16="http://schemas.microsoft.com/office/drawing/2014/main" id="{65A40888-9F83-43E7-A699-52663041FF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5888556" y="306917"/>
          <a:ext cx="1631316" cy="70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13</xdr:col>
      <xdr:colOff>267556</xdr:colOff>
      <xdr:row>1</xdr:row>
      <xdr:rowOff>2117</xdr:rowOff>
    </xdr:from>
    <xdr:to>
      <xdr:col>14</xdr:col>
      <xdr:colOff>851122</xdr:colOff>
      <xdr:row>2</xdr:row>
      <xdr:rowOff>139243</xdr:rowOff>
    </xdr:to>
    <xdr:pic>
      <xdr:nvPicPr>
        <xdr:cNvPr id="6" name="Εικόνα 18" descr="Θέση λογότυπου">
          <a:extLst>
            <a:ext uri="{FF2B5EF4-FFF2-40B4-BE49-F238E27FC236}">
              <a16:creationId xmlns:a16="http://schemas.microsoft.com/office/drawing/2014/main" id="{83DAF7B9-4C56-44AA-B3C3-38F1A49B55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5888556" y="306917"/>
          <a:ext cx="1631316" cy="70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13</xdr:col>
      <xdr:colOff>251011</xdr:colOff>
      <xdr:row>1</xdr:row>
      <xdr:rowOff>0</xdr:rowOff>
    </xdr:from>
    <xdr:to>
      <xdr:col>14</xdr:col>
      <xdr:colOff>817011</xdr:colOff>
      <xdr:row>2</xdr:row>
      <xdr:rowOff>129496</xdr:rowOff>
    </xdr:to>
    <xdr:pic>
      <xdr:nvPicPr>
        <xdr:cNvPr id="6" name="Εικόνα 18" descr="Θέση λογότυπου">
          <a:extLst>
            <a:ext uri="{FF2B5EF4-FFF2-40B4-BE49-F238E27FC236}">
              <a16:creationId xmlns:a16="http://schemas.microsoft.com/office/drawing/2014/main" id="{A2E6D019-45AC-4D89-848F-C976B436C0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5872011" y="304800"/>
          <a:ext cx="1613750" cy="700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28575</xdr:colOff>
      <xdr:row>12</xdr:row>
      <xdr:rowOff>200025</xdr:rowOff>
    </xdr:from>
    <xdr:to>
      <xdr:col>5</xdr:col>
      <xdr:colOff>1619250</xdr:colOff>
      <xdr:row>38</xdr:row>
      <xdr:rowOff>21653</xdr:rowOff>
    </xdr:to>
    <xdr:graphicFrame macro="">
      <xdr:nvGraphicFramePr>
        <xdr:cNvPr id="8" name="ΓράφημαΜηνιαίωνΕξόδων" descr="Το γράφημα που εμφανίζει τα προγραμματισμένα έξοδα, τα πραγματικά έξοδα και τη διακύμανση στα μηνιαία έξοδα">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447675</xdr:colOff>
      <xdr:row>1</xdr:row>
      <xdr:rowOff>1635</xdr:rowOff>
    </xdr:from>
    <xdr:to>
      <xdr:col>6</xdr:col>
      <xdr:colOff>69215</xdr:colOff>
      <xdr:row>1</xdr:row>
      <xdr:rowOff>548896</xdr:rowOff>
    </xdr:to>
    <xdr:pic>
      <xdr:nvPicPr>
        <xdr:cNvPr id="9" name="Εικόνα 18" descr="Θέση λογότυπου">
          <a:extLst>
            <a:ext uri="{FF2B5EF4-FFF2-40B4-BE49-F238E27FC236}">
              <a16:creationId xmlns:a16="http://schemas.microsoft.com/office/drawing/2014/main" id="{7C6D1F32-6273-47BA-873D-2E5A8467E2E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7553325" y="306435"/>
          <a:ext cx="1259840" cy="547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11</xdr:row>
      <xdr:rowOff>0</xdr:rowOff>
    </xdr:from>
    <xdr:to>
      <xdr:col>5</xdr:col>
      <xdr:colOff>1154765</xdr:colOff>
      <xdr:row>11</xdr:row>
      <xdr:rowOff>3657601</xdr:rowOff>
    </xdr:to>
    <xdr:graphicFrame macro="">
      <xdr:nvGraphicFramePr>
        <xdr:cNvPr id="7" name="ΓράφημαΠραγματικώνΕξόδων" descr="Το γράφημα πίτας που εμφανίζει τα πραγματικά έξοδα που προέκυψαν σε διάφορες κατηγορίες">
          <a:extLst>
            <a:ext uri="{FF2B5EF4-FFF2-40B4-BE49-F238E27FC236}">
              <a16:creationId xmlns:a16="http://schemas.microsoft.com/office/drawing/2014/main" id="{FE109E8A-EB22-46B1-850C-BFD738E25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099C32-C8DE-492A-BEED-550CF2841A11}" name="ΣυνολικάΠραγματικά" displayName="ΣυνολικάΠραγματικά" ref="B35:O37" totalsRowShown="0" headerRowDxfId="177" dataDxfId="176" tableBorderDxfId="175">
  <autoFilter ref="B35:O37" xr:uid="{527B5B30-B216-4604-BE5A-D760DE033F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59818E9-FD74-4273-8957-D80FFA77ADE8}" name="ΣΥΝΟΛΙΚΑ προγραμματισμένα έξοδα" dataDxfId="174"/>
    <tableColumn id="2" xr3:uid="{ED08B701-BD0B-43EA-B6B5-8B23D583D505}" name="Ιαν" dataDxfId="173">
      <calculatedColumnFormula>SUM($C35:C$36)</calculatedColumnFormula>
    </tableColumn>
    <tableColumn id="3" xr3:uid="{953C450B-5235-4234-924F-53796609C439}" name="Φεβ" dataDxfId="172">
      <calculatedColumnFormula>SUM($C35:D$36)</calculatedColumnFormula>
    </tableColumn>
    <tableColumn id="4" xr3:uid="{A434CE91-3696-411F-8418-02228D13F12E}" name="Μάρ" dataDxfId="171">
      <calculatedColumnFormula>SUM($C35:E$36)</calculatedColumnFormula>
    </tableColumn>
    <tableColumn id="5" xr3:uid="{1E74C645-B91F-4CDB-9F55-6FEC8EAB0A64}" name="Απρ" dataDxfId="170">
      <calculatedColumnFormula>SUM($C35:F$36)</calculatedColumnFormula>
    </tableColumn>
    <tableColumn id="6" xr3:uid="{A3B698F1-9EF3-489A-A70E-8E760D6B713B}" name="Μάι" dataDxfId="169">
      <calculatedColumnFormula>SUM($C35:G$36)</calculatedColumnFormula>
    </tableColumn>
    <tableColumn id="7" xr3:uid="{6CEDC80B-5635-47E7-AA54-EBD827095F7C}" name="Ιούν" dataDxfId="168">
      <calculatedColumnFormula>SUM($C35:H$36)</calculatedColumnFormula>
    </tableColumn>
    <tableColumn id="8" xr3:uid="{A73C88FE-0ABF-4134-B6B0-043ECC9295D4}" name="Ιούλ" dataDxfId="167">
      <calculatedColumnFormula>SUM($C35:I$36)</calculatedColumnFormula>
    </tableColumn>
    <tableColumn id="9" xr3:uid="{62119987-B16F-44A1-B80E-29460A9513CD}" name="Αύγ" dataDxfId="166">
      <calculatedColumnFormula>SUM($C35:J$36)</calculatedColumnFormula>
    </tableColumn>
    <tableColumn id="10" xr3:uid="{C84A40CE-DC4A-442E-883F-891CA5A9A166}" name="Σεπ" dataDxfId="165">
      <calculatedColumnFormula>SUM($C35:K$36)</calculatedColumnFormula>
    </tableColumn>
    <tableColumn id="11" xr3:uid="{4DB975F1-C294-416D-81FB-A8070CC2C3BC}" name="Οκτ" dataDxfId="164">
      <calculatedColumnFormula>SUM($C35:L$36)</calculatedColumnFormula>
    </tableColumn>
    <tableColumn id="12" xr3:uid="{BC57DA11-9B5C-452D-8026-EF863D07E32E}" name="Νοε" dataDxfId="163">
      <calculatedColumnFormula>SUM($C35:M$36)</calculatedColumnFormula>
    </tableColumn>
    <tableColumn id="13" xr3:uid="{904E02FB-FEA8-49B0-ABA0-9B659A7720D8}" name="Δεκ" dataDxfId="162">
      <calculatedColumnFormula>SUM($C35:N$36)</calculatedColumnFormula>
    </tableColumn>
    <tableColumn id="14" xr3:uid="{8C10E0BB-4735-4718-9538-C4AFB616D92A}" name="Έτος" dataDxfId="161"/>
  </tableColumns>
  <tableStyleInfo name="TableStyleMedium1" showFirstColumn="1" showLastColumn="0" showRowStripes="0" showColumnStripes="0"/>
  <extLst>
    <ext xmlns:x14="http://schemas.microsoft.com/office/spreadsheetml/2009/9/main" uri="{504A1905-F514-4f6f-8877-14C23A59335A}">
      <x14:table altTextSummary="Τα μηνιαία και τα συνολικά πραγματικά έξοδα υπολογίζονται αυτόματα σε αυτόν τον πίνακα"/>
    </ext>
  </extLst>
</table>
</file>

<file path=xl/tables/table1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ΔιακυμάνσειςΕξόδωνΥπαλλήλων" displayName="ΔιακυμάνσειςΕξόδωνΥπαλλήλων" ref="B5:O8" totalsRowCount="1" headerRowDxfId="155" totalsRowDxfId="152" headerRowBorderDxfId="154" tableBorderDxfId="153" totalsRowBorderDxfId="151">
  <autoFilter ref="B5:O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Έξοδα υπαλλήλων" totalsRowLabel="Μερικό άθροισμα" dataDxfId="150" totalsRowDxfId="149"/>
    <tableColumn id="2" xr3:uid="{00000000-0010-0000-0800-000002000000}" name="Ιαν" totalsRowFunction="sum" dataDxfId="148" totalsRowDxfId="147">
      <calculatedColumnFormula>INDEX(ΠρογραμματισμέναΈξοδαΥπαλλήλων[],MATCH(INDEX(ΔιακυμάνσειςΕξόδωνΥπαλλήλων[],ROW()-ROW(ΔιακυμάνσειςΕξόδωνΥπαλλήλων[[#Headers],[Ιαν]]),1),INDEX(ΠρογραμματισμέναΈξοδαΥπαλλήλων[],,1),0),MATCH(ΔιακυμάνσειςΕξόδωνΥπαλλήλων[[#Headers],[Ιαν]],ΠρογραμματισμέναΈξοδαΥπαλλήλων[#Headers],0))-INDEX(ΠραγματικάΈξοδαΥπαλλήλων[],MATCH(INDEX(ΔιακυμάνσειςΕξόδωνΥπαλλήλων[],ROW()-ROW(ΔιακυμάνσειςΕξόδωνΥπαλλήλων[[#Headers],[Ιαν]]),1),INDEX(ΠρογραμματισμέναΈξοδαΥπαλλήλων[],,1),0),MATCH(ΔιακυμάνσειςΕξόδωνΥπαλλήλων[[#Headers],[Ιαν]],ΠραγματικάΈξοδαΥπαλλήλων[#Headers],0))</calculatedColumnFormula>
    </tableColumn>
    <tableColumn id="3" xr3:uid="{00000000-0010-0000-0800-000003000000}" name="Φεβ" totalsRowFunction="sum" dataDxfId="146" totalsRowDxfId="145">
      <calculatedColumnFormula>INDEX(ΠρογραμματισμέναΈξοδαΥπαλλήλων[],MATCH(INDEX(ΔιακυμάνσειςΕξόδωνΥπαλλήλων[],ROW()-ROW(ΔιακυμάνσειςΕξόδωνΥπαλλήλων[[#Headers],[Φεβ]]),1),INDEX(ΠρογραμματισμέναΈξοδαΥπαλλήλων[],,1),0),MATCH(ΔιακυμάνσειςΕξόδωνΥπαλλήλων[[#Headers],[Φεβ]],ΠρογραμματισμέναΈξοδαΥπαλλήλων[#Headers],0))-INDEX(ΠραγματικάΈξοδαΥπαλλήλων[],MATCH(INDEX(ΔιακυμάνσειςΕξόδωνΥπαλλήλων[],ROW()-ROW(ΔιακυμάνσειςΕξόδωνΥπαλλήλων[[#Headers],[Φεβ]]),1),INDEX(ΠρογραμματισμέναΈξοδαΥπαλλήλων[],,1),0),MATCH(ΔιακυμάνσειςΕξόδωνΥπαλλήλων[[#Headers],[Φεβ]],ΠραγματικάΈξοδαΥπαλλήλων[#Headers],0))</calculatedColumnFormula>
    </tableColumn>
    <tableColumn id="4" xr3:uid="{00000000-0010-0000-0800-000004000000}" name="Μάρ" totalsRowFunction="sum" dataDxfId="144" totalsRowDxfId="143">
      <calculatedColumnFormula>INDEX(ΠρογραμματισμέναΈξοδαΥπαλλήλων[],MATCH(INDEX(ΔιακυμάνσειςΕξόδωνΥπαλλήλων[],ROW()-ROW(ΔιακυμάνσειςΕξόδωνΥπαλλήλων[[#Headers],[Μάρ]]),1),INDEX(ΠρογραμματισμέναΈξοδαΥπαλλήλων[],,1),0),MATCH(ΔιακυμάνσειςΕξόδωνΥπαλλήλων[[#Headers],[Μάρ]],ΠρογραμματισμέναΈξοδαΥπαλλήλων[#Headers],0))-INDEX(ΠραγματικάΈξοδαΥπαλλήλων[],MATCH(INDEX(ΔιακυμάνσειςΕξόδωνΥπαλλήλων[],ROW()-ROW(ΔιακυμάνσειςΕξόδωνΥπαλλήλων[[#Headers],[Μάρ]]),1),INDEX(ΠρογραμματισμέναΈξοδαΥπαλλήλων[],,1),0),MATCH(ΔιακυμάνσειςΕξόδωνΥπαλλήλων[[#Headers],[Μάρ]],ΠραγματικάΈξοδαΥπαλλήλων[#Headers],0))</calculatedColumnFormula>
    </tableColumn>
    <tableColumn id="5" xr3:uid="{00000000-0010-0000-0800-000005000000}" name="Απρ" totalsRowFunction="sum" dataDxfId="142" totalsRowDxfId="141">
      <calculatedColumnFormula>INDEX(ΠρογραμματισμέναΈξοδαΥπαλλήλων[],MATCH(INDEX(ΔιακυμάνσειςΕξόδωνΥπαλλήλων[],ROW()-ROW(ΔιακυμάνσειςΕξόδωνΥπαλλήλων[[#Headers],[Απρ]]),1),INDEX(ΠρογραμματισμέναΈξοδαΥπαλλήλων[],,1),0),MATCH(ΔιακυμάνσειςΕξόδωνΥπαλλήλων[[#Headers],[Απρ]],ΠρογραμματισμέναΈξοδαΥπαλλήλων[#Headers],0))-INDEX(ΠραγματικάΈξοδαΥπαλλήλων[],MATCH(INDEX(ΔιακυμάνσειςΕξόδωνΥπαλλήλων[],ROW()-ROW(ΔιακυμάνσειςΕξόδωνΥπαλλήλων[[#Headers],[Απρ]]),1),INDEX(ΠρογραμματισμέναΈξοδαΥπαλλήλων[],,1),0),MATCH(ΔιακυμάνσειςΕξόδωνΥπαλλήλων[[#Headers],[Απρ]],ΠραγματικάΈξοδαΥπαλλήλων[#Headers],0))</calculatedColumnFormula>
    </tableColumn>
    <tableColumn id="6" xr3:uid="{00000000-0010-0000-0800-000006000000}" name="Μάι" totalsRowFunction="sum" dataDxfId="140" totalsRowDxfId="139">
      <calculatedColumnFormula>INDEX(ΠρογραμματισμέναΈξοδαΥπαλλήλων[],MATCH(INDEX(ΔιακυμάνσειςΕξόδωνΥπαλλήλων[],ROW()-ROW(ΔιακυμάνσειςΕξόδωνΥπαλλήλων[[#Headers],[Μάι]]),1),INDEX(ΠρογραμματισμέναΈξοδαΥπαλλήλων[],,1),0),MATCH(ΔιακυμάνσειςΕξόδωνΥπαλλήλων[[#Headers],[Μάι]],ΠρογραμματισμέναΈξοδαΥπαλλήλων[#Headers],0))-INDEX(ΠραγματικάΈξοδαΥπαλλήλων[],MATCH(INDEX(ΔιακυμάνσειςΕξόδωνΥπαλλήλων[],ROW()-ROW(ΔιακυμάνσειςΕξόδωνΥπαλλήλων[[#Headers],[Μάι]]),1),INDEX(ΠρογραμματισμέναΈξοδαΥπαλλήλων[],,1),0),MATCH(ΔιακυμάνσειςΕξόδωνΥπαλλήλων[[#Headers],[Μάι]],ΠραγματικάΈξοδαΥπαλλήλων[#Headers],0))</calculatedColumnFormula>
    </tableColumn>
    <tableColumn id="7" xr3:uid="{00000000-0010-0000-0800-000007000000}" name="Ιούν" totalsRowFunction="sum" dataDxfId="138" totalsRowDxfId="137">
      <calculatedColumnFormula>INDEX(ΠρογραμματισμέναΈξοδαΥπαλλήλων[],MATCH(INDEX(ΔιακυμάνσειςΕξόδωνΥπαλλήλων[],ROW()-ROW(ΔιακυμάνσειςΕξόδωνΥπαλλήλων[[#Headers],[Ιούν]]),1),INDEX(ΠρογραμματισμέναΈξοδαΥπαλλήλων[],,1),0),MATCH(ΔιακυμάνσειςΕξόδωνΥπαλλήλων[[#Headers],[Ιούν]],ΠρογραμματισμέναΈξοδαΥπαλλήλων[#Headers],0))-INDEX(ΠραγματικάΈξοδαΥπαλλήλων[],MATCH(INDEX(ΔιακυμάνσειςΕξόδωνΥπαλλήλων[],ROW()-ROW(ΔιακυμάνσειςΕξόδωνΥπαλλήλων[[#Headers],[Ιούν]]),1),INDEX(ΠρογραμματισμέναΈξοδαΥπαλλήλων[],,1),0),MATCH(ΔιακυμάνσειςΕξόδωνΥπαλλήλων[[#Headers],[Ιούν]],ΠραγματικάΈξοδαΥπαλλήλων[#Headers],0))</calculatedColumnFormula>
    </tableColumn>
    <tableColumn id="8" xr3:uid="{00000000-0010-0000-0800-000008000000}" name="Ιούλ" totalsRowFunction="sum" dataDxfId="136" totalsRowDxfId="135">
      <calculatedColumnFormula>INDEX(ΠρογραμματισμέναΈξοδαΥπαλλήλων[],MATCH(INDEX(ΔιακυμάνσειςΕξόδωνΥπαλλήλων[],ROW()-ROW(ΔιακυμάνσειςΕξόδωνΥπαλλήλων[[#Headers],[Ιούλ]]),1),INDEX(ΠρογραμματισμέναΈξοδαΥπαλλήλων[],,1),0),MATCH(ΔιακυμάνσειςΕξόδωνΥπαλλήλων[[#Headers],[Ιούλ]],ΠρογραμματισμέναΈξοδαΥπαλλήλων[#Headers],0))-INDEX(ΠραγματικάΈξοδαΥπαλλήλων[],MATCH(INDEX(ΔιακυμάνσειςΕξόδωνΥπαλλήλων[],ROW()-ROW(ΔιακυμάνσειςΕξόδωνΥπαλλήλων[[#Headers],[Ιούλ]]),1),INDEX(ΠρογραμματισμέναΈξοδαΥπαλλήλων[],,1),0),MATCH(ΔιακυμάνσειςΕξόδωνΥπαλλήλων[[#Headers],[Ιούλ]],ΠραγματικάΈξοδαΥπαλλήλων[#Headers],0))</calculatedColumnFormula>
    </tableColumn>
    <tableColumn id="9" xr3:uid="{00000000-0010-0000-0800-000009000000}" name="Αύγ" totalsRowFunction="sum" dataDxfId="134" totalsRowDxfId="133">
      <calculatedColumnFormula>INDEX(ΠρογραμματισμέναΈξοδαΥπαλλήλων[],MATCH(INDEX(ΔιακυμάνσειςΕξόδωνΥπαλλήλων[],ROW()-ROW(ΔιακυμάνσειςΕξόδωνΥπαλλήλων[[#Headers],[Αύγ]]),1),INDEX(ΠρογραμματισμέναΈξοδαΥπαλλήλων[],,1),0),MATCH(ΔιακυμάνσειςΕξόδωνΥπαλλήλων[[#Headers],[Αύγ]],ΠρογραμματισμέναΈξοδαΥπαλλήλων[#Headers],0))-INDEX(ΠραγματικάΈξοδαΥπαλλήλων[],MATCH(INDEX(ΔιακυμάνσειςΕξόδωνΥπαλλήλων[],ROW()-ROW(ΔιακυμάνσειςΕξόδωνΥπαλλήλων[[#Headers],[Αύγ]]),1),INDEX(ΠρογραμματισμέναΈξοδαΥπαλλήλων[],,1),0),MATCH(ΔιακυμάνσειςΕξόδωνΥπαλλήλων[[#Headers],[Αύγ]],ΠραγματικάΈξοδαΥπαλλήλων[#Headers],0))</calculatedColumnFormula>
    </tableColumn>
    <tableColumn id="10" xr3:uid="{00000000-0010-0000-0800-00000A000000}" name="Σεπ" totalsRowFunction="sum" dataDxfId="132" totalsRowDxfId="131">
      <calculatedColumnFormula>INDEX(ΠρογραμματισμέναΈξοδαΥπαλλήλων[],MATCH(INDEX(ΔιακυμάνσειςΕξόδωνΥπαλλήλων[],ROW()-ROW(ΔιακυμάνσειςΕξόδωνΥπαλλήλων[[#Headers],[Σεπ]]),1),INDEX(ΠρογραμματισμέναΈξοδαΥπαλλήλων[],,1),0),MATCH(ΔιακυμάνσειςΕξόδωνΥπαλλήλων[[#Headers],[Σεπ]],ΠρογραμματισμέναΈξοδαΥπαλλήλων[#Headers],0))-INDEX(ΠραγματικάΈξοδαΥπαλλήλων[],MATCH(INDEX(ΔιακυμάνσειςΕξόδωνΥπαλλήλων[],ROW()-ROW(ΔιακυμάνσειςΕξόδωνΥπαλλήλων[[#Headers],[Σεπ]]),1),INDEX(ΠρογραμματισμέναΈξοδαΥπαλλήλων[],,1),0),MATCH(ΔιακυμάνσειςΕξόδωνΥπαλλήλων[[#Headers],[Σεπ]],ΠραγματικάΈξοδαΥπαλλήλων[#Headers],0))</calculatedColumnFormula>
    </tableColumn>
    <tableColumn id="11" xr3:uid="{00000000-0010-0000-0800-00000B000000}" name="Οκτ" totalsRowFunction="sum" dataDxfId="130" totalsRowDxfId="129">
      <calculatedColumnFormula>INDEX(ΠρογραμματισμέναΈξοδαΥπαλλήλων[],MATCH(INDEX(ΔιακυμάνσειςΕξόδωνΥπαλλήλων[],ROW()-ROW(ΔιακυμάνσειςΕξόδωνΥπαλλήλων[[#Headers],[Οκτ]]),1),INDEX(ΠρογραμματισμέναΈξοδαΥπαλλήλων[],,1),0),MATCH(ΔιακυμάνσειςΕξόδωνΥπαλλήλων[[#Headers],[Οκτ]],ΠρογραμματισμέναΈξοδαΥπαλλήλων[#Headers],0))-INDEX(ΠραγματικάΈξοδαΥπαλλήλων[],MATCH(INDEX(ΔιακυμάνσειςΕξόδωνΥπαλλήλων[],ROW()-ROW(ΔιακυμάνσειςΕξόδωνΥπαλλήλων[[#Headers],[Οκτ]]),1),INDEX(ΠρογραμματισμέναΈξοδαΥπαλλήλων[],,1),0),MATCH(ΔιακυμάνσειςΕξόδωνΥπαλλήλων[[#Headers],[Οκτ]],ΠραγματικάΈξοδαΥπαλλήλων[#Headers],0))</calculatedColumnFormula>
    </tableColumn>
    <tableColumn id="12" xr3:uid="{00000000-0010-0000-0800-00000C000000}" name="Νοέ" totalsRowFunction="sum" dataDxfId="128" totalsRowDxfId="127">
      <calculatedColumnFormula>INDEX(ΠρογραμματισμέναΈξοδαΥπαλλήλων[],MATCH(INDEX(ΔιακυμάνσειςΕξόδωνΥπαλλήλων[],ROW()-ROW(ΔιακυμάνσειςΕξόδωνΥπαλλήλων[[#Headers],[Νοέ]]),1),INDEX(ΠρογραμματισμέναΈξοδαΥπαλλήλων[],,1),0),MATCH(ΔιακυμάνσειςΕξόδωνΥπαλλήλων[[#Headers],[Νοέ]],ΠρογραμματισμέναΈξοδαΥπαλλήλων[#Headers],0))-INDEX(ΠραγματικάΈξοδαΥπαλλήλων[],MATCH(INDEX(ΔιακυμάνσειςΕξόδωνΥπαλλήλων[],ROW()-ROW(ΔιακυμάνσειςΕξόδωνΥπαλλήλων[[#Headers],[Νοέ]]),1),INDEX(ΠρογραμματισμέναΈξοδαΥπαλλήλων[],,1),0),MATCH(ΔιακυμάνσειςΕξόδωνΥπαλλήλων[[#Headers],[Νοέ]],ΠραγματικάΈξοδαΥπαλλήλων[#Headers],0))</calculatedColumnFormula>
    </tableColumn>
    <tableColumn id="13" xr3:uid="{00000000-0010-0000-0800-00000D000000}" name="Δεκ" totalsRowFunction="sum" dataDxfId="126" totalsRowDxfId="125">
      <calculatedColumnFormula>INDEX(ΠρογραμματισμέναΈξοδαΥπαλλήλων[],MATCH(INDEX(ΔιακυμάνσειςΕξόδωνΥπαλλήλων[],ROW()-ROW(ΔιακυμάνσειςΕξόδωνΥπαλλήλων[[#Headers],[Δεκ]]),1),INDEX(ΠρογραμματισμέναΈξοδαΥπαλλήλων[],,1),0),MATCH(ΔιακυμάνσειςΕξόδωνΥπαλλήλων[[#Headers],[Δεκ]],ΠρογραμματισμέναΈξοδαΥπαλλήλων[#Headers],0))-INDEX(ΠραγματικάΈξοδαΥπαλλήλων[],MATCH(INDEX(ΔιακυμάνσειςΕξόδωνΥπαλλήλων[],ROW()-ROW(ΔιακυμάνσειςΕξόδωνΥπαλλήλων[[#Headers],[Δεκ]]),1),INDEX(ΠρογραμματισμέναΈξοδαΥπαλλήλων[],,1),0),MATCH(ΔιακυμάνσειςΕξόδωνΥπαλλήλων[[#Headers],[Δεκ]],ΠραγματικάΈξοδαΥπαλλήλων[#Headers],0))</calculatedColumnFormula>
    </tableColumn>
    <tableColumn id="14" xr3:uid="{00000000-0010-0000-0800-00000E000000}" name="ΕΤΟΣ" totalsRowFunction="sum" dataDxfId="124" totalsRowDxfId="123">
      <calculatedColumnFormula>SUM(ΔιακυμάνσειςΕξόδωνΥπαλλήλων[[#This Row],[Ιαν]:[Δεκ]])</calculatedColumnFormula>
    </tableColumn>
  </tableColumns>
  <tableStyleInfo name="TableStyleLight8" showFirstColumn="1" showLastColumn="0" showRowStripes="0" showColumnStripes="0"/>
  <extLst>
    <ext xmlns:x14="http://schemas.microsoft.com/office/spreadsheetml/2009/9/main" uri="{504A1905-F514-4f6f-8877-14C23A59335A}">
      <x14:table altTextSummary="Η διακύμανση στα έξοδα υπαλλήλων ανά μήνα υπολογίζεται αυτόματα σε αυτόν τον πίνακα"/>
    </ext>
  </extLst>
</table>
</file>

<file path=xl/tables/table12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ΔιακυμάνσειςΕξόδωνΓραφείου" displayName="ΔιακυμάνσειςΕξόδωνΓραφείου" ref="B10:O19" totalsRowCount="1" headerRowDxfId="122" totalsRowDxfId="119" headerRowBorderDxfId="121" tableBorderDxfId="120" totalsRowBorderDxfId="118">
  <autoFilter ref="B10:O1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Έξοδα γραφείου" totalsRowLabel="Μερικό άθροισμα" dataDxfId="117" totalsRowDxfId="116"/>
    <tableColumn id="2" xr3:uid="{00000000-0010-0000-0900-000002000000}" name="Ιαν" totalsRowFunction="sum" dataDxfId="115" totalsRowDxfId="114">
      <calculatedColumnFormula>INDEX(Προγραμματισμένα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ογραμματισμέναΈξοδαΓραφείου[#Headers],0))-INDEX(Πραγματικά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αγματικάΈξοδαΓραφείου[#Headers],0))</calculatedColumnFormula>
    </tableColumn>
    <tableColumn id="3" xr3:uid="{00000000-0010-0000-0900-000003000000}" name="Φεβ" totalsRowFunction="sum" dataDxfId="113" totalsRowDxfId="112">
      <calculatedColumnFormula>INDEX(Προγραμματισμένα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ογραμματισμέναΈξοδαΓραφείου[#Headers],0))-INDEX(Πραγματικά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αγματικάΈξοδαΓραφείου[#Headers],0))</calculatedColumnFormula>
    </tableColumn>
    <tableColumn id="4" xr3:uid="{00000000-0010-0000-0900-000004000000}" name="Μάρ" totalsRowFunction="sum" dataDxfId="111" totalsRowDxfId="110">
      <calculatedColumnFormula>INDEX(Προγραμματισμένα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ογραμματισμέναΈξοδαΓραφείου[#Headers],0))-INDEX(Πραγματικά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αγματικάΈξοδαΓραφείου[#Headers],0))</calculatedColumnFormula>
    </tableColumn>
    <tableColumn id="5" xr3:uid="{00000000-0010-0000-0900-000005000000}" name="Απρ" totalsRowFunction="sum" dataDxfId="109" totalsRowDxfId="108">
      <calculatedColumnFormula>INDEX(Προγραμματισμένα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ογραμματισμέναΈξοδαΓραφείου[#Headers],0))-INDEX(Πραγματικά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αγματικάΈξοδαΓραφείου[#Headers],0))</calculatedColumnFormula>
    </tableColumn>
    <tableColumn id="6" xr3:uid="{00000000-0010-0000-0900-000006000000}" name="Μάι" totalsRowFunction="sum" dataDxfId="107" totalsRowDxfId="106">
      <calculatedColumnFormula>INDEX(Προγραμματισμένα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ογραμματισμέναΈξοδαΓραφείου[#Headers],0))-INDEX(Πραγματικά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αγματικάΈξοδαΓραφείου[#Headers],0))</calculatedColumnFormula>
    </tableColumn>
    <tableColumn id="7" xr3:uid="{00000000-0010-0000-0900-000007000000}" name="Ιούν" totalsRowFunction="sum" dataDxfId="105" totalsRowDxfId="104">
      <calculatedColumnFormula>INDEX(Προγραμματισμένα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ογραμματισμέναΈξοδαΓραφείου[#Headers],0))-INDEX(Πραγματικά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αγματικάΈξοδαΓραφείου[#Headers],0))</calculatedColumnFormula>
    </tableColumn>
    <tableColumn id="8" xr3:uid="{00000000-0010-0000-0900-000008000000}" name="Ιούλ" totalsRowFunction="sum" dataDxfId="103" totalsRowDxfId="102">
      <calculatedColumnFormula>INDEX(Προγραμματισμένα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ογραμματισμέναΈξοδαΓραφείου[#Headers],0))-INDEX(Πραγματικά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αγματικάΈξοδαΓραφείου[#Headers],0))</calculatedColumnFormula>
    </tableColumn>
    <tableColumn id="9" xr3:uid="{00000000-0010-0000-0900-000009000000}" name="Αύγ" totalsRowFunction="sum" dataDxfId="101" totalsRowDxfId="100">
      <calculatedColumnFormula>INDEX(Προγραμματισμένα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ογραμματισμέναΈξοδαΓραφείου[#Headers],0))-INDEX(Πραγματικά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αγματικάΈξοδαΓραφείου[#Headers],0))</calculatedColumnFormula>
    </tableColumn>
    <tableColumn id="10" xr3:uid="{00000000-0010-0000-0900-00000A000000}" name="Σεπ" totalsRowFunction="sum" dataDxfId="99" totalsRowDxfId="98">
      <calculatedColumnFormula>INDEX(Προγραμματισμένα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ογραμματισμέναΈξοδαΓραφείου[#Headers],0))-INDEX(Πραγματικά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αγματικάΈξοδαΓραφείου[#Headers],0))</calculatedColumnFormula>
    </tableColumn>
    <tableColumn id="11" xr3:uid="{00000000-0010-0000-0900-00000B000000}" name="Οκτ" totalsRowFunction="sum" dataDxfId="97" totalsRowDxfId="96">
      <calculatedColumnFormula>INDEX(Προγραμματισμένα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ογραμματισμέναΈξοδαΓραφείου[#Headers],0))-INDEX(Πραγματικά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αγματικάΈξοδαΓραφείου[#Headers],0))</calculatedColumnFormula>
    </tableColumn>
    <tableColumn id="12" xr3:uid="{00000000-0010-0000-0900-00000C000000}" name="Νοε" totalsRowFunction="sum" dataDxfId="95" totalsRowDxfId="94">
      <calculatedColumnFormula>INDEX(Προγραμματισμένα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ογραμματισμέναΈξοδαΓραφείου[#Headers],0))-INDEX(Πραγματικά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αγματικάΈξοδαΓραφείου[#Headers],0))</calculatedColumnFormula>
    </tableColumn>
    <tableColumn id="13" xr3:uid="{00000000-0010-0000-0900-00000D000000}" name="Δεκ" totalsRowFunction="sum" dataDxfId="93" totalsRowDxfId="92">
      <calculatedColumnFormula>INDEX(Προγραμματισμένα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ογραμματισμέναΈξοδαΓραφείου[#Headers],0))-INDEX(Πραγματικά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αγματικάΈξοδαΓραφείου[#Headers],0))</calculatedColumnFormula>
    </tableColumn>
    <tableColumn id="14" xr3:uid="{00000000-0010-0000-0900-00000E000000}" name="ΕΤΟΣ" totalsRowFunction="sum" dataDxfId="91" totalsRowDxfId="90">
      <calculatedColumnFormula>SUM(ΔιακυμάνσειςΕξόδωνΓραφείου[[#This Row],[Ιαν]:[Δεκ]])</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Η διακύμανση στα έξοδα γραφείου ανά μήνα υπολογίζεται αυτόματα σε αυτόν τον πίνακα"/>
    </ext>
  </extLst>
</table>
</file>

<file path=xl/tables/table13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ΔιακυμάνσειςΕξόδωνΜάρκετινγκ" displayName="ΔιακυμάνσειςΕξόδωνΜάρκετινγκ" ref="B21:O28" totalsRowCount="1" headerRowDxfId="89" totalsRowDxfId="86" headerRowBorderDxfId="88" tableBorderDxfId="87" totalsRowBorderDxfId="85">
  <autoFilter ref="B21:O27"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Έξοδα μάρκετινγκ" totalsRowLabel="Μερικό άθροισμα" dataDxfId="84" totalsRowDxfId="83"/>
    <tableColumn id="2" xr3:uid="{00000000-0010-0000-0A00-000002000000}" name="Ιαν" totalsRowFunction="sum" dataDxfId="82" totalsRowDxfId="81">
      <calculatedColumnFormula>INDEX(ΠρογραμματισμέναΈξοδαΜάρκετινγκ[],MATCH(INDEX(ΔιακυμάνσειςΕξόδωνΜάρκετινγκ[],ROW()-ROW(ΔιακυμάνσειςΕξόδωνΜάρκετινγκ[[#Headers],[Ιαν]]),1),INDEX(ΠρογραμματισμέναΈξοδαΜάρκετινγκ[],,1),0),MATCH(ΔιακυμάνσειςΕξόδωνΜάρκετινγκ[[#Headers],[Ιαν]],ΠρογραμματισμέναΈξοδαΜάρκετινγκ[#Headers],0))-INDEX(ΠραγματικάΈξοδαΜάρκετινγκ[],MATCH(INDEX(ΔιακυμάνσειςΕξόδωνΜάρκετινγκ[],ROW()-ROW(ΔιακυμάνσειςΕξόδωνΜάρκετινγκ[[#Headers],[Ιαν]]),1),INDEX(ΠρογραμματισμέναΈξοδαΜάρκετινγκ[],,1),0),MATCH(ΔιακυμάνσειςΕξόδωνΜάρκετινγκ[[#Headers],[Ιαν]],ΠραγματικάΈξοδαΜάρκετινγκ[#Headers],0))</calculatedColumnFormula>
    </tableColumn>
    <tableColumn id="3" xr3:uid="{00000000-0010-0000-0A00-000003000000}" name="Φεβ" totalsRowFunction="sum" dataDxfId="80" totalsRowDxfId="79">
      <calculatedColumnFormula>INDEX(ΠρογραμματισμέναΈξοδαΜάρκετινγκ[],MATCH(INDEX(ΔιακυμάνσειςΕξόδωνΜάρκετινγκ[],ROW()-ROW(ΔιακυμάνσειςΕξόδωνΜάρκετινγκ[[#Headers],[Φεβ]]),1),INDEX(ΠρογραμματισμέναΈξοδαΜάρκετινγκ[],,1),0),MATCH(ΔιακυμάνσειςΕξόδωνΜάρκετινγκ[[#Headers],[Φεβ]],ΠρογραμματισμέναΈξοδαΜάρκετινγκ[#Headers],0))-INDEX(ΠραγματικάΈξοδαΜάρκετινγκ[],MATCH(INDEX(ΔιακυμάνσειςΕξόδωνΜάρκετινγκ[],ROW()-ROW(ΔιακυμάνσειςΕξόδωνΜάρκετινγκ[[#Headers],[Φεβ]]),1),INDEX(ΠρογραμματισμέναΈξοδαΜάρκετινγκ[],,1),0),MATCH(ΔιακυμάνσειςΕξόδωνΜάρκετινγκ[[#Headers],[Φεβ]],ΠραγματικάΈξοδαΜάρκετινγκ[#Headers],0))</calculatedColumnFormula>
    </tableColumn>
    <tableColumn id="4" xr3:uid="{00000000-0010-0000-0A00-000004000000}" name="Μάρ" totalsRowFunction="sum" dataDxfId="78" totalsRowDxfId="77">
      <calculatedColumnFormula>INDEX(ΠρογραμματισμέναΈξοδαΜάρκετινγκ[],MATCH(INDEX(ΔιακυμάνσειςΕξόδωνΜάρκετινγκ[],ROW()-ROW(ΔιακυμάνσειςΕξόδωνΜάρκετινγκ[[#Headers],[Μάρ]]),1),INDEX(ΠρογραμματισμέναΈξοδαΜάρκετινγκ[],,1),0),MATCH(ΔιακυμάνσειςΕξόδωνΜάρκετινγκ[[#Headers],[Μάρ]],ΠρογραμματισμέναΈξοδαΜάρκετινγκ[#Headers],0))-INDEX(ΠραγματικάΈξοδαΜάρκετινγκ[],MATCH(INDEX(ΔιακυμάνσειςΕξόδωνΜάρκετινγκ[],ROW()-ROW(ΔιακυμάνσειςΕξόδωνΜάρκετινγκ[[#Headers],[Μάρ]]),1),INDEX(ΠρογραμματισμέναΈξοδαΜάρκετινγκ[],,1),0),MATCH(ΔιακυμάνσειςΕξόδωνΜάρκετινγκ[[#Headers],[Μάρ]],ΠραγματικάΈξοδαΜάρκετινγκ[#Headers],0))</calculatedColumnFormula>
    </tableColumn>
    <tableColumn id="5" xr3:uid="{00000000-0010-0000-0A00-000005000000}" name="Απρ" totalsRowFunction="sum" dataDxfId="76" totalsRowDxfId="75">
      <calculatedColumnFormula>INDEX(ΠρογραμματισμέναΈξοδαΜάρκετινγκ[],MATCH(INDEX(ΔιακυμάνσειςΕξόδωνΜάρκετινγκ[],ROW()-ROW(ΔιακυμάνσειςΕξόδωνΜάρκετινγκ[[#Headers],[Απρ]]),1),INDEX(ΠρογραμματισμέναΈξοδαΜάρκετινγκ[],,1),0),MATCH(ΔιακυμάνσειςΕξόδωνΜάρκετινγκ[[#Headers],[Απρ]],ΠρογραμματισμέναΈξοδαΜάρκετινγκ[#Headers],0))-INDEX(ΠραγματικάΈξοδαΜάρκετινγκ[],MATCH(INDEX(ΔιακυμάνσειςΕξόδωνΜάρκετινγκ[],ROW()-ROW(ΔιακυμάνσειςΕξόδωνΜάρκετινγκ[[#Headers],[Απρ]]),1),INDEX(ΠρογραμματισμέναΈξοδαΜάρκετινγκ[],,1),0),MATCH(ΔιακυμάνσειςΕξόδωνΜάρκετινγκ[[#Headers],[Απρ]],ΠραγματικάΈξοδαΜάρκετινγκ[#Headers],0))</calculatedColumnFormula>
    </tableColumn>
    <tableColumn id="6" xr3:uid="{00000000-0010-0000-0A00-000006000000}" name="Μάι" totalsRowFunction="sum" dataDxfId="74" totalsRowDxfId="73">
      <calculatedColumnFormula>INDEX(ΠρογραμματισμέναΈξοδαΜάρκετινγκ[],MATCH(INDEX(ΔιακυμάνσειςΕξόδωνΜάρκετινγκ[],ROW()-ROW(ΔιακυμάνσειςΕξόδωνΜάρκετινγκ[[#Headers],[Μάι]]),1),INDEX(ΠρογραμματισμέναΈξοδαΜάρκετινγκ[],,1),0),MATCH(ΔιακυμάνσειςΕξόδωνΜάρκετινγκ[[#Headers],[Μάι]],ΠρογραμματισμέναΈξοδαΜάρκετινγκ[#Headers],0))-INDEX(ΠραγματικάΈξοδαΜάρκετινγκ[],MATCH(INDEX(ΔιακυμάνσειςΕξόδωνΜάρκετινγκ[],ROW()-ROW(ΔιακυμάνσειςΕξόδωνΜάρκετινγκ[[#Headers],[Μάι]]),1),INDEX(ΠρογραμματισμέναΈξοδαΜάρκετινγκ[],,1),0),MATCH(ΔιακυμάνσειςΕξόδωνΜάρκετινγκ[[#Headers],[Μάι]],ΠραγματικάΈξοδαΜάρκετινγκ[#Headers],0))</calculatedColumnFormula>
    </tableColumn>
    <tableColumn id="7" xr3:uid="{00000000-0010-0000-0A00-000007000000}" name="Ιούν" totalsRowFunction="sum" dataDxfId="72" totalsRowDxfId="71">
      <calculatedColumnFormula>INDEX(ΠρογραμματισμέναΈξοδαΜάρκετινγκ[],MATCH(INDEX(ΔιακυμάνσειςΕξόδωνΜάρκετινγκ[],ROW()-ROW(ΔιακυμάνσειςΕξόδωνΜάρκετινγκ[[#Headers],[Ιούν]]),1),INDEX(ΠρογραμματισμέναΈξοδαΜάρκετινγκ[],,1),0),MATCH(ΔιακυμάνσειςΕξόδωνΜάρκετινγκ[[#Headers],[Ιούν]],ΠρογραμματισμέναΈξοδαΜάρκετινγκ[#Headers],0))-INDEX(ΠραγματικάΈξοδαΜάρκετινγκ[],MATCH(INDEX(ΔιακυμάνσειςΕξόδωνΜάρκετινγκ[],ROW()-ROW(ΔιακυμάνσειςΕξόδωνΜάρκετινγκ[[#Headers],[Ιούν]]),1),INDEX(ΠρογραμματισμέναΈξοδαΜάρκετινγκ[],,1),0),MATCH(ΔιακυμάνσειςΕξόδωνΜάρκετινγκ[[#Headers],[Ιούν]],ΠραγματικάΈξοδαΜάρκετινγκ[#Headers],0))</calculatedColumnFormula>
    </tableColumn>
    <tableColumn id="8" xr3:uid="{00000000-0010-0000-0A00-000008000000}" name="Ιούλ" totalsRowFunction="sum" dataDxfId="70" totalsRowDxfId="69">
      <calculatedColumnFormula>INDEX(ΠρογραμματισμέναΈξοδαΜάρκετινγκ[],MATCH(INDEX(ΔιακυμάνσειςΕξόδωνΜάρκετινγκ[],ROW()-ROW(ΔιακυμάνσειςΕξόδωνΜάρκετινγκ[[#Headers],[Ιούλ]]),1),INDEX(ΠρογραμματισμέναΈξοδαΜάρκετινγκ[],,1),0),MATCH(ΔιακυμάνσειςΕξόδωνΜάρκετινγκ[[#Headers],[Ιούλ]],ΠρογραμματισμέναΈξοδαΜάρκετινγκ[#Headers],0))-INDEX(ΠραγματικάΈξοδαΜάρκετινγκ[],MATCH(INDEX(ΔιακυμάνσειςΕξόδωνΜάρκετινγκ[],ROW()-ROW(ΔιακυμάνσειςΕξόδωνΜάρκετινγκ[[#Headers],[Ιούλ]]),1),INDEX(ΠρογραμματισμέναΈξοδαΜάρκετινγκ[],,1),0),MATCH(ΔιακυμάνσειςΕξόδωνΜάρκετινγκ[[#Headers],[Ιούλ]],ΠραγματικάΈξοδαΜάρκετινγκ[#Headers],0))</calculatedColumnFormula>
    </tableColumn>
    <tableColumn id="9" xr3:uid="{00000000-0010-0000-0A00-000009000000}" name="Αύγ" totalsRowFunction="sum" dataDxfId="68" totalsRowDxfId="67">
      <calculatedColumnFormula>INDEX(ΠρογραμματισμέναΈξοδαΜάρκετινγκ[],MATCH(INDEX(ΔιακυμάνσειςΕξόδωνΜάρκετινγκ[],ROW()-ROW(ΔιακυμάνσειςΕξόδωνΜάρκετινγκ[[#Headers],[Αύγ]]),1),INDEX(ΠρογραμματισμέναΈξοδαΜάρκετινγκ[],,1),0),MATCH(ΔιακυμάνσειςΕξόδωνΜάρκετινγκ[[#Headers],[Αύγ]],ΠρογραμματισμέναΈξοδαΜάρκετινγκ[#Headers],0))-INDEX(ΠραγματικάΈξοδαΜάρκετινγκ[],MATCH(INDEX(ΔιακυμάνσειςΕξόδωνΜάρκετινγκ[],ROW()-ROW(ΔιακυμάνσειςΕξόδωνΜάρκετινγκ[[#Headers],[Αύγ]]),1),INDEX(ΠρογραμματισμέναΈξοδαΜάρκετινγκ[],,1),0),MATCH(ΔιακυμάνσειςΕξόδωνΜάρκετινγκ[[#Headers],[Αύγ]],ΠραγματικάΈξοδαΜάρκετινγκ[#Headers],0))</calculatedColumnFormula>
    </tableColumn>
    <tableColumn id="10" xr3:uid="{00000000-0010-0000-0A00-00000A000000}" name="Σεπ" totalsRowFunction="sum" dataDxfId="66" totalsRowDxfId="65">
      <calculatedColumnFormula>INDEX(ΠρογραμματισμέναΈξοδαΜάρκετινγκ[],MATCH(INDEX(ΔιακυμάνσειςΕξόδωνΜάρκετινγκ[],ROW()-ROW(ΔιακυμάνσειςΕξόδωνΜάρκετινγκ[[#Headers],[Σεπ]]),1),INDEX(ΠρογραμματισμέναΈξοδαΜάρκετινγκ[],,1),0),MATCH(ΔιακυμάνσειςΕξόδωνΜάρκετινγκ[[#Headers],[Σεπ]],ΠρογραμματισμέναΈξοδαΜάρκετινγκ[#Headers],0))-INDEX(ΠραγματικάΈξοδαΜάρκετινγκ[],MATCH(INDEX(ΔιακυμάνσειςΕξόδωνΜάρκετινγκ[],ROW()-ROW(ΔιακυμάνσειςΕξόδωνΜάρκετινγκ[[#Headers],[Σεπ]]),1),INDEX(ΠρογραμματισμέναΈξοδαΜάρκετινγκ[],,1),0),MATCH(ΔιακυμάνσειςΕξόδωνΜάρκετινγκ[[#Headers],[Σεπ]],ΠραγματικάΈξοδαΜάρκετινγκ[#Headers],0))</calculatedColumnFormula>
    </tableColumn>
    <tableColumn id="11" xr3:uid="{00000000-0010-0000-0A00-00000B000000}" name="Οκτ" totalsRowFunction="sum" dataDxfId="64" totalsRowDxfId="63">
      <calculatedColumnFormula>INDEX(ΠρογραμματισμέναΈξοδαΜάρκετινγκ[],MATCH(INDEX(ΔιακυμάνσειςΕξόδωνΜάρκετινγκ[],ROW()-ROW(ΔιακυμάνσειςΕξόδωνΜάρκετινγκ[[#Headers],[Οκτ]]),1),INDEX(ΠρογραμματισμέναΈξοδαΜάρκετινγκ[],,1),0),MATCH(ΔιακυμάνσειςΕξόδωνΜάρκετινγκ[[#Headers],[Οκτ]],ΠρογραμματισμέναΈξοδαΜάρκετινγκ[#Headers],0))-INDEX(ΠραγματικάΈξοδαΜάρκετινγκ[],MATCH(INDEX(ΔιακυμάνσειςΕξόδωνΜάρκετινγκ[],ROW()-ROW(ΔιακυμάνσειςΕξόδωνΜάρκετινγκ[[#Headers],[Οκτ]]),1),INDEX(ΠρογραμματισμέναΈξοδαΜάρκετινγκ[],,1),0),MATCH(ΔιακυμάνσειςΕξόδωνΜάρκετινγκ[[#Headers],[Οκτ]],ΠραγματικάΈξοδαΜάρκετινγκ[#Headers],0))</calculatedColumnFormula>
    </tableColumn>
    <tableColumn id="12" xr3:uid="{00000000-0010-0000-0A00-00000C000000}" name="Νοε" totalsRowFunction="sum" dataDxfId="62" totalsRowDxfId="61">
      <calculatedColumnFormula>INDEX(ΠρογραμματισμέναΈξοδαΜάρκετινγκ[],MATCH(INDEX(ΔιακυμάνσειςΕξόδωνΜάρκετινγκ[],ROW()-ROW(ΔιακυμάνσειςΕξόδωνΜάρκετινγκ[[#Headers],[Νοε]]),1),INDEX(ΠρογραμματισμέναΈξοδαΜάρκετινγκ[],,1),0),MATCH(ΔιακυμάνσειςΕξόδωνΜάρκετινγκ[[#Headers],[Νοε]],ΠρογραμματισμέναΈξοδαΜάρκετινγκ[#Headers],0))-INDEX(ΠραγματικάΈξοδαΜάρκετινγκ[],MATCH(INDEX(ΔιακυμάνσειςΕξόδωνΜάρκετινγκ[],ROW()-ROW(ΔιακυμάνσειςΕξόδωνΜάρκετινγκ[[#Headers],[Νοε]]),1),INDEX(ΠρογραμματισμέναΈξοδαΜάρκετινγκ[],,1),0),MATCH(ΔιακυμάνσειςΕξόδωνΜάρκετινγκ[[#Headers],[Νοε]],ΠραγματικάΈξοδαΜάρκετινγκ[#Headers],0))</calculatedColumnFormula>
    </tableColumn>
    <tableColumn id="13" xr3:uid="{00000000-0010-0000-0A00-00000D000000}" name="Δεκ" totalsRowFunction="sum" dataDxfId="60" totalsRowDxfId="59">
      <calculatedColumnFormula>INDEX(ΠρογραμματισμέναΈξοδαΜάρκετινγκ[],MATCH(INDEX(ΔιακυμάνσειςΕξόδωνΜάρκετινγκ[],ROW()-ROW(ΔιακυμάνσειςΕξόδωνΜάρκετινγκ[[#Headers],[Δεκ]]),1),INDEX(ΠρογραμματισμέναΈξοδαΜάρκετινγκ[],,1),0),MATCH(ΔιακυμάνσειςΕξόδωνΜάρκετινγκ[[#Headers],[Δεκ]],ΠρογραμματισμέναΈξοδαΜάρκετινγκ[#Headers],0))-INDEX(ΠραγματικάΈξοδαΜάρκετινγκ[],MATCH(INDEX(ΔιακυμάνσειςΕξόδωνΜάρκετινγκ[],ROW()-ROW(ΔιακυμάνσειςΕξόδωνΜάρκετινγκ[[#Headers],[Δεκ]]),1),INDEX(ΠρογραμματισμέναΈξοδαΜάρκετινγκ[],,1),0),MATCH(ΔιακυμάνσειςΕξόδωνΜάρκετινγκ[[#Headers],[Δεκ]],ΠραγματικάΈξοδαΜάρκετινγκ[#Headers],0))</calculatedColumnFormula>
    </tableColumn>
    <tableColumn id="14" xr3:uid="{00000000-0010-0000-0A00-00000E000000}" name="ΕΤΟΣ" totalsRowFunction="sum" dataDxfId="58" totalsRowDxfId="57">
      <calculatedColumnFormula>SUM(ΔιακυμάνσειςΕξόδωνΜάρκετινγκ[[#This Row],[Ιαν]:[Δεκ]])</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Η διακύμανση στα έξοδα μάρκετινγκ ανά μήνα υπολογίζεται αυτόματα σε αυτόν τον πίνακα"/>
    </ext>
  </extLst>
</table>
</file>

<file path=xl/tables/table14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ΔιακυμάνσειςΕξόδωνΕκπαίδευσηςΚαιΜετακινήσεων" displayName="ΔιακυμάνσειςΕξόδωνΕκπαίδευσηςΚαιΜετακινήσεων" ref="B30:O33" totalsRowCount="1" headerRowDxfId="56" totalsRowDxfId="53" headerRowBorderDxfId="55" tableBorderDxfId="54" totalsRowBorderDxfId="52">
  <autoFilter ref="B30:O3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Εκπαίδευση/Ταξίδια" totalsRowLabel="Μερικό άθροισμα" dataDxfId="51" totalsRowDxfId="50"/>
    <tableColumn id="2" xr3:uid="{00000000-0010-0000-0B00-000002000000}" name="Ιαν" totalsRowFunction="sum" dataDxfId="49" totalsRowDxfId="48">
      <calculatedColumnFormula>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Ιαν]]),1),INDEX(ΠρογραμματισμέναΈξοδαΕκπαίδευσηςΚαιΜετακινήσεων[],,1),0),MATCH(ΔιακυμάνσειςΕξόδωνΕκπαίδευσηςΚαιΜετακινήσεων[[#Headers],[Ιαν]],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Ιαν]]),1),INDEX(ΠρογραμματισμέναΈξοδαΕκπαίδευσηςΚαιΜετακινήσεων[],,1),0),MATCH(ΔιακυμάνσειςΕξόδωνΕκπαίδευσηςΚαιΜετακινήσεων[[#Headers],[Ιαν]],ΠραγματικάΈξοδαΕκπαίδευσηςΚαιΜετακινήσεων[#Headers],0))</calculatedColumnFormula>
    </tableColumn>
    <tableColumn id="3" xr3:uid="{00000000-0010-0000-0B00-000003000000}" name="Φεβ" totalsRowFunction="sum" dataDxfId="47" totalsRowDxfId="46">
      <calculatedColumnFormula>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Φεβ]]),1),INDEX(ΠρογραμματισμέναΈξοδαΕκπαίδευσηςΚαιΜετακινήσεων[],,1),0),MATCH(ΔιακυμάνσειςΕξόδωνΕκπαίδευσηςΚαιΜετακινήσεων[[#Headers],[Φεβ]],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Φεβ]]),1),INDEX(ΠρογραμματισμέναΈξοδαΕκπαίδευσηςΚαιΜετακινήσεων[],,1),0),MATCH(ΔιακυμάνσειςΕξόδωνΕκπαίδευσηςΚαιΜετακινήσεων[[#Headers],[Φεβ]],ΠραγματικάΈξοδαΕκπαίδευσηςΚαιΜετακινήσεων[#Headers],0))</calculatedColumnFormula>
    </tableColumn>
    <tableColumn id="4" xr3:uid="{00000000-0010-0000-0B00-000004000000}" name="Μάρ" totalsRowFunction="sum" dataDxfId="45" totalsRowDxfId="44">
      <calculatedColumnFormula>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Μάρ]]),1),INDEX(ΠρογραμματισμέναΈξοδαΕκπαίδευσηςΚαιΜετακινήσεων[],,1),0),MATCH(ΔιακυμάνσειςΕξόδωνΕκπαίδευσηςΚαιΜετακινήσεων[[#Headers],[Μάρ]],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Μάρ]]),1),INDEX(ΠρογραμματισμέναΈξοδαΕκπαίδευσηςΚαιΜετακινήσεων[],,1),0),MATCH(ΔιακυμάνσειςΕξόδωνΕκπαίδευσηςΚαιΜετακινήσεων[[#Headers],[Μάρ]],ΠραγματικάΈξοδαΕκπαίδευσηςΚαιΜετακινήσεων[#Headers],0))</calculatedColumnFormula>
    </tableColumn>
    <tableColumn id="5" xr3:uid="{00000000-0010-0000-0B00-000005000000}" name="Απρ" totalsRowFunction="sum" dataDxfId="43" totalsRowDxfId="42">
      <calculatedColumnFormula>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Απρ]]),1),INDEX(ΠρογραμματισμέναΈξοδαΕκπαίδευσηςΚαιΜετακινήσεων[],,1),0),MATCH(ΔιακυμάνσειςΕξόδωνΕκπαίδευσηςΚαιΜετακινήσεων[[#Headers],[Απρ]],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Απρ]]),1),INDEX(ΠρογραμματισμέναΈξοδαΕκπαίδευσηςΚαιΜετακινήσεων[],,1),0),MATCH(ΔιακυμάνσειςΕξόδωνΕκπαίδευσηςΚαιΜετακινήσεων[[#Headers],[Απρ]],ΠραγματικάΈξοδαΕκπαίδευσηςΚαιΜετακινήσεων[#Headers],0))</calculatedColumnFormula>
    </tableColumn>
    <tableColumn id="6" xr3:uid="{00000000-0010-0000-0B00-000006000000}" name="Μάι" totalsRowFunction="sum" dataDxfId="41" totalsRowDxfId="40">
      <calculatedColumnFormula>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Μάι]]),1),INDEX(ΠρογραμματισμέναΈξοδαΕκπαίδευσηςΚαιΜετακινήσεων[],,1),0),MATCH(ΔιακυμάνσειςΕξόδωνΕκπαίδευσηςΚαιΜετακινήσεων[[#Headers],[Μάι]],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Μάι]]),1),INDEX(ΠρογραμματισμέναΈξοδαΕκπαίδευσηςΚαιΜετακινήσεων[],,1),0),MATCH(ΔιακυμάνσειςΕξόδωνΕκπαίδευσηςΚαιΜετακινήσεων[[#Headers],[Μάι]],ΠραγματικάΈξοδαΕκπαίδευσηςΚαιΜετακινήσεων[#Headers],0))</calculatedColumnFormula>
    </tableColumn>
    <tableColumn id="7" xr3:uid="{00000000-0010-0000-0B00-000007000000}" name="Ιούν" totalsRowFunction="sum" dataDxfId="39" totalsRowDxfId="38">
      <calculatedColumnFormula>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Ιούν]]),1),INDEX(ΠρογραμματισμέναΈξοδαΕκπαίδευσηςΚαιΜετακινήσεων[],,1),0),MATCH(ΔιακυμάνσειςΕξόδωνΕκπαίδευσηςΚαιΜετακινήσεων[[#Headers],[Ιούν]],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Ιούν]]),1),INDEX(ΠρογραμματισμέναΈξοδαΕκπαίδευσηςΚαιΜετακινήσεων[],,1),0),MATCH(ΔιακυμάνσειςΕξόδωνΕκπαίδευσηςΚαιΜετακινήσεων[[#Headers],[Ιούν]],ΠραγματικάΈξοδαΕκπαίδευσηςΚαιΜετακινήσεων[#Headers],0))</calculatedColumnFormula>
    </tableColumn>
    <tableColumn id="8" xr3:uid="{00000000-0010-0000-0B00-000008000000}" name="Ιούλ" totalsRowFunction="sum" dataDxfId="37" totalsRowDxfId="36">
      <calculatedColumnFormula>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Ιούλ]]),1),INDEX(ΠρογραμματισμέναΈξοδαΕκπαίδευσηςΚαιΜετακινήσεων[],,1),0),MATCH(ΔιακυμάνσειςΕξόδωνΕκπαίδευσηςΚαιΜετακινήσεων[[#Headers],[Ιούλ]],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Ιούλ]]),1),INDEX(ΠρογραμματισμέναΈξοδαΕκπαίδευσηςΚαιΜετακινήσεων[],,1),0),MATCH(ΔιακυμάνσειςΕξόδωνΕκπαίδευσηςΚαιΜετακινήσεων[[#Headers],[Ιούλ]],ΠραγματικάΈξοδαΕκπαίδευσηςΚαιΜετακινήσεων[#Headers],0))</calculatedColumnFormula>
    </tableColumn>
    <tableColumn id="9" xr3:uid="{00000000-0010-0000-0B00-000009000000}" name="Αύγ" totalsRowFunction="sum" dataDxfId="35" totalsRowDxfId="34">
      <calculatedColumnFormula>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Αύγ]]),1),INDEX(ΠρογραμματισμέναΈξοδαΕκπαίδευσηςΚαιΜετακινήσεων[],,1),0),MATCH(ΔιακυμάνσειςΕξόδωνΕκπαίδευσηςΚαιΜετακινήσεων[[#Headers],[Αύγ]],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Αύγ]]),1),INDEX(ΠρογραμματισμέναΈξοδαΕκπαίδευσηςΚαιΜετακινήσεων[],,1),0),MATCH(ΔιακυμάνσειςΕξόδωνΕκπαίδευσηςΚαιΜετακινήσεων[[#Headers],[Αύγ]],ΠραγματικάΈξοδαΕκπαίδευσηςΚαιΜετακινήσεων[#Headers],0))</calculatedColumnFormula>
    </tableColumn>
    <tableColumn id="10" xr3:uid="{00000000-0010-0000-0B00-00000A000000}" name="Σεπ" totalsRowFunction="sum" dataDxfId="33" totalsRowDxfId="32">
      <calculatedColumnFormula>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Σεπ]]),1),INDEX(ΠρογραμματισμέναΈξοδαΕκπαίδευσηςΚαιΜετακινήσεων[],,1),0),MATCH(ΔιακυμάνσειςΕξόδωνΕκπαίδευσηςΚαιΜετακινήσεων[[#Headers],[Σεπ]],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Σεπ]]),1),INDEX(ΠρογραμματισμέναΈξοδαΕκπαίδευσηςΚαιΜετακινήσεων[],,1),0),MATCH(ΔιακυμάνσειςΕξόδωνΕκπαίδευσηςΚαιΜετακινήσεων[[#Headers],[Σεπ]],ΠραγματικάΈξοδαΕκπαίδευσηςΚαιΜετακινήσεων[#Headers],0))</calculatedColumnFormula>
    </tableColumn>
    <tableColumn id="11" xr3:uid="{00000000-0010-0000-0B00-00000B000000}" name="Οκτ" totalsRowFunction="sum" dataDxfId="31" totalsRowDxfId="30">
      <calculatedColumnFormula>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Οκτ]]),1),INDEX(ΠρογραμματισμέναΈξοδαΕκπαίδευσηςΚαιΜετακινήσεων[],,1),0),MATCH(ΔιακυμάνσειςΕξόδωνΕκπαίδευσηςΚαιΜετακινήσεων[[#Headers],[Οκτ]],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Οκτ]]),1),INDEX(ΠρογραμματισμέναΈξοδαΕκπαίδευσηςΚαιΜετακινήσεων[],,1),0),MATCH(ΔιακυμάνσειςΕξόδωνΕκπαίδευσηςΚαιΜετακινήσεων[[#Headers],[Οκτ]],ΠραγματικάΈξοδαΕκπαίδευσηςΚαιΜετακινήσεων[#Headers],0))</calculatedColumnFormula>
    </tableColumn>
    <tableColumn id="12" xr3:uid="{00000000-0010-0000-0B00-00000C000000}" name="Νοε" totalsRowFunction="sum" dataDxfId="29" totalsRowDxfId="28">
      <calculatedColumnFormula>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Νοε]]),1),INDEX(ΠρογραμματισμέναΈξοδαΕκπαίδευσηςΚαιΜετακινήσεων[],,1),0),MATCH(ΔιακυμάνσειςΕξόδωνΕκπαίδευσηςΚαιΜετακινήσεων[[#Headers],[Νοε]],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Νοε]]),1),INDEX(ΠρογραμματισμέναΈξοδαΕκπαίδευσηςΚαιΜετακινήσεων[],,1),0),MATCH(ΔιακυμάνσειςΕξόδωνΕκπαίδευσηςΚαιΜετακινήσεων[[#Headers],[Νοε]],ΠραγματικάΈξοδαΕκπαίδευσηςΚαιΜετακινήσεων[#Headers],0))</calculatedColumnFormula>
    </tableColumn>
    <tableColumn id="13" xr3:uid="{00000000-0010-0000-0B00-00000D000000}" name="Δεκ" totalsRowFunction="sum" dataDxfId="27" totalsRowDxfId="26">
      <calculatedColumnFormula>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Δεκ]]),1),INDEX(ΠρογραμματισμέναΈξοδαΕκπαίδευσηςΚαιΜετακινήσεων[],,1),0),MATCH(ΔιακυμάνσειςΕξόδωνΕκπαίδευσηςΚαιΜετακινήσεων[[#Headers],[Δεκ]],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Δεκ]]),1),INDEX(ΠρογραμματισμέναΈξοδαΕκπαίδευσηςΚαιΜετακινήσεων[],,1),0),MATCH(ΔιακυμάνσειςΕξόδωνΕκπαίδευσηςΚαιΜετακινήσεων[[#Headers],[Δεκ]],ΠραγματικάΈξοδαΕκπαίδευσηςΚαιΜετακινήσεων[#Headers],0))</calculatedColumnFormula>
    </tableColumn>
    <tableColumn id="14" xr3:uid="{00000000-0010-0000-0B00-00000E000000}" name="ΕΤΟΣ" totalsRowFunction="sum" dataDxfId="25" totalsRowDxfId="24">
      <calculatedColumnFormula>SUM(ΔιακυμάνσειςΕξόδωνΕκπαίδευσηςΚαιΜετακινήσεων[[#This Row],[Ιαν]:[Δεκ]])</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Η διακύμανση στα έξοδα εκπαίδευσης και μετακινήσεων ανά μήνα υπολογίζεται αυτόματα σε αυτόν τον πίνακα"/>
    </ext>
  </extLst>
</table>
</file>

<file path=xl/tables/table15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450248-DB77-46F5-B207-E715DE10D029}" name="ΣυνολικέςΔιακυμάνσεις" displayName="ΣυνολικέςΔιακυμάνσεις" ref="B35:O37" totalsRowShown="0" headerRowDxfId="23" dataDxfId="22" tableBorderDxfId="21">
  <autoFilter ref="B35:O37" xr:uid="{B407F9FC-1AB0-4A37-B2B1-EDE36CD997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A1B301-8171-4BDA-9269-D51F18A1CE72}" name="ΣΥΝΟΛΑ" dataDxfId="20"/>
    <tableColumn id="2" xr3:uid="{AE0C21A5-398B-42DE-950D-8AE4AD1A8551}" name="Ιαν" dataDxfId="19">
      <calculatedColumnFormula>SUM($C35:C$36)</calculatedColumnFormula>
    </tableColumn>
    <tableColumn id="3" xr3:uid="{A43B0B0E-F35F-4E04-8A0D-11BB7356D5F1}" name="Φεβ" dataDxfId="18">
      <calculatedColumnFormula>SUM($C35:D$36)</calculatedColumnFormula>
    </tableColumn>
    <tableColumn id="4" xr3:uid="{F14459A4-8E61-4E04-9A53-A7DA16CE366A}" name="Μάρ" dataDxfId="17">
      <calculatedColumnFormula>SUM($C35:E$36)</calculatedColumnFormula>
    </tableColumn>
    <tableColumn id="5" xr3:uid="{1C90C974-8801-4A11-B3AF-1DC144BB0C14}" name="Απρ" dataDxfId="16">
      <calculatedColumnFormula>SUM($C35:F$36)</calculatedColumnFormula>
    </tableColumn>
    <tableColumn id="6" xr3:uid="{C8E3F4F6-5F27-4CC7-9916-6D86833782C1}" name="Μάι" dataDxfId="15">
      <calculatedColumnFormula>SUM($C35:G$36)</calculatedColumnFormula>
    </tableColumn>
    <tableColumn id="7" xr3:uid="{AF75D92B-7578-4087-BB78-DD5AD8165117}" name="Ιούν" dataDxfId="14">
      <calculatedColumnFormula>SUM($C35:H$36)</calculatedColumnFormula>
    </tableColumn>
    <tableColumn id="8" xr3:uid="{35F61ABA-09FB-4695-B0F5-A2C6B6580A2E}" name="Ιούλ" dataDxfId="13">
      <calculatedColumnFormula>SUM($C35:I$36)</calculatedColumnFormula>
    </tableColumn>
    <tableColumn id="9" xr3:uid="{59F62437-45DC-439F-945A-D0E79C444E8E}" name="Αύγ" dataDxfId="12">
      <calculatedColumnFormula>SUM($C35:J$36)</calculatedColumnFormula>
    </tableColumn>
    <tableColumn id="10" xr3:uid="{2BF9DCC5-B211-44A6-BD40-E91602CDA85C}" name="Σεπ" dataDxfId="11">
      <calculatedColumnFormula>SUM($C35:K$36)</calculatedColumnFormula>
    </tableColumn>
    <tableColumn id="11" xr3:uid="{4280684A-CD23-4103-8664-029757D0A2A2}" name="Οκτ" dataDxfId="10">
      <calculatedColumnFormula>SUM($C35:L$36)</calculatedColumnFormula>
    </tableColumn>
    <tableColumn id="12" xr3:uid="{07DED434-EC8F-4DAF-83E3-E350A33F2EAE}" name="Νοε" dataDxfId="9">
      <calculatedColumnFormula>SUM($C35:M$36)</calculatedColumnFormula>
    </tableColumn>
    <tableColumn id="13" xr3:uid="{32BA0102-0F05-43CF-91BA-724F1FE01DAA}" name="Δεκ" dataDxfId="8">
      <calculatedColumnFormula>SUM($C35:N$36)</calculatedColumnFormula>
    </tableColumn>
    <tableColumn id="14" xr3:uid="{57A0D710-AEB8-4057-928D-010058E02081}" name="Έτος" dataDxfId="7"/>
  </tableColumns>
  <tableStyleInfo showFirstColumn="1" showLastColumn="0" showRowStripes="0" showColumnStripes="0"/>
  <extLst>
    <ext xmlns:x14="http://schemas.microsoft.com/office/spreadsheetml/2009/9/main" uri="{504A1905-F514-4f6f-8877-14C23A59335A}">
      <x14:table altTextSummary="Οι διακυμάνσεις μηνιαίων και συνολικών εξόδων υπολογίζονται αυτόματα σε αυτόν τον πίνακα"/>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ΠρογραμματισμέναΈξοδαΓραφείου" displayName="ΠρογραμματισμέναΈξοδαΓραφείου" ref="B10:O19" totalsRowCount="1" headerRowDxfId="460" totalsRowDxfId="457" headerRowBorderDxfId="459" tableBorderDxfId="458" totalsRowBorderDxfId="456">
  <autoFilter ref="B10:O1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Έξοδα γραφείου" totalsRowLabel="Μερικό άθροισμα" dataDxfId="455" totalsRowDxfId="454"/>
    <tableColumn id="2" xr3:uid="{00000000-0010-0000-0000-000002000000}" name="Ιαν" totalsRowFunction="sum" dataDxfId="453" totalsRowDxfId="452"/>
    <tableColumn id="3" xr3:uid="{00000000-0010-0000-0000-000003000000}" name="Φεβ" totalsRowFunction="sum" dataDxfId="451" totalsRowDxfId="450"/>
    <tableColumn id="4" xr3:uid="{00000000-0010-0000-0000-000004000000}" name="Μάρ" totalsRowFunction="sum" dataDxfId="449" totalsRowDxfId="448"/>
    <tableColumn id="5" xr3:uid="{00000000-0010-0000-0000-000005000000}" name="Απρ" totalsRowFunction="sum" dataDxfId="447" totalsRowDxfId="446"/>
    <tableColumn id="6" xr3:uid="{00000000-0010-0000-0000-000006000000}" name="Μάι" totalsRowFunction="sum" dataDxfId="445" totalsRowDxfId="444"/>
    <tableColumn id="7" xr3:uid="{00000000-0010-0000-0000-000007000000}" name="Ιούν" totalsRowFunction="sum" dataDxfId="443" totalsRowDxfId="442"/>
    <tableColumn id="8" xr3:uid="{00000000-0010-0000-0000-000008000000}" name="Ιούλ" totalsRowFunction="sum" dataDxfId="441" totalsRowDxfId="440"/>
    <tableColumn id="9" xr3:uid="{00000000-0010-0000-0000-000009000000}" name="Αύγ" totalsRowFunction="sum" dataDxfId="439" totalsRowDxfId="438"/>
    <tableColumn id="10" xr3:uid="{00000000-0010-0000-0000-00000A000000}" name="Σεπ" totalsRowFunction="sum" dataDxfId="437" totalsRowDxfId="436"/>
    <tableColumn id="11" xr3:uid="{00000000-0010-0000-0000-00000B000000}" name="Οκτ" totalsRowFunction="sum" dataDxfId="435" totalsRowDxfId="434"/>
    <tableColumn id="12" xr3:uid="{00000000-0010-0000-0000-00000C000000}" name="Νοε" totalsRowFunction="sum" dataDxfId="433" totalsRowDxfId="432"/>
    <tableColumn id="13" xr3:uid="{00000000-0010-0000-0000-00000D000000}" name="Δεκ" totalsRowFunction="sum" dataDxfId="431" totalsRowDxfId="430"/>
    <tableColumn id="14" xr3:uid="{00000000-0010-0000-0000-00000E000000}" name="ΕΤΟΣ" totalsRowFunction="sum" dataDxfId="429" totalsRowDxfId="428">
      <calculatedColumnFormula>SUM(C11:N11)</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Καταχωρήστε τα προγραμματισμένα μηνιαία έξοδα γραφείου σε αυτόν τον πίνακα. Το σύνολο υπολογίζεται αυτόματα στο τέλος"/>
    </ext>
  </extLst>
</table>
</file>

<file path=xl/tables/table16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9F34C-CC7A-4C9E-8687-3CBA6E03BB7D}" name="Ανάλυση" displayName="Ανάλυση" ref="B5:F10" totalsRowShown="0" dataDxfId="6" tableBorderDxfId="5">
  <autoFilter ref="B5:F10" xr:uid="{FF30FBEE-D7F5-45FA-A994-455B735EFD11}">
    <filterColumn colId="0" hiddenButton="1"/>
    <filterColumn colId="1" hiddenButton="1"/>
    <filterColumn colId="2" hiddenButton="1"/>
    <filterColumn colId="3" hiddenButton="1"/>
    <filterColumn colId="4" hiddenButton="1"/>
  </autoFilter>
  <tableColumns count="5">
    <tableColumn id="1" xr3:uid="{85D5DD3A-2DA8-4CC6-8C75-2348A5B1DCE5}" name="Κατηγορία εξόδων" dataDxfId="4"/>
    <tableColumn id="2" xr3:uid="{71038352-BC76-49DD-9F6C-B394E5F033ED}" name="Προγραμματισμένα έξοδα" dataDxfId="3"/>
    <tableColumn id="3" xr3:uid="{19ED3EBC-BC10-47F6-9800-62129A32BC8E}" name="Πραγματικά έξοδα" dataDxfId="2"/>
    <tableColumn id="4" xr3:uid="{E8D5E1DD-7CB1-4A1A-8F42-EFBF70790FE7}" name="Διακυμάνσεις εξόδων" dataDxfId="1">
      <calculatedColumnFormula>C6-D6</calculatedColumnFormula>
    </tableColumn>
    <tableColumn id="5" xr3:uid="{47E1881E-12A2-4F0E-8364-B79F2DC5D0B1}" name="Ποσοστό διακύμανσης" dataDxfId="0">
      <calculatedColumnFormula>E6/C6</calculatedColumnFormula>
    </tableColumn>
  </tableColumns>
  <tableStyleInfo showFirstColumn="1" showLastColumn="0" showRowStripes="0" showColumnStripes="0"/>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ΠρογραμματισμέναΈξοδαΜάρκετινγκ" displayName="ΠρογραμματισμέναΈξοδαΜάρκετινγκ" ref="B21:O28" totalsRowCount="1" headerRowDxfId="427" totalsRowDxfId="424" headerRowBorderDxfId="426" tableBorderDxfId="425" totalsRowBorderDxfId="423">
  <autoFilter ref="B21:O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Έξοδα μάρκετινγκ" totalsRowLabel="Μερικό άθροισμα" dataDxfId="422" totalsRowDxfId="421"/>
    <tableColumn id="2" xr3:uid="{00000000-0010-0000-0100-000002000000}" name="Ιαν" totalsRowFunction="sum" dataDxfId="420" totalsRowDxfId="419"/>
    <tableColumn id="3" xr3:uid="{00000000-0010-0000-0100-000003000000}" name="Φεβ" totalsRowFunction="sum" dataDxfId="418" totalsRowDxfId="417"/>
    <tableColumn id="4" xr3:uid="{00000000-0010-0000-0100-000004000000}" name="Μάρ" totalsRowFunction="sum" dataDxfId="416" totalsRowDxfId="415"/>
    <tableColumn id="5" xr3:uid="{00000000-0010-0000-0100-000005000000}" name="Απρ" totalsRowFunction="sum" dataDxfId="414" totalsRowDxfId="413"/>
    <tableColumn id="6" xr3:uid="{00000000-0010-0000-0100-000006000000}" name="Μάι" totalsRowFunction="sum" dataDxfId="412" totalsRowDxfId="411"/>
    <tableColumn id="7" xr3:uid="{00000000-0010-0000-0100-000007000000}" name="Ιούν" totalsRowFunction="sum" dataDxfId="410" totalsRowDxfId="409"/>
    <tableColumn id="8" xr3:uid="{00000000-0010-0000-0100-000008000000}" name="Ιούλ" totalsRowFunction="sum" dataDxfId="408" totalsRowDxfId="407"/>
    <tableColumn id="9" xr3:uid="{00000000-0010-0000-0100-000009000000}" name="Αύγ" totalsRowFunction="sum" dataDxfId="406" totalsRowDxfId="405"/>
    <tableColumn id="10" xr3:uid="{00000000-0010-0000-0100-00000A000000}" name="Σεπ" totalsRowFunction="sum" dataDxfId="404" totalsRowDxfId="403"/>
    <tableColumn id="11" xr3:uid="{00000000-0010-0000-0100-00000B000000}" name="Οκτ" totalsRowFunction="sum" dataDxfId="402" totalsRowDxfId="401"/>
    <tableColumn id="12" xr3:uid="{00000000-0010-0000-0100-00000C000000}" name="Νοε" totalsRowFunction="sum" dataDxfId="400" totalsRowDxfId="399"/>
    <tableColumn id="13" xr3:uid="{00000000-0010-0000-0100-00000D000000}" name="Δεκ" totalsRowFunction="sum" dataDxfId="398" totalsRowDxfId="397"/>
    <tableColumn id="14" xr3:uid="{00000000-0010-0000-0100-00000E000000}" name="ΕΤΟΣ" totalsRowFunction="sum" dataDxfId="396" totalsRowDxfId="395">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Εισαγάγετε τα προγραμματισμένα μηνιαία έξοδα μάρκετινγκ σε αυτόν τον πίνακα. Το σύνολο υπολογίζεται αυτόματα στο τέλος"/>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ΠρογραμματισμέναΈξοδαΕκπαίδευσηςΚαιΜετακινήσεων" displayName="ΠρογραμματισμέναΈξοδαΕκπαίδευσηςΚαιΜετακινήσεων" ref="B30:O33" totalsRowCount="1" headerRowDxfId="394" totalsRowDxfId="391" headerRowBorderDxfId="393" tableBorderDxfId="392" totalsRowBorderDxfId="390">
  <autoFilter ref="B30:O3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Εκπαίδευση/Ταξίδια" totalsRowLabel="Μερικό άθροισμα" dataDxfId="389" totalsRowDxfId="388"/>
    <tableColumn id="2" xr3:uid="{00000000-0010-0000-0200-000002000000}" name="Ιαν" totalsRowFunction="sum" dataDxfId="387" totalsRowDxfId="386"/>
    <tableColumn id="3" xr3:uid="{00000000-0010-0000-0200-000003000000}" name="Φεβ" totalsRowFunction="sum" dataDxfId="385" totalsRowDxfId="384"/>
    <tableColumn id="4" xr3:uid="{00000000-0010-0000-0200-000004000000}" name="Μάρ" totalsRowFunction="sum" dataDxfId="383" totalsRowDxfId="382"/>
    <tableColumn id="5" xr3:uid="{00000000-0010-0000-0200-000005000000}" name="Απρ" totalsRowFunction="sum" dataDxfId="381" totalsRowDxfId="380"/>
    <tableColumn id="6" xr3:uid="{00000000-0010-0000-0200-000006000000}" name="Μάι" totalsRowFunction="sum" dataDxfId="379" totalsRowDxfId="378"/>
    <tableColumn id="7" xr3:uid="{00000000-0010-0000-0200-000007000000}" name="Ιούν" totalsRowFunction="sum" dataDxfId="377" totalsRowDxfId="376"/>
    <tableColumn id="8" xr3:uid="{00000000-0010-0000-0200-000008000000}" name="Ιούλ" totalsRowFunction="sum" dataDxfId="375" totalsRowDxfId="374"/>
    <tableColumn id="9" xr3:uid="{00000000-0010-0000-0200-000009000000}" name="Αύγ" totalsRowFunction="sum" dataDxfId="373" totalsRowDxfId="372"/>
    <tableColumn id="10" xr3:uid="{00000000-0010-0000-0200-00000A000000}" name="Σεπ" totalsRowFunction="sum" dataDxfId="371" totalsRowDxfId="370"/>
    <tableColumn id="11" xr3:uid="{00000000-0010-0000-0200-00000B000000}" name="Οκτ" totalsRowFunction="sum" dataDxfId="369" totalsRowDxfId="368"/>
    <tableColumn id="12" xr3:uid="{00000000-0010-0000-0200-00000C000000}" name="Νοε" totalsRowFunction="sum" dataDxfId="367" totalsRowDxfId="366"/>
    <tableColumn id="13" xr3:uid="{00000000-0010-0000-0200-00000D000000}" name="Δεκ" totalsRowFunction="sum" dataDxfId="365" totalsRowDxfId="364"/>
    <tableColumn id="14" xr3:uid="{00000000-0010-0000-0200-00000E000000}" name="ΕΤΟΣ" totalsRowFunction="sum" dataDxfId="363" totalsRowDxfId="362">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Εισαγάγετε τα προγραμματισμένα μηνιαία έξοδα εκπαίδευσης και μετακινήσεων σε αυτόν τον πίνακα. Το σύνολο υπολογίζεται αυτόματα στο τέλος"/>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ΠρογραμματισμέναΈξοδαΥπαλλήλων" displayName="ΠρογραμματισμέναΈξοδαΥπαλλήλων" ref="B5:O8" totalsRowCount="1" headerRowDxfId="361" totalsRowDxfId="358" headerRowBorderDxfId="360" tableBorderDxfId="359" totalsRowBorderDxfId="357">
  <autoFilter ref="B5:O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Έξοδα υπαλλήλων" totalsRowLabel="Μερικό άθροισμα" dataDxfId="356" totalsRowDxfId="355"/>
    <tableColumn id="2" xr3:uid="{00000000-0010-0000-0300-000002000000}" name="Ιαν" totalsRowFunction="sum" dataDxfId="354" totalsRowDxfId="353">
      <calculatedColumnFormula>C5*0.27</calculatedColumnFormula>
    </tableColumn>
    <tableColumn id="3" xr3:uid="{00000000-0010-0000-0300-000003000000}" name="Φεβ" totalsRowFunction="sum" dataDxfId="352" totalsRowDxfId="351">
      <calculatedColumnFormula>D5*0.27</calculatedColumnFormula>
    </tableColumn>
    <tableColumn id="4" xr3:uid="{00000000-0010-0000-0300-000004000000}" name="Μάρ" totalsRowFunction="sum" dataDxfId="350" totalsRowDxfId="349">
      <calculatedColumnFormula>E5*0.27</calculatedColumnFormula>
    </tableColumn>
    <tableColumn id="5" xr3:uid="{00000000-0010-0000-0300-000005000000}" name="Απρ" totalsRowFunction="sum" dataDxfId="348" totalsRowDxfId="347">
      <calculatedColumnFormula>F5*0.27</calculatedColumnFormula>
    </tableColumn>
    <tableColumn id="6" xr3:uid="{00000000-0010-0000-0300-000006000000}" name="Μάι" totalsRowFunction="sum" dataDxfId="346" totalsRowDxfId="345">
      <calculatedColumnFormula>G5*0.27</calculatedColumnFormula>
    </tableColumn>
    <tableColumn id="7" xr3:uid="{00000000-0010-0000-0300-000007000000}" name="Ιούν" totalsRowFunction="sum" dataDxfId="344" totalsRowDxfId="343">
      <calculatedColumnFormula>H5*0.27</calculatedColumnFormula>
    </tableColumn>
    <tableColumn id="8" xr3:uid="{00000000-0010-0000-0300-000008000000}" name="Ιούλ" totalsRowFunction="sum" dataDxfId="342" totalsRowDxfId="341">
      <calculatedColumnFormula>I5*0.27</calculatedColumnFormula>
    </tableColumn>
    <tableColumn id="9" xr3:uid="{00000000-0010-0000-0300-000009000000}" name="Αύγ" totalsRowFunction="sum" dataDxfId="340" totalsRowDxfId="339">
      <calculatedColumnFormula>J5*0.27</calculatedColumnFormula>
    </tableColumn>
    <tableColumn id="10" xr3:uid="{00000000-0010-0000-0300-00000A000000}" name="Σεπ" totalsRowFunction="sum" dataDxfId="338" totalsRowDxfId="337">
      <calculatedColumnFormula>K5*0.27</calculatedColumnFormula>
    </tableColumn>
    <tableColumn id="11" xr3:uid="{00000000-0010-0000-0300-00000B000000}" name="Οκτ" totalsRowFunction="sum" dataDxfId="336" totalsRowDxfId="335">
      <calculatedColumnFormula>L5*0.27</calculatedColumnFormula>
    </tableColumn>
    <tableColumn id="12" xr3:uid="{00000000-0010-0000-0300-00000C000000}" name="Νοέ" totalsRowFunction="sum" dataDxfId="334" totalsRowDxfId="333">
      <calculatedColumnFormula>M5*0.27</calculatedColumnFormula>
    </tableColumn>
    <tableColumn id="13" xr3:uid="{00000000-0010-0000-0300-00000D000000}" name="Δεκ" totalsRowFunction="sum" dataDxfId="332" totalsRowDxfId="331">
      <calculatedColumnFormula>N5*0.27</calculatedColumnFormula>
    </tableColumn>
    <tableColumn id="14" xr3:uid="{00000000-0010-0000-0300-00000E000000}" name="ΕΤΟΣ" totalsRowFunction="sum" dataDxfId="330" totalsRowDxfId="329">
      <calculatedColumnFormula>SUM(C6:N6)</calculatedColumnFormula>
    </tableColumn>
  </tableColumns>
  <tableStyleInfo name="TableStyleMedium1" showFirstColumn="1" showLastColumn="1" showRowStripes="1" showColumnStripes="0"/>
  <extLst>
    <ext xmlns:x14="http://schemas.microsoft.com/office/spreadsheetml/2009/9/main" uri="{504A1905-F514-4f6f-8877-14C23A59335A}">
      <x14:table altTextSummary="Καταχωρήστε τα προγραμματισμένα μηνιαία έξοδα υπαλλήλων σε αυτόν τον πίνακα. Το σύνολο υπολογίζεται αυτόματα στο τέλος"/>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1654C0-A6E2-4402-ADF4-C02B29E915BD}" name="ΣυνολικάΠρογραμματισμέναΈξοδα" displayName="ΣυνολικάΠρογραμματισμέναΈξοδα" ref="B35:O37" totalsRowShown="0" headerRowDxfId="328" dataDxfId="326" headerRowBorderDxfId="327" tableBorderDxfId="325" totalsRowBorderDxfId="324">
  <autoFilter ref="B35:O37" xr:uid="{630CA614-6744-438B-8D74-F7C59585F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DAEAEE0-3B16-417F-B274-1F203D9CFCF2}" name="ΣΥΝΟΛΑ" dataDxfId="323"/>
    <tableColumn id="2" xr3:uid="{3CBCAAC6-5850-43CE-8A4B-7299FADFEA94}" name="Ιαν" dataDxfId="322">
      <calculatedColumnFormula>SUM($C35:C$36)</calculatedColumnFormula>
    </tableColumn>
    <tableColumn id="3" xr3:uid="{E78EAAAB-F732-4079-94F1-D17531764B41}" name="Φεβ" dataDxfId="321">
      <calculatedColumnFormula>SUM($C35:D$36)</calculatedColumnFormula>
    </tableColumn>
    <tableColumn id="4" xr3:uid="{7E178853-B334-4E02-A0B5-9E8AC39D6929}" name="Μάρ" dataDxfId="320">
      <calculatedColumnFormula>SUM($C35:E$36)</calculatedColumnFormula>
    </tableColumn>
    <tableColumn id="5" xr3:uid="{901BCAA1-7C45-46E6-9DAA-C055B5CC4D9E}" name="Απρ" dataDxfId="319">
      <calculatedColumnFormula>SUM($C35:F$36)</calculatedColumnFormula>
    </tableColumn>
    <tableColumn id="6" xr3:uid="{FDC62F5A-FCA8-49DA-AFE4-FBDA22CB588C}" name="Μάι" dataDxfId="318">
      <calculatedColumnFormula>SUM($C35:G$36)</calculatedColumnFormula>
    </tableColumn>
    <tableColumn id="7" xr3:uid="{6B7E4F62-6387-4545-9593-FCFE8EB0E87B}" name="Ιούν" dataDxfId="317">
      <calculatedColumnFormula>SUM($C35:H$36)</calculatedColumnFormula>
    </tableColumn>
    <tableColumn id="8" xr3:uid="{29C96D76-82C3-4C86-A866-135D2B5F6766}" name="Ιούλ" dataDxfId="316">
      <calculatedColumnFormula>SUM($C35:I$36)</calculatedColumnFormula>
    </tableColumn>
    <tableColumn id="9" xr3:uid="{8EAF7A8A-BCFD-4A07-ADFE-7B3A8A367BB3}" name="Αύγ" dataDxfId="315">
      <calculatedColumnFormula>SUM($C35:J$36)</calculatedColumnFormula>
    </tableColumn>
    <tableColumn id="10" xr3:uid="{F40CD844-EFB4-4B82-8FEA-F130D1DDE9B6}" name="Σεπ" dataDxfId="314">
      <calculatedColumnFormula>SUM($C35:K$36)</calculatedColumnFormula>
    </tableColumn>
    <tableColumn id="11" xr3:uid="{42E3BDAF-1274-4A42-93E1-A70D8EFF4D76}" name="Οκτ" dataDxfId="313">
      <calculatedColumnFormula>SUM($C35:L$36)</calculatedColumnFormula>
    </tableColumn>
    <tableColumn id="12" xr3:uid="{4F7ADDB3-3705-4D5F-B56D-EBBC8E7DFAFB}" name="Νοε" dataDxfId="312">
      <calculatedColumnFormula>SUM($C35:M$36)</calculatedColumnFormula>
    </tableColumn>
    <tableColumn id="13" xr3:uid="{56789314-1137-4ED4-BA2B-969187ADECB2}" name="Δεκ" dataDxfId="311">
      <calculatedColumnFormula>SUM($C35:N$36)</calculatedColumnFormula>
    </tableColumn>
    <tableColumn id="14" xr3:uid="{284F34B8-8D32-4E44-96FD-25CE69A931D2}" name="Έτος" dataDxfId="310"/>
  </tableColumns>
  <tableStyleInfo showFirstColumn="1" showLastColumn="0" showRowStripes="0" showColumnStripes="0"/>
  <extLst>
    <ext xmlns:x14="http://schemas.microsoft.com/office/spreadsheetml/2009/9/main" uri="{504A1905-F514-4f6f-8877-14C23A59335A}">
      <x14:table altTextSummary="Τα μηνιαία και τα συνολικά προγραμματισμένα έξοδα υπολογίζονται αυτόματα σε αυτόν τον πίνακα"/>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ΠραγματικάΈξοδαΓραφείου" displayName="ΠραγματικάΈξοδαΓραφείου" ref="B10:O19" totalsRowCount="1" headerRowDxfId="309" totalsRowDxfId="306" headerRowBorderDxfId="308" tableBorderDxfId="307" totalsRowBorderDxfId="305">
  <autoFilter ref="B10:O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Έξοδα γραφείου" totalsRowLabel="Μερικό άθροισμα" dataDxfId="304" totalsRowDxfId="303"/>
    <tableColumn id="2" xr3:uid="{00000000-0010-0000-0400-000002000000}" name="Ιαν" totalsRowFunction="sum" dataDxfId="302" totalsRowDxfId="301"/>
    <tableColumn id="3" xr3:uid="{00000000-0010-0000-0400-000003000000}" name="Φεβ" totalsRowFunction="sum" dataDxfId="300" totalsRowDxfId="299"/>
    <tableColumn id="4" xr3:uid="{00000000-0010-0000-0400-000004000000}" name="Μάρ" totalsRowFunction="sum" dataDxfId="298" totalsRowDxfId="297"/>
    <tableColumn id="5" xr3:uid="{00000000-0010-0000-0400-000005000000}" name="Απρ" totalsRowFunction="sum" dataDxfId="296" totalsRowDxfId="295"/>
    <tableColumn id="6" xr3:uid="{00000000-0010-0000-0400-000006000000}" name="Μάι" totalsRowFunction="sum" dataDxfId="294" totalsRowDxfId="293"/>
    <tableColumn id="7" xr3:uid="{00000000-0010-0000-0400-000007000000}" name="Ιούν" totalsRowFunction="sum" dataDxfId="292" totalsRowDxfId="291"/>
    <tableColumn id="8" xr3:uid="{00000000-0010-0000-0400-000008000000}" name="Ιούλ" totalsRowFunction="sum" dataDxfId="290" totalsRowDxfId="289"/>
    <tableColumn id="9" xr3:uid="{00000000-0010-0000-0400-000009000000}" name="Αύγ" totalsRowFunction="sum" dataDxfId="288" totalsRowDxfId="287"/>
    <tableColumn id="10" xr3:uid="{00000000-0010-0000-0400-00000A000000}" name="Σεπ" totalsRowFunction="sum" dataDxfId="286" totalsRowDxfId="285"/>
    <tableColumn id="11" xr3:uid="{00000000-0010-0000-0400-00000B000000}" name="Οκτ" totalsRowFunction="sum" dataDxfId="284" totalsRowDxfId="283"/>
    <tableColumn id="12" xr3:uid="{00000000-0010-0000-0400-00000C000000}" name="Νοε" totalsRowFunction="sum" dataDxfId="282" totalsRowDxfId="281"/>
    <tableColumn id="13" xr3:uid="{00000000-0010-0000-0400-00000D000000}" name="Δεκ" totalsRowFunction="sum" dataDxfId="280" totalsRowDxfId="279"/>
    <tableColumn id="14" xr3:uid="{00000000-0010-0000-0400-00000E000000}" name="ΕΤΟΣ" totalsRowFunction="sum" dataDxfId="278" totalsRowDxfId="277">
      <calculatedColumnFormula>SUM(C11:N11)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Καταχωρήστε τα πραγματικά μηνιαία έξοδα γραφείου σε αυτόν τον πίνακα. Το σύνολο υπολογίζεται αυτόματα στο τέλος"/>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ΠραγματικάΈξοδαΜάρκετινγκ" displayName="ΠραγματικάΈξοδαΜάρκετινγκ" ref="B21:O28" totalsRowCount="1" headerRowDxfId="276" totalsRowDxfId="273" headerRowBorderDxfId="275" tableBorderDxfId="274" totalsRowBorderDxfId="272">
  <autoFilter ref="B21:O2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Έξοδα μάρκετινγκ" totalsRowLabel="Μερικό άθροισμα" dataDxfId="271" totalsRowDxfId="270"/>
    <tableColumn id="2" xr3:uid="{00000000-0010-0000-0500-000002000000}" name="Ιαν" totalsRowFunction="sum" dataDxfId="269" totalsRowDxfId="268"/>
    <tableColumn id="3" xr3:uid="{00000000-0010-0000-0500-000003000000}" name="Φεβ" totalsRowFunction="sum" dataDxfId="267" totalsRowDxfId="266"/>
    <tableColumn id="4" xr3:uid="{00000000-0010-0000-0500-000004000000}" name="Μάρ" totalsRowFunction="sum" dataDxfId="265" totalsRowDxfId="264"/>
    <tableColumn id="5" xr3:uid="{00000000-0010-0000-0500-000005000000}" name="Απρ" totalsRowFunction="sum" dataDxfId="263" totalsRowDxfId="262"/>
    <tableColumn id="6" xr3:uid="{00000000-0010-0000-0500-000006000000}" name="Μάι" totalsRowFunction="sum" dataDxfId="261" totalsRowDxfId="260"/>
    <tableColumn id="7" xr3:uid="{00000000-0010-0000-0500-000007000000}" name="Ιούν" totalsRowFunction="sum" dataDxfId="259" totalsRowDxfId="258"/>
    <tableColumn id="8" xr3:uid="{00000000-0010-0000-0500-000008000000}" name="Ιούλ" totalsRowFunction="sum" dataDxfId="257" totalsRowDxfId="256"/>
    <tableColumn id="9" xr3:uid="{00000000-0010-0000-0500-000009000000}" name="Αύγ" totalsRowFunction="sum" dataDxfId="255" totalsRowDxfId="254"/>
    <tableColumn id="10" xr3:uid="{00000000-0010-0000-0500-00000A000000}" name="Σεπ" totalsRowFunction="sum" dataDxfId="253" totalsRowDxfId="252"/>
    <tableColumn id="11" xr3:uid="{00000000-0010-0000-0500-00000B000000}" name="Οκτ" totalsRowFunction="sum" dataDxfId="251" totalsRowDxfId="250"/>
    <tableColumn id="12" xr3:uid="{00000000-0010-0000-0500-00000C000000}" name="Νοε" totalsRowFunction="sum" dataDxfId="249" totalsRowDxfId="248"/>
    <tableColumn id="13" xr3:uid="{00000000-0010-0000-0500-00000D000000}" name="Δεκ" totalsRowFunction="sum" dataDxfId="247" totalsRowDxfId="246"/>
    <tableColumn id="14" xr3:uid="{00000000-0010-0000-0500-00000E000000}" name="ΕΤΟΣ" totalsRowFunction="sum" dataDxfId="245" totalsRowDxfId="244">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Εισαγάγετε τα πραγματικά μηνιαία έξοδα μάρκετινγκ σε αυτόν τον πίνακα. Το σύνολο υπολογίζεται αυτόματα στο τέλος"/>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ΠραγματικάΈξοδαΕκπαίδευσηςΚαιΜετακινήσεων" displayName="ΠραγματικάΈξοδαΕκπαίδευσηςΚαιΜετακινήσεων" ref="B30:O33" totalsRowCount="1" headerRowDxfId="243" totalsRowDxfId="240" headerRowBorderDxfId="242" tableBorderDxfId="241" totalsRowBorderDxfId="239">
  <autoFilter ref="B30:O3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Εκπαίδευση/Ταξίδια" totalsRowLabel="Μερικό άθροισμα" dataDxfId="238" totalsRowDxfId="237"/>
    <tableColumn id="2" xr3:uid="{00000000-0010-0000-0600-000002000000}" name="Ιαν" totalsRowFunction="sum" dataDxfId="236" totalsRowDxfId="235"/>
    <tableColumn id="3" xr3:uid="{00000000-0010-0000-0600-000003000000}" name="Φεβ" totalsRowFunction="sum" dataDxfId="234" totalsRowDxfId="233"/>
    <tableColumn id="4" xr3:uid="{00000000-0010-0000-0600-000004000000}" name="Μάρ" totalsRowFunction="sum" dataDxfId="232" totalsRowDxfId="231"/>
    <tableColumn id="5" xr3:uid="{00000000-0010-0000-0600-000005000000}" name="Απρ" totalsRowFunction="sum" dataDxfId="230" totalsRowDxfId="229"/>
    <tableColumn id="6" xr3:uid="{00000000-0010-0000-0600-000006000000}" name="Μάι" totalsRowFunction="sum" dataDxfId="228" totalsRowDxfId="227"/>
    <tableColumn id="7" xr3:uid="{00000000-0010-0000-0600-000007000000}" name="Ιούν" totalsRowFunction="sum" dataDxfId="226" totalsRowDxfId="225"/>
    <tableColumn id="8" xr3:uid="{00000000-0010-0000-0600-000008000000}" name="Ιούλ" totalsRowFunction="sum" dataDxfId="224" totalsRowDxfId="223"/>
    <tableColumn id="9" xr3:uid="{00000000-0010-0000-0600-000009000000}" name="Αύγ" totalsRowFunction="sum" dataDxfId="222" totalsRowDxfId="221"/>
    <tableColumn id="10" xr3:uid="{00000000-0010-0000-0600-00000A000000}" name="Σεπ" totalsRowFunction="sum" dataDxfId="220" totalsRowDxfId="219"/>
    <tableColumn id="11" xr3:uid="{00000000-0010-0000-0600-00000B000000}" name="Οκτ" totalsRowFunction="sum" dataDxfId="218" totalsRowDxfId="217"/>
    <tableColumn id="12" xr3:uid="{00000000-0010-0000-0600-00000C000000}" name="Νοε" totalsRowFunction="sum" dataDxfId="216" totalsRowDxfId="215"/>
    <tableColumn id="13" xr3:uid="{00000000-0010-0000-0600-00000D000000}" name="Δεκ" totalsRowFunction="sum" dataDxfId="214" totalsRowDxfId="213"/>
    <tableColumn id="14" xr3:uid="{00000000-0010-0000-0600-00000E000000}" name="ΕΤΟΣ" totalsRowFunction="sum" dataDxfId="212" totalsRowDxfId="211">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Εισαγάγετε τα πραγματικά μηνιαία έξοδα εκπαίδευσης και μετακινήσεων σε αυτόν τον πίνακα. Το σύνολο υπολογίζεται αυτόματα στο τέλος"/>
    </ext>
  </extLst>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ΠραγματικάΈξοδαΥπαλλήλων" displayName="ΠραγματικάΈξοδαΥπαλλήλων" ref="B5:O8" totalsRowCount="1" headerRowDxfId="210" totalsRowDxfId="207" headerRowBorderDxfId="209" tableBorderDxfId="208" totalsRowBorderDxfId="206">
  <autoFilter ref="B5:O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Έξοδα υπαλλήλων" totalsRowLabel="Μερικό άθροισμα" dataDxfId="205" totalsRowDxfId="204"/>
    <tableColumn id="2" xr3:uid="{00000000-0010-0000-0700-000002000000}" name="Ιαν" totalsRowFunction="sum" dataDxfId="203" totalsRowDxfId="202">
      <calculatedColumnFormula>C5*0.27</calculatedColumnFormula>
    </tableColumn>
    <tableColumn id="3" xr3:uid="{00000000-0010-0000-0700-000003000000}" name="Φεβ" totalsRowFunction="sum" dataDxfId="201" totalsRowDxfId="200">
      <calculatedColumnFormula>D5*0.27</calculatedColumnFormula>
    </tableColumn>
    <tableColumn id="4" xr3:uid="{00000000-0010-0000-0700-000004000000}" name="Μάρ" totalsRowFunction="sum" dataDxfId="199" totalsRowDxfId="198">
      <calculatedColumnFormula>E5*0.27</calculatedColumnFormula>
    </tableColumn>
    <tableColumn id="5" xr3:uid="{00000000-0010-0000-0700-000005000000}" name="Απρ" totalsRowFunction="sum" dataDxfId="197" totalsRowDxfId="196">
      <calculatedColumnFormula>F5*0.27</calculatedColumnFormula>
    </tableColumn>
    <tableColumn id="6" xr3:uid="{00000000-0010-0000-0700-000006000000}" name="Μάι" totalsRowFunction="sum" dataDxfId="195" totalsRowDxfId="194">
      <calculatedColumnFormula>G5*0.27</calculatedColumnFormula>
    </tableColumn>
    <tableColumn id="7" xr3:uid="{00000000-0010-0000-0700-000007000000}" name="Ιούν" totalsRowFunction="sum" dataDxfId="193" totalsRowDxfId="192">
      <calculatedColumnFormula>H5*0.27</calculatedColumnFormula>
    </tableColumn>
    <tableColumn id="8" xr3:uid="{00000000-0010-0000-0700-000008000000}" name="Ιούλ" totalsRowFunction="sum" dataDxfId="191" totalsRowDxfId="190"/>
    <tableColumn id="9" xr3:uid="{00000000-0010-0000-0700-000009000000}" name="Αύγ" totalsRowFunction="sum" dataDxfId="189" totalsRowDxfId="188"/>
    <tableColumn id="10" xr3:uid="{00000000-0010-0000-0700-00000A000000}" name="Σεπ" totalsRowFunction="sum" dataDxfId="187" totalsRowDxfId="186"/>
    <tableColumn id="11" xr3:uid="{00000000-0010-0000-0700-00000B000000}" name="Οκτ" totalsRowFunction="sum" dataDxfId="185" totalsRowDxfId="184"/>
    <tableColumn id="12" xr3:uid="{00000000-0010-0000-0700-00000C000000}" name="Νοέ" totalsRowFunction="sum" dataDxfId="183" totalsRowDxfId="182"/>
    <tableColumn id="13" xr3:uid="{00000000-0010-0000-0700-00000D000000}" name="Δεκ" totalsRowFunction="sum" dataDxfId="181" totalsRowDxfId="180"/>
    <tableColumn id="14" xr3:uid="{00000000-0010-0000-0700-00000E000000}" name="ΕΤΟΣ" totalsRowFunction="sum" dataDxfId="179" totalsRowDxfId="178">
      <calculatedColumnFormula>SUM(C6:N6)</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Καταχωρήστε τα πραγματικά μηνιαία έξοδα υπαλλήλων σε αυτόν τον πίνακα. Το σύνολο υπολογίζεται αυτόματα στο τέλος"/>
    </ext>
  </extLst>
</table>
</file>

<file path=xl/theme/theme11.xml><?xml version="1.0" encoding="utf-8"?>
<a:theme xmlns:a="http://schemas.openxmlformats.org/drawingml/2006/main" name="Office Theme">
  <a:themeElements>
    <a:clrScheme name="Custom 25">
      <a:dk1>
        <a:sysClr val="windowText" lastClr="000000"/>
      </a:dk1>
      <a:lt1>
        <a:srgbClr val="FFFFFF"/>
      </a:lt1>
      <a:dk2>
        <a:srgbClr val="2F4B83"/>
      </a:dk2>
      <a:lt2>
        <a:srgbClr val="F2F2F2"/>
      </a:lt2>
      <a:accent1>
        <a:srgbClr val="CC1D10"/>
      </a:accent1>
      <a:accent2>
        <a:srgbClr val="357B37"/>
      </a:accent2>
      <a:accent3>
        <a:srgbClr val="34A0DC"/>
      </a:accent3>
      <a:accent4>
        <a:srgbClr val="B71F66"/>
      </a:accent4>
      <a:accent5>
        <a:srgbClr val="255D77"/>
      </a:accent5>
      <a:accent6>
        <a:srgbClr val="EF4538"/>
      </a:accent6>
      <a:hlink>
        <a:srgbClr val="7DC6F3"/>
      </a:hlink>
      <a:folHlink>
        <a:srgbClr val="7DC6F3"/>
      </a:folHlink>
    </a:clrScheme>
    <a:fontScheme name="Custom 18">
      <a:majorFont>
        <a:latin typeface="Franklin Gothic Book"/>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6.xml" Id="rId3" /><Relationship Type="http://schemas.openxmlformats.org/officeDocument/2006/relationships/table" Target="/xl/tables/table57.xml" Id="rId7" /><Relationship Type="http://schemas.openxmlformats.org/officeDocument/2006/relationships/drawing" Target="/xl/drawings/drawing12.xml" Id="rId2" /><Relationship Type="http://schemas.openxmlformats.org/officeDocument/2006/relationships/printerSettings" Target="/xl/printerSettings/printerSettings22.bin" Id="rId1" /><Relationship Type="http://schemas.openxmlformats.org/officeDocument/2006/relationships/table" Target="/xl/tables/table48.xml" Id="rId6" /><Relationship Type="http://schemas.openxmlformats.org/officeDocument/2006/relationships/table" Target="/xl/tables/table39.xml" Id="rId5" /><Relationship Type="http://schemas.openxmlformats.org/officeDocument/2006/relationships/table" Target="/xl/tables/table210.xml" Id="rId4" /></Relationships>
</file>

<file path=xl/worksheets/_rels/sheet31.xml.rels>&#65279;<?xml version="1.0" encoding="utf-8"?><Relationships xmlns="http://schemas.openxmlformats.org/package/2006/relationships"><Relationship Type="http://schemas.openxmlformats.org/officeDocument/2006/relationships/table" Target="/xl/tables/table61.xml" Id="rId3" /><Relationship Type="http://schemas.openxmlformats.org/officeDocument/2006/relationships/table" Target="/xl/tables/table102.xml" Id="rId7" /><Relationship Type="http://schemas.openxmlformats.org/officeDocument/2006/relationships/drawing" Target="/xl/drawings/drawing21.xml" Id="rId2" /><Relationship Type="http://schemas.openxmlformats.org/officeDocument/2006/relationships/printerSettings" Target="/xl/printerSettings/printerSettings31.bin" Id="rId1" /><Relationship Type="http://schemas.openxmlformats.org/officeDocument/2006/relationships/table" Target="/xl/tables/table93.xml" Id="rId6" /><Relationship Type="http://schemas.openxmlformats.org/officeDocument/2006/relationships/table" Target="/xl/tables/table84.xml" Id="rId5" /><Relationship Type="http://schemas.openxmlformats.org/officeDocument/2006/relationships/table" Target="/xl/tables/table75.xml" Id="rId4" /></Relationships>
</file>

<file path=xl/worksheets/_rels/sheet45.xml.rels>&#65279;<?xml version="1.0" encoding="utf-8"?><Relationships xmlns="http://schemas.openxmlformats.org/package/2006/relationships"><Relationship Type="http://schemas.openxmlformats.org/officeDocument/2006/relationships/table" Target="/xl/tables/table1112.xml" Id="rId3" /><Relationship Type="http://schemas.openxmlformats.org/officeDocument/2006/relationships/table" Target="/xl/tables/table1513.xml" Id="rId7" /><Relationship Type="http://schemas.openxmlformats.org/officeDocument/2006/relationships/drawing" Target="/xl/drawings/drawing34.xml" Id="rId2" /><Relationship Type="http://schemas.openxmlformats.org/officeDocument/2006/relationships/printerSettings" Target="/xl/printerSettings/printerSettings45.bin" Id="rId1" /><Relationship Type="http://schemas.openxmlformats.org/officeDocument/2006/relationships/table" Target="/xl/tables/table1414.xml" Id="rId6" /><Relationship Type="http://schemas.openxmlformats.org/officeDocument/2006/relationships/table" Target="/xl/tables/table1315.xml" Id="rId5" /><Relationship Type="http://schemas.openxmlformats.org/officeDocument/2006/relationships/table" Target="/xl/tables/table1216.xml" Id="rId4" /></Relationships>
</file>

<file path=xl/worksheets/_rels/sheet54.xml.rels>&#65279;<?xml version="1.0" encoding="utf-8"?><Relationships xmlns="http://schemas.openxmlformats.org/package/2006/relationships"><Relationship Type="http://schemas.openxmlformats.org/officeDocument/2006/relationships/table" Target="/xl/tables/table1611.xml" Id="rId3" /><Relationship Type="http://schemas.openxmlformats.org/officeDocument/2006/relationships/drawing" Target="/xl/drawings/drawing43.xml" Id="rId2" /><Relationship Type="http://schemas.openxmlformats.org/officeDocument/2006/relationships/printerSettings" Target="/xl/printerSettings/printerSettings5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652D-94A4-43B5-AFA7-1A6439101CE6}">
  <sheetPr>
    <tabColor theme="3" tint="-0.249977111117893"/>
  </sheetPr>
  <dimension ref="B1:B8"/>
  <sheetViews>
    <sheetView tabSelected="1" workbookViewId="0"/>
  </sheetViews>
  <sheetFormatPr defaultRowHeight="12.75" x14ac:dyDescent="0.2"/>
  <cols>
    <col min="1" max="1" width="2.7109375" customWidth="1"/>
    <col min="2" max="2" width="75.42578125" customWidth="1"/>
    <col min="3" max="3" width="2.7109375" customWidth="1"/>
  </cols>
  <sheetData>
    <row r="1" spans="2:2" s="27" customFormat="1" ht="30" customHeight="1" x14ac:dyDescent="0.2">
      <c r="B1" s="28" t="s">
        <v>0</v>
      </c>
    </row>
    <row r="2" spans="2:2" ht="58.5" customHeight="1" x14ac:dyDescent="0.2">
      <c r="B2" s="39" t="s">
        <v>1</v>
      </c>
    </row>
    <row r="3" spans="2:2" ht="33" customHeight="1" x14ac:dyDescent="0.2">
      <c r="B3" s="39" t="s">
        <v>2</v>
      </c>
    </row>
    <row r="4" spans="2:2" ht="44.25" customHeight="1" x14ac:dyDescent="0.2">
      <c r="B4" s="39" t="s">
        <v>3</v>
      </c>
    </row>
    <row r="5" spans="2:2" ht="36" customHeight="1" x14ac:dyDescent="0.2">
      <c r="B5" s="39" t="s">
        <v>4</v>
      </c>
    </row>
    <row r="6" spans="2:2" ht="36" customHeight="1" x14ac:dyDescent="0.2">
      <c r="B6" s="41" t="s">
        <v>5</v>
      </c>
    </row>
    <row r="7" spans="2:2" ht="60" x14ac:dyDescent="0.2">
      <c r="B7" s="39" t="s">
        <v>6</v>
      </c>
    </row>
    <row r="8" spans="2:2" ht="60" customHeight="1" x14ac:dyDescent="0.25">
      <c r="B8" s="40" t="s">
        <v>7</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autoPageBreaks="0"/>
  </sheetPr>
  <dimension ref="A1:T38"/>
  <sheetViews>
    <sheetView showGridLines="0" zoomScaleNormal="100" workbookViewId="0"/>
  </sheetViews>
  <sheetFormatPr defaultColWidth="9.140625" defaultRowHeight="21" customHeight="1" x14ac:dyDescent="0.3"/>
  <cols>
    <col min="1" max="1" width="4.7109375" style="1" customWidth="1"/>
    <col min="2" max="2" width="56.7109375" style="1" customWidth="1"/>
    <col min="3" max="14" width="15.7109375" style="1" customWidth="1"/>
    <col min="15" max="15" width="16.28515625" style="1" customWidth="1"/>
    <col min="16" max="16" width="4.7109375" style="1" customWidth="1"/>
    <col min="17" max="17" width="1.7109375" style="1" customWidth="1"/>
    <col min="18" max="19" width="9.140625" style="1"/>
    <col min="20" max="20" width="11.140625" style="1" customWidth="1"/>
    <col min="21" max="16384" width="9.140625" style="1"/>
  </cols>
  <sheetData>
    <row r="1" spans="1:20" ht="24" customHeight="1" x14ac:dyDescent="0.3">
      <c r="A1" s="31"/>
      <c r="B1" s="7"/>
      <c r="C1" s="7"/>
      <c r="D1" s="7"/>
      <c r="E1" s="7"/>
      <c r="F1" s="4"/>
      <c r="G1" s="4"/>
      <c r="H1" s="4"/>
      <c r="I1" s="4"/>
      <c r="J1" s="4"/>
      <c r="K1" s="4"/>
      <c r="L1" s="4"/>
      <c r="M1" s="4"/>
      <c r="N1" s="4"/>
      <c r="O1" s="4"/>
      <c r="P1" s="53" t="s">
        <v>65</v>
      </c>
    </row>
    <row r="2" spans="1:20" ht="45" customHeight="1" x14ac:dyDescent="0.35">
      <c r="A2" s="29"/>
      <c r="B2" s="72" t="s">
        <v>8</v>
      </c>
      <c r="C2" s="72"/>
      <c r="D2" s="72"/>
      <c r="E2" s="128"/>
      <c r="F2" s="5"/>
      <c r="G2" s="5"/>
      <c r="H2" s="5"/>
      <c r="I2" s="5"/>
      <c r="J2" s="5"/>
      <c r="K2" s="123" t="s">
        <v>52</v>
      </c>
      <c r="L2" s="123"/>
      <c r="M2" s="123"/>
      <c r="N2" s="69"/>
      <c r="O2" s="69"/>
      <c r="P2" s="4"/>
    </row>
    <row r="3" spans="1:20" ht="30" customHeight="1" x14ac:dyDescent="0.3">
      <c r="A3" s="29"/>
      <c r="B3" s="72"/>
      <c r="C3" s="72"/>
      <c r="D3" s="72"/>
      <c r="E3" s="129"/>
      <c r="F3" s="6"/>
      <c r="G3" s="6"/>
      <c r="H3" s="6"/>
      <c r="I3" s="6"/>
      <c r="J3" s="6"/>
      <c r="K3" s="124" t="s">
        <v>53</v>
      </c>
      <c r="L3" s="124"/>
      <c r="M3" s="124"/>
      <c r="N3" s="69"/>
      <c r="O3" s="69"/>
      <c r="P3" s="4"/>
    </row>
    <row r="4" spans="1:20" s="8" customFormat="1" ht="49.5" customHeight="1" x14ac:dyDescent="0.3">
      <c r="A4" s="30"/>
      <c r="B4" s="19" t="s">
        <v>9</v>
      </c>
      <c r="C4" s="76" t="s">
        <v>36</v>
      </c>
      <c r="D4" s="76" t="s">
        <v>38</v>
      </c>
      <c r="E4" s="76" t="s">
        <v>40</v>
      </c>
      <c r="F4" s="76" t="s">
        <v>42</v>
      </c>
      <c r="G4" s="76" t="s">
        <v>44</v>
      </c>
      <c r="H4" s="76" t="s">
        <v>46</v>
      </c>
      <c r="I4" s="76" t="s">
        <v>48</v>
      </c>
      <c r="J4" s="76" t="s">
        <v>50</v>
      </c>
      <c r="K4" s="76" t="s">
        <v>54</v>
      </c>
      <c r="L4" s="76" t="s">
        <v>56</v>
      </c>
      <c r="M4" s="76" t="s">
        <v>58</v>
      </c>
      <c r="N4" s="76" t="s">
        <v>61</v>
      </c>
      <c r="O4" s="20" t="s">
        <v>63</v>
      </c>
      <c r="R4" s="121"/>
      <c r="S4" s="122"/>
      <c r="T4" s="122"/>
    </row>
    <row r="5" spans="1:20" ht="24.95" customHeight="1" thickBot="1" x14ac:dyDescent="0.35">
      <c r="A5" s="30"/>
      <c r="B5" s="42" t="s">
        <v>10</v>
      </c>
      <c r="C5" s="77" t="s">
        <v>37</v>
      </c>
      <c r="D5" s="78" t="s">
        <v>39</v>
      </c>
      <c r="E5" s="78" t="s">
        <v>41</v>
      </c>
      <c r="F5" s="78" t="s">
        <v>43</v>
      </c>
      <c r="G5" s="78" t="s">
        <v>45</v>
      </c>
      <c r="H5" s="78" t="s">
        <v>47</v>
      </c>
      <c r="I5" s="78" t="s">
        <v>49</v>
      </c>
      <c r="J5" s="78" t="s">
        <v>51</v>
      </c>
      <c r="K5" s="78" t="s">
        <v>55</v>
      </c>
      <c r="L5" s="78" t="s">
        <v>57</v>
      </c>
      <c r="M5" s="78" t="s">
        <v>59</v>
      </c>
      <c r="N5" s="78" t="s">
        <v>62</v>
      </c>
      <c r="O5" s="51" t="s">
        <v>63</v>
      </c>
      <c r="R5" s="122"/>
      <c r="S5" s="122"/>
      <c r="T5" s="122"/>
    </row>
    <row r="6" spans="1:20" ht="24.95" customHeight="1" thickBot="1" x14ac:dyDescent="0.35">
      <c r="A6" s="30"/>
      <c r="B6" s="43" t="s">
        <v>11</v>
      </c>
      <c r="C6" s="79">
        <v>85000</v>
      </c>
      <c r="D6" s="80">
        <v>85000</v>
      </c>
      <c r="E6" s="80">
        <v>85000</v>
      </c>
      <c r="F6" s="80">
        <v>87500</v>
      </c>
      <c r="G6" s="80">
        <v>87500</v>
      </c>
      <c r="H6" s="80">
        <v>87500</v>
      </c>
      <c r="I6" s="80">
        <v>87500</v>
      </c>
      <c r="J6" s="80">
        <v>92400</v>
      </c>
      <c r="K6" s="80">
        <v>92400</v>
      </c>
      <c r="L6" s="80">
        <v>92400</v>
      </c>
      <c r="M6" s="80">
        <v>92400</v>
      </c>
      <c r="N6" s="80">
        <v>92400</v>
      </c>
      <c r="O6" s="81">
        <f>SUM(C6:N6)</f>
        <v>1067000</v>
      </c>
      <c r="R6" s="122"/>
      <c r="S6" s="122"/>
      <c r="T6" s="122"/>
    </row>
    <row r="7" spans="1:20" ht="24.95" customHeight="1" thickBot="1" x14ac:dyDescent="0.35">
      <c r="A7" s="30"/>
      <c r="B7" s="43" t="s">
        <v>12</v>
      </c>
      <c r="C7" s="79">
        <f t="shared" ref="C7:N7" si="0">C6*0.27</f>
        <v>22950</v>
      </c>
      <c r="D7" s="80">
        <f t="shared" si="0"/>
        <v>22950</v>
      </c>
      <c r="E7" s="80">
        <f t="shared" si="0"/>
        <v>22950</v>
      </c>
      <c r="F7" s="80">
        <f t="shared" si="0"/>
        <v>23625</v>
      </c>
      <c r="G7" s="80">
        <f t="shared" si="0"/>
        <v>23625</v>
      </c>
      <c r="H7" s="80">
        <f t="shared" si="0"/>
        <v>23625</v>
      </c>
      <c r="I7" s="80">
        <f t="shared" si="0"/>
        <v>23625</v>
      </c>
      <c r="J7" s="80">
        <f t="shared" si="0"/>
        <v>24948</v>
      </c>
      <c r="K7" s="80">
        <f t="shared" si="0"/>
        <v>24948</v>
      </c>
      <c r="L7" s="80">
        <f t="shared" si="0"/>
        <v>24948</v>
      </c>
      <c r="M7" s="80">
        <f t="shared" si="0"/>
        <v>24948</v>
      </c>
      <c r="N7" s="80">
        <f t="shared" si="0"/>
        <v>24948</v>
      </c>
      <c r="O7" s="81">
        <f>SUM(C7:N7)</f>
        <v>288090</v>
      </c>
      <c r="R7" s="122"/>
      <c r="S7" s="122"/>
      <c r="T7" s="122"/>
    </row>
    <row r="8" spans="1:20" ht="24.95" customHeight="1" x14ac:dyDescent="0.3">
      <c r="A8" s="30"/>
      <c r="B8" s="44" t="s">
        <v>13</v>
      </c>
      <c r="C8" s="82">
        <f>SUBTOTAL(109,ΠρογραμματισμέναΈξοδαΥπαλλήλων[Ιαν])</f>
        <v>107950</v>
      </c>
      <c r="D8" s="83">
        <f>SUBTOTAL(109,ΠρογραμματισμέναΈξοδαΥπαλλήλων[Φεβ])</f>
        <v>107950</v>
      </c>
      <c r="E8" s="83">
        <f>SUBTOTAL(109,ΠρογραμματισμέναΈξοδαΥπαλλήλων[Μάρ])</f>
        <v>107950</v>
      </c>
      <c r="F8" s="83">
        <f>SUBTOTAL(109,ΠρογραμματισμέναΈξοδαΥπαλλήλων[Απρ])</f>
        <v>111125</v>
      </c>
      <c r="G8" s="83">
        <f>SUBTOTAL(109,ΠρογραμματισμέναΈξοδαΥπαλλήλων[Μάι])</f>
        <v>111125</v>
      </c>
      <c r="H8" s="83">
        <f>SUBTOTAL(109,ΠρογραμματισμέναΈξοδαΥπαλλήλων[Ιούν])</f>
        <v>111125</v>
      </c>
      <c r="I8" s="83">
        <f>SUBTOTAL(109,ΠρογραμματισμέναΈξοδαΥπαλλήλων[Ιούλ])</f>
        <v>111125</v>
      </c>
      <c r="J8" s="83">
        <f>SUBTOTAL(109,ΠρογραμματισμέναΈξοδαΥπαλλήλων[Αύγ])</f>
        <v>117348</v>
      </c>
      <c r="K8" s="83">
        <f>SUBTOTAL(109,ΠρογραμματισμέναΈξοδαΥπαλλήλων[Σεπ])</f>
        <v>117348</v>
      </c>
      <c r="L8" s="83">
        <f>SUBTOTAL(109,ΠρογραμματισμέναΈξοδαΥπαλλήλων[Οκτ])</f>
        <v>117348</v>
      </c>
      <c r="M8" s="83">
        <f>SUBTOTAL(109,ΠρογραμματισμέναΈξοδαΥπαλλήλων[Νοέ])</f>
        <v>117348</v>
      </c>
      <c r="N8" s="83">
        <f>SUBTOTAL(109,ΠρογραμματισμέναΈξοδαΥπαλλήλων[Δεκ])</f>
        <v>117348</v>
      </c>
      <c r="O8" s="84">
        <f>SUBTOTAL(109,ΠρογραμματισμέναΈξοδαΥπαλλήλων[ΕΤΟΣ])</f>
        <v>1355090</v>
      </c>
      <c r="R8" s="122"/>
      <c r="S8" s="122"/>
      <c r="T8" s="122"/>
    </row>
    <row r="9" spans="1:20" ht="21" customHeight="1" thickBot="1" x14ac:dyDescent="0.35">
      <c r="A9" s="30"/>
      <c r="B9" s="70"/>
      <c r="C9" s="70"/>
      <c r="D9" s="85"/>
      <c r="E9" s="85"/>
      <c r="F9" s="85"/>
      <c r="G9" s="85"/>
      <c r="H9" s="85"/>
      <c r="I9" s="85"/>
      <c r="J9" s="85"/>
      <c r="K9" s="85"/>
      <c r="L9" s="85"/>
      <c r="M9" s="85"/>
      <c r="N9" s="85"/>
      <c r="O9" s="86"/>
      <c r="R9" s="122"/>
      <c r="S9" s="122"/>
      <c r="T9" s="122"/>
    </row>
    <row r="10" spans="1:20" ht="24.95" customHeight="1" thickBot="1" x14ac:dyDescent="0.35">
      <c r="A10" s="30"/>
      <c r="B10" s="48" t="s">
        <v>14</v>
      </c>
      <c r="C10" s="87" t="s">
        <v>37</v>
      </c>
      <c r="D10" s="88" t="s">
        <v>39</v>
      </c>
      <c r="E10" s="88" t="s">
        <v>41</v>
      </c>
      <c r="F10" s="88" t="s">
        <v>43</v>
      </c>
      <c r="G10" s="88" t="s">
        <v>45</v>
      </c>
      <c r="H10" s="88" t="s">
        <v>47</v>
      </c>
      <c r="I10" s="88" t="s">
        <v>49</v>
      </c>
      <c r="J10" s="88" t="s">
        <v>51</v>
      </c>
      <c r="K10" s="88" t="s">
        <v>55</v>
      </c>
      <c r="L10" s="88" t="s">
        <v>57</v>
      </c>
      <c r="M10" s="88" t="s">
        <v>60</v>
      </c>
      <c r="N10" s="88" t="s">
        <v>62</v>
      </c>
      <c r="O10" s="89" t="s">
        <v>63</v>
      </c>
      <c r="R10" s="122"/>
      <c r="S10" s="122"/>
      <c r="T10" s="122"/>
    </row>
    <row r="11" spans="1:20" ht="24.95" customHeight="1" thickBot="1" x14ac:dyDescent="0.35">
      <c r="A11" s="30"/>
      <c r="B11" s="66" t="s">
        <v>15</v>
      </c>
      <c r="C11" s="79">
        <v>9800</v>
      </c>
      <c r="D11" s="80">
        <v>9800</v>
      </c>
      <c r="E11" s="80">
        <v>9800</v>
      </c>
      <c r="F11" s="80">
        <v>9800</v>
      </c>
      <c r="G11" s="80">
        <v>9800</v>
      </c>
      <c r="H11" s="80">
        <v>9800</v>
      </c>
      <c r="I11" s="80">
        <v>9800</v>
      </c>
      <c r="J11" s="80">
        <v>9800</v>
      </c>
      <c r="K11" s="80">
        <v>9800</v>
      </c>
      <c r="L11" s="80">
        <v>9800</v>
      </c>
      <c r="M11" s="80">
        <v>9800</v>
      </c>
      <c r="N11" s="80">
        <v>9800</v>
      </c>
      <c r="O11" s="81">
        <f t="shared" ref="O11:O18" si="1">SUM(C11:N11)</f>
        <v>117600</v>
      </c>
      <c r="R11" s="122"/>
      <c r="S11" s="122"/>
      <c r="T11" s="122"/>
    </row>
    <row r="12" spans="1:20" ht="24.95" customHeight="1" thickBot="1" x14ac:dyDescent="0.35">
      <c r="A12" s="30"/>
      <c r="B12" s="66" t="s">
        <v>16</v>
      </c>
      <c r="C12" s="79"/>
      <c r="D12" s="80">
        <v>400</v>
      </c>
      <c r="E12" s="80">
        <v>400</v>
      </c>
      <c r="F12" s="80">
        <v>100</v>
      </c>
      <c r="G12" s="80">
        <v>100</v>
      </c>
      <c r="H12" s="80">
        <v>100</v>
      </c>
      <c r="I12" s="80">
        <v>100</v>
      </c>
      <c r="J12" s="80">
        <v>100</v>
      </c>
      <c r="K12" s="80">
        <v>100</v>
      </c>
      <c r="L12" s="80">
        <v>100</v>
      </c>
      <c r="M12" s="80">
        <v>400</v>
      </c>
      <c r="N12" s="80">
        <v>400</v>
      </c>
      <c r="O12" s="81">
        <f t="shared" si="1"/>
        <v>2300</v>
      </c>
      <c r="R12" s="122"/>
      <c r="S12" s="122"/>
      <c r="T12" s="122"/>
    </row>
    <row r="13" spans="1:20" ht="24.95" customHeight="1" thickBot="1" x14ac:dyDescent="0.35">
      <c r="A13" s="30"/>
      <c r="B13" s="66" t="s">
        <v>17</v>
      </c>
      <c r="C13" s="79">
        <v>300</v>
      </c>
      <c r="D13" s="80">
        <v>300</v>
      </c>
      <c r="E13" s="80">
        <v>300</v>
      </c>
      <c r="F13" s="80">
        <v>300</v>
      </c>
      <c r="G13" s="80">
        <v>300</v>
      </c>
      <c r="H13" s="80">
        <v>300</v>
      </c>
      <c r="I13" s="80">
        <v>300</v>
      </c>
      <c r="J13" s="80">
        <v>300</v>
      </c>
      <c r="K13" s="80">
        <v>300</v>
      </c>
      <c r="L13" s="80">
        <v>300</v>
      </c>
      <c r="M13" s="80">
        <v>300</v>
      </c>
      <c r="N13" s="80">
        <v>300</v>
      </c>
      <c r="O13" s="81">
        <f t="shared" si="1"/>
        <v>3600</v>
      </c>
      <c r="R13" s="122"/>
      <c r="S13" s="122"/>
      <c r="T13" s="122"/>
    </row>
    <row r="14" spans="1:20" ht="24.95" customHeight="1" thickBot="1" x14ac:dyDescent="0.35">
      <c r="A14" s="30"/>
      <c r="B14" s="66" t="s">
        <v>18</v>
      </c>
      <c r="C14" s="79">
        <v>40</v>
      </c>
      <c r="D14" s="80">
        <v>40</v>
      </c>
      <c r="E14" s="80">
        <v>40</v>
      </c>
      <c r="F14" s="80">
        <v>40</v>
      </c>
      <c r="G14" s="80">
        <v>40</v>
      </c>
      <c r="H14" s="80">
        <v>40</v>
      </c>
      <c r="I14" s="80">
        <v>40</v>
      </c>
      <c r="J14" s="80">
        <v>40</v>
      </c>
      <c r="K14" s="80">
        <v>40</v>
      </c>
      <c r="L14" s="80">
        <v>40</v>
      </c>
      <c r="M14" s="80">
        <v>40</v>
      </c>
      <c r="N14" s="80">
        <v>40</v>
      </c>
      <c r="O14" s="81">
        <f t="shared" si="1"/>
        <v>480</v>
      </c>
    </row>
    <row r="15" spans="1:20" ht="24.95" customHeight="1" thickBot="1" x14ac:dyDescent="0.35">
      <c r="A15" s="30"/>
      <c r="B15" s="66" t="s">
        <v>19</v>
      </c>
      <c r="C15" s="79">
        <v>250</v>
      </c>
      <c r="D15" s="80">
        <v>250</v>
      </c>
      <c r="E15" s="80">
        <v>250</v>
      </c>
      <c r="F15" s="80">
        <v>250</v>
      </c>
      <c r="G15" s="80">
        <v>250</v>
      </c>
      <c r="H15" s="80">
        <v>250</v>
      </c>
      <c r="I15" s="80">
        <v>250</v>
      </c>
      <c r="J15" s="80">
        <v>250</v>
      </c>
      <c r="K15" s="80">
        <v>250</v>
      </c>
      <c r="L15" s="80">
        <v>250</v>
      </c>
      <c r="M15" s="80">
        <v>250</v>
      </c>
      <c r="N15" s="80">
        <v>250</v>
      </c>
      <c r="O15" s="81">
        <f t="shared" si="1"/>
        <v>3000</v>
      </c>
    </row>
    <row r="16" spans="1:20" ht="24.95" customHeight="1" thickBot="1" x14ac:dyDescent="0.35">
      <c r="A16" s="30"/>
      <c r="B16" s="66" t="s">
        <v>20</v>
      </c>
      <c r="C16" s="79">
        <v>180</v>
      </c>
      <c r="D16" s="80">
        <v>180</v>
      </c>
      <c r="E16" s="80">
        <v>180</v>
      </c>
      <c r="F16" s="80">
        <v>180</v>
      </c>
      <c r="G16" s="80">
        <v>180</v>
      </c>
      <c r="H16" s="80">
        <v>180</v>
      </c>
      <c r="I16" s="80">
        <v>180</v>
      </c>
      <c r="J16" s="80">
        <v>180</v>
      </c>
      <c r="K16" s="80">
        <v>180</v>
      </c>
      <c r="L16" s="80">
        <v>180</v>
      </c>
      <c r="M16" s="80">
        <v>180</v>
      </c>
      <c r="N16" s="80">
        <v>180</v>
      </c>
      <c r="O16" s="81">
        <f t="shared" si="1"/>
        <v>2160</v>
      </c>
    </row>
    <row r="17" spans="1:15" ht="24.95" customHeight="1" thickBot="1" x14ac:dyDescent="0.35">
      <c r="A17" s="30"/>
      <c r="B17" s="66" t="s">
        <v>21</v>
      </c>
      <c r="C17" s="79">
        <v>200</v>
      </c>
      <c r="D17" s="80">
        <v>200</v>
      </c>
      <c r="E17" s="80">
        <v>200</v>
      </c>
      <c r="F17" s="80">
        <v>200</v>
      </c>
      <c r="G17" s="80">
        <v>200</v>
      </c>
      <c r="H17" s="80">
        <v>200</v>
      </c>
      <c r="I17" s="80">
        <v>200</v>
      </c>
      <c r="J17" s="80">
        <v>200</v>
      </c>
      <c r="K17" s="80">
        <v>200</v>
      </c>
      <c r="L17" s="80">
        <v>200</v>
      </c>
      <c r="M17" s="80">
        <v>200</v>
      </c>
      <c r="N17" s="80">
        <v>200</v>
      </c>
      <c r="O17" s="81">
        <f t="shared" si="1"/>
        <v>2400</v>
      </c>
    </row>
    <row r="18" spans="1:15" ht="24.95" customHeight="1" thickBot="1" x14ac:dyDescent="0.35">
      <c r="A18" s="30"/>
      <c r="B18" s="66" t="s">
        <v>22</v>
      </c>
      <c r="C18" s="79">
        <v>600</v>
      </c>
      <c r="D18" s="80">
        <v>600</v>
      </c>
      <c r="E18" s="80">
        <v>600</v>
      </c>
      <c r="F18" s="80">
        <v>600</v>
      </c>
      <c r="G18" s="80">
        <v>600</v>
      </c>
      <c r="H18" s="80">
        <v>600</v>
      </c>
      <c r="I18" s="80">
        <v>600</v>
      </c>
      <c r="J18" s="80">
        <v>600</v>
      </c>
      <c r="K18" s="80">
        <v>600</v>
      </c>
      <c r="L18" s="80">
        <v>600</v>
      </c>
      <c r="M18" s="80">
        <v>600</v>
      </c>
      <c r="N18" s="80">
        <v>600</v>
      </c>
      <c r="O18" s="81">
        <f t="shared" si="1"/>
        <v>7200</v>
      </c>
    </row>
    <row r="19" spans="1:15" ht="24.95" customHeight="1" thickBot="1" x14ac:dyDescent="0.35">
      <c r="A19" s="30"/>
      <c r="B19" s="52" t="s">
        <v>13</v>
      </c>
      <c r="C19" s="90">
        <f>SUBTOTAL(109,ΠρογραμματισμέναΈξοδαΓραφείου[Ιαν])</f>
        <v>11370</v>
      </c>
      <c r="D19" s="91">
        <f>SUBTOTAL(109,ΠρογραμματισμέναΈξοδαΓραφείου[Φεβ])</f>
        <v>11770</v>
      </c>
      <c r="E19" s="91">
        <f>SUBTOTAL(109,ΠρογραμματισμέναΈξοδαΓραφείου[Μάρ])</f>
        <v>11770</v>
      </c>
      <c r="F19" s="91">
        <f>SUBTOTAL(109,ΠρογραμματισμέναΈξοδαΓραφείου[Απρ])</f>
        <v>11470</v>
      </c>
      <c r="G19" s="91">
        <f>SUBTOTAL(109,ΠρογραμματισμέναΈξοδαΓραφείου[Μάι])</f>
        <v>11470</v>
      </c>
      <c r="H19" s="91">
        <f>SUBTOTAL(109,ΠρογραμματισμέναΈξοδαΓραφείου[Ιούν])</f>
        <v>11470</v>
      </c>
      <c r="I19" s="91">
        <f>SUBTOTAL(109,ΠρογραμματισμέναΈξοδαΓραφείου[Ιούλ])</f>
        <v>11470</v>
      </c>
      <c r="J19" s="91">
        <f>SUBTOTAL(109,ΠρογραμματισμέναΈξοδαΓραφείου[Αύγ])</f>
        <v>11470</v>
      </c>
      <c r="K19" s="91">
        <f>SUBTOTAL(109,ΠρογραμματισμέναΈξοδαΓραφείου[Σεπ])</f>
        <v>11470</v>
      </c>
      <c r="L19" s="91">
        <f>SUBTOTAL(109,ΠρογραμματισμέναΈξοδαΓραφείου[Οκτ])</f>
        <v>11470</v>
      </c>
      <c r="M19" s="91">
        <f>SUBTOTAL(109,ΠρογραμματισμέναΈξοδαΓραφείου[Νοε])</f>
        <v>11770</v>
      </c>
      <c r="N19" s="91">
        <f>SUBTOTAL(109,ΠρογραμματισμέναΈξοδαΓραφείου[Δεκ])</f>
        <v>11770</v>
      </c>
      <c r="O19" s="92">
        <f>SUBTOTAL(109,ΠρογραμματισμέναΈξοδαΓραφείου[ΕΤΟΣ])</f>
        <v>138740</v>
      </c>
    </row>
    <row r="20" spans="1:15" ht="21" customHeight="1" x14ac:dyDescent="0.3">
      <c r="A20" s="30"/>
      <c r="B20" s="71"/>
      <c r="C20" s="71"/>
      <c r="D20" s="85"/>
      <c r="E20" s="85"/>
      <c r="F20" s="93"/>
      <c r="G20" s="93"/>
      <c r="H20" s="93"/>
      <c r="I20" s="93"/>
      <c r="J20" s="93"/>
      <c r="K20" s="93"/>
      <c r="L20" s="93"/>
      <c r="M20" s="93"/>
      <c r="N20" s="93"/>
      <c r="O20" s="86"/>
    </row>
    <row r="21" spans="1:15" ht="24.95" customHeight="1" thickBot="1" x14ac:dyDescent="0.35">
      <c r="A21" s="30"/>
      <c r="B21" s="49" t="s">
        <v>23</v>
      </c>
      <c r="C21" s="94" t="s">
        <v>37</v>
      </c>
      <c r="D21" s="94" t="s">
        <v>39</v>
      </c>
      <c r="E21" s="94" t="s">
        <v>41</v>
      </c>
      <c r="F21" s="94" t="s">
        <v>43</v>
      </c>
      <c r="G21" s="94" t="s">
        <v>45</v>
      </c>
      <c r="H21" s="94" t="s">
        <v>47</v>
      </c>
      <c r="I21" s="94" t="s">
        <v>49</v>
      </c>
      <c r="J21" s="94" t="s">
        <v>51</v>
      </c>
      <c r="K21" s="94" t="s">
        <v>55</v>
      </c>
      <c r="L21" s="94" t="s">
        <v>57</v>
      </c>
      <c r="M21" s="94" t="s">
        <v>60</v>
      </c>
      <c r="N21" s="94" t="s">
        <v>62</v>
      </c>
      <c r="O21" s="95" t="s">
        <v>63</v>
      </c>
    </row>
    <row r="22" spans="1:15" ht="24.95" customHeight="1" thickBot="1" x14ac:dyDescent="0.35">
      <c r="A22" s="30"/>
      <c r="B22" s="43" t="s">
        <v>24</v>
      </c>
      <c r="C22" s="96">
        <v>500</v>
      </c>
      <c r="D22" s="97">
        <v>500</v>
      </c>
      <c r="E22" s="97">
        <v>500</v>
      </c>
      <c r="F22" s="97">
        <v>500</v>
      </c>
      <c r="G22" s="97">
        <v>500</v>
      </c>
      <c r="H22" s="97">
        <v>500</v>
      </c>
      <c r="I22" s="97">
        <v>500</v>
      </c>
      <c r="J22" s="97">
        <v>500</v>
      </c>
      <c r="K22" s="97">
        <v>500</v>
      </c>
      <c r="L22" s="97">
        <v>500</v>
      </c>
      <c r="M22" s="97">
        <v>500</v>
      </c>
      <c r="N22" s="97">
        <v>500</v>
      </c>
      <c r="O22" s="81">
        <f t="shared" ref="O22:O27" si="2">SUM(C22:N22)</f>
        <v>6000</v>
      </c>
    </row>
    <row r="23" spans="1:15" ht="24.95" customHeight="1" thickBot="1" x14ac:dyDescent="0.35">
      <c r="A23" s="30"/>
      <c r="B23" s="43" t="s">
        <v>25</v>
      </c>
      <c r="C23" s="96">
        <v>200</v>
      </c>
      <c r="D23" s="97">
        <v>200</v>
      </c>
      <c r="E23" s="97">
        <v>200</v>
      </c>
      <c r="F23" s="97">
        <v>200</v>
      </c>
      <c r="G23" s="97">
        <v>200</v>
      </c>
      <c r="H23" s="97">
        <v>1000</v>
      </c>
      <c r="I23" s="97">
        <v>200</v>
      </c>
      <c r="J23" s="97">
        <v>200</v>
      </c>
      <c r="K23" s="97">
        <v>200</v>
      </c>
      <c r="L23" s="97">
        <v>200</v>
      </c>
      <c r="M23" s="97">
        <v>200</v>
      </c>
      <c r="N23" s="97">
        <v>1000</v>
      </c>
      <c r="O23" s="81">
        <f t="shared" si="2"/>
        <v>4000</v>
      </c>
    </row>
    <row r="24" spans="1:15" ht="24.95" customHeight="1" thickBot="1" x14ac:dyDescent="0.35">
      <c r="A24" s="30"/>
      <c r="B24" s="43" t="s">
        <v>26</v>
      </c>
      <c r="C24" s="96">
        <v>5000</v>
      </c>
      <c r="D24" s="97">
        <v>0</v>
      </c>
      <c r="E24" s="97">
        <v>0</v>
      </c>
      <c r="F24" s="97">
        <v>5000</v>
      </c>
      <c r="G24" s="97">
        <v>0</v>
      </c>
      <c r="H24" s="97">
        <v>0</v>
      </c>
      <c r="I24" s="97">
        <v>5000</v>
      </c>
      <c r="J24" s="97">
        <v>0</v>
      </c>
      <c r="K24" s="97">
        <v>0</v>
      </c>
      <c r="L24" s="97">
        <v>5000</v>
      </c>
      <c r="M24" s="97">
        <v>0</v>
      </c>
      <c r="N24" s="97">
        <v>0</v>
      </c>
      <c r="O24" s="81">
        <f t="shared" si="2"/>
        <v>20000</v>
      </c>
    </row>
    <row r="25" spans="1:15" ht="24.95" customHeight="1" thickBot="1" x14ac:dyDescent="0.35">
      <c r="A25" s="30"/>
      <c r="B25" s="43" t="s">
        <v>27</v>
      </c>
      <c r="C25" s="96">
        <v>200</v>
      </c>
      <c r="D25" s="97">
        <v>200</v>
      </c>
      <c r="E25" s="97">
        <v>200</v>
      </c>
      <c r="F25" s="97">
        <v>200</v>
      </c>
      <c r="G25" s="97">
        <v>200</v>
      </c>
      <c r="H25" s="97">
        <v>200</v>
      </c>
      <c r="I25" s="97">
        <v>200</v>
      </c>
      <c r="J25" s="97">
        <v>200</v>
      </c>
      <c r="K25" s="97">
        <v>200</v>
      </c>
      <c r="L25" s="97">
        <v>200</v>
      </c>
      <c r="M25" s="97">
        <v>200</v>
      </c>
      <c r="N25" s="97">
        <v>200</v>
      </c>
      <c r="O25" s="81">
        <f t="shared" si="2"/>
        <v>2400</v>
      </c>
    </row>
    <row r="26" spans="1:15" ht="24.95" customHeight="1" thickBot="1" x14ac:dyDescent="0.35">
      <c r="A26" s="30"/>
      <c r="B26" s="43" t="s">
        <v>28</v>
      </c>
      <c r="C26" s="96">
        <v>2000</v>
      </c>
      <c r="D26" s="97">
        <v>2000</v>
      </c>
      <c r="E26" s="97">
        <v>2000</v>
      </c>
      <c r="F26" s="97">
        <v>5000</v>
      </c>
      <c r="G26" s="97">
        <v>2000</v>
      </c>
      <c r="H26" s="97">
        <v>2000</v>
      </c>
      <c r="I26" s="97">
        <v>2000</v>
      </c>
      <c r="J26" s="97">
        <v>5000</v>
      </c>
      <c r="K26" s="97">
        <v>2000</v>
      </c>
      <c r="L26" s="97">
        <v>2000</v>
      </c>
      <c r="M26" s="97">
        <v>2000</v>
      </c>
      <c r="N26" s="97">
        <v>5000</v>
      </c>
      <c r="O26" s="81">
        <f t="shared" si="2"/>
        <v>33000</v>
      </c>
    </row>
    <row r="27" spans="1:15" ht="24.95" customHeight="1" thickBot="1" x14ac:dyDescent="0.35">
      <c r="A27" s="30"/>
      <c r="B27" s="43" t="s">
        <v>29</v>
      </c>
      <c r="C27" s="96">
        <v>200</v>
      </c>
      <c r="D27" s="97">
        <v>200</v>
      </c>
      <c r="E27" s="97">
        <v>200</v>
      </c>
      <c r="F27" s="97">
        <v>200</v>
      </c>
      <c r="G27" s="97">
        <v>200</v>
      </c>
      <c r="H27" s="97">
        <v>200</v>
      </c>
      <c r="I27" s="97">
        <v>200</v>
      </c>
      <c r="J27" s="97">
        <v>200</v>
      </c>
      <c r="K27" s="97">
        <v>200</v>
      </c>
      <c r="L27" s="97">
        <v>200</v>
      </c>
      <c r="M27" s="97">
        <v>200</v>
      </c>
      <c r="N27" s="97">
        <v>200</v>
      </c>
      <c r="O27" s="81">
        <f t="shared" si="2"/>
        <v>2400</v>
      </c>
    </row>
    <row r="28" spans="1:15" ht="24.95" customHeight="1" x14ac:dyDescent="0.3">
      <c r="A28" s="30"/>
      <c r="B28" s="45" t="s">
        <v>13</v>
      </c>
      <c r="C28" s="82">
        <f>SUBTOTAL(109,ΠρογραμματισμέναΈξοδαΜάρκετινγκ[Ιαν])</f>
        <v>8100</v>
      </c>
      <c r="D28" s="83">
        <f>SUBTOTAL(109,ΠρογραμματισμέναΈξοδαΜάρκετινγκ[Φεβ])</f>
        <v>3100</v>
      </c>
      <c r="E28" s="83">
        <f>SUBTOTAL(109,ΠρογραμματισμέναΈξοδαΜάρκετινγκ[Μάρ])</f>
        <v>3100</v>
      </c>
      <c r="F28" s="83">
        <f>SUBTOTAL(109,ΠρογραμματισμέναΈξοδαΜάρκετινγκ[Απρ])</f>
        <v>11100</v>
      </c>
      <c r="G28" s="83">
        <f>SUBTOTAL(109,ΠρογραμματισμέναΈξοδαΜάρκετινγκ[Μάι])</f>
        <v>3100</v>
      </c>
      <c r="H28" s="83">
        <f>SUBTOTAL(109,ΠρογραμματισμέναΈξοδαΜάρκετινγκ[Ιούν])</f>
        <v>3900</v>
      </c>
      <c r="I28" s="83">
        <f>SUBTOTAL(109,ΠρογραμματισμέναΈξοδαΜάρκετινγκ[Ιούλ])</f>
        <v>8100</v>
      </c>
      <c r="J28" s="83">
        <f>SUBTOTAL(109,ΠρογραμματισμέναΈξοδαΜάρκετινγκ[Αύγ])</f>
        <v>6100</v>
      </c>
      <c r="K28" s="83">
        <f>SUBTOTAL(109,ΠρογραμματισμέναΈξοδαΜάρκετινγκ[Σεπ])</f>
        <v>3100</v>
      </c>
      <c r="L28" s="83">
        <f>SUBTOTAL(109,ΠρογραμματισμέναΈξοδαΜάρκετινγκ[Οκτ])</f>
        <v>8100</v>
      </c>
      <c r="M28" s="83">
        <f>SUBTOTAL(109,ΠρογραμματισμέναΈξοδαΜάρκετινγκ[Νοε])</f>
        <v>3100</v>
      </c>
      <c r="N28" s="83">
        <f>SUBTOTAL(109,ΠρογραμματισμέναΈξοδαΜάρκετινγκ[Δεκ])</f>
        <v>6900</v>
      </c>
      <c r="O28" s="84">
        <f>SUBTOTAL(109,ΠρογραμματισμέναΈξοδαΜάρκετινγκ[ΕΤΟΣ])</f>
        <v>67800</v>
      </c>
    </row>
    <row r="29" spans="1:15" ht="21" customHeight="1" x14ac:dyDescent="0.3">
      <c r="A29" s="30"/>
      <c r="B29" s="70"/>
      <c r="C29" s="70"/>
      <c r="D29" s="93"/>
      <c r="E29" s="93"/>
      <c r="F29" s="93"/>
      <c r="G29" s="93"/>
      <c r="H29" s="93"/>
      <c r="I29" s="93"/>
      <c r="J29" s="93"/>
      <c r="K29" s="93"/>
      <c r="L29" s="93"/>
      <c r="M29" s="93"/>
      <c r="N29" s="93"/>
      <c r="O29" s="86"/>
    </row>
    <row r="30" spans="1:15" ht="21" customHeight="1" thickBot="1" x14ac:dyDescent="0.35">
      <c r="A30" s="30"/>
      <c r="B30" s="50" t="s">
        <v>30</v>
      </c>
      <c r="C30" s="94" t="s">
        <v>37</v>
      </c>
      <c r="D30" s="94" t="s">
        <v>39</v>
      </c>
      <c r="E30" s="94" t="s">
        <v>41</v>
      </c>
      <c r="F30" s="94" t="s">
        <v>43</v>
      </c>
      <c r="G30" s="94" t="s">
        <v>45</v>
      </c>
      <c r="H30" s="94" t="s">
        <v>47</v>
      </c>
      <c r="I30" s="94" t="s">
        <v>49</v>
      </c>
      <c r="J30" s="94" t="s">
        <v>51</v>
      </c>
      <c r="K30" s="94" t="s">
        <v>55</v>
      </c>
      <c r="L30" s="94" t="s">
        <v>57</v>
      </c>
      <c r="M30" s="94" t="s">
        <v>60</v>
      </c>
      <c r="N30" s="94" t="s">
        <v>62</v>
      </c>
      <c r="O30" s="95" t="s">
        <v>63</v>
      </c>
    </row>
    <row r="31" spans="1:15" ht="21" customHeight="1" thickBot="1" x14ac:dyDescent="0.35">
      <c r="A31" s="30"/>
      <c r="B31" s="43" t="s">
        <v>31</v>
      </c>
      <c r="C31" s="96">
        <v>2000</v>
      </c>
      <c r="D31" s="97">
        <v>2000</v>
      </c>
      <c r="E31" s="97">
        <v>2000</v>
      </c>
      <c r="F31" s="97">
        <v>2000</v>
      </c>
      <c r="G31" s="97">
        <v>2000</v>
      </c>
      <c r="H31" s="97">
        <v>2000</v>
      </c>
      <c r="I31" s="97">
        <v>2000</v>
      </c>
      <c r="J31" s="97">
        <v>2000</v>
      </c>
      <c r="K31" s="97">
        <v>2000</v>
      </c>
      <c r="L31" s="97">
        <v>2000</v>
      </c>
      <c r="M31" s="97">
        <v>2000</v>
      </c>
      <c r="N31" s="97">
        <v>2000</v>
      </c>
      <c r="O31" s="98">
        <f>SUM(C31:N31)</f>
        <v>24000</v>
      </c>
    </row>
    <row r="32" spans="1:15" ht="21" customHeight="1" thickBot="1" x14ac:dyDescent="0.35">
      <c r="A32" s="30"/>
      <c r="B32" s="43" t="s">
        <v>32</v>
      </c>
      <c r="C32" s="96">
        <v>2000</v>
      </c>
      <c r="D32" s="97">
        <v>2000</v>
      </c>
      <c r="E32" s="97">
        <v>2000</v>
      </c>
      <c r="F32" s="97">
        <v>2000</v>
      </c>
      <c r="G32" s="97">
        <v>2000</v>
      </c>
      <c r="H32" s="97">
        <v>2000</v>
      </c>
      <c r="I32" s="97">
        <v>2000</v>
      </c>
      <c r="J32" s="97">
        <v>2000</v>
      </c>
      <c r="K32" s="97">
        <v>2000</v>
      </c>
      <c r="L32" s="97">
        <v>2000</v>
      </c>
      <c r="M32" s="97">
        <v>2000</v>
      </c>
      <c r="N32" s="97">
        <v>2000</v>
      </c>
      <c r="O32" s="98">
        <f>SUM(C32:N32)</f>
        <v>24000</v>
      </c>
    </row>
    <row r="33" spans="1:15" ht="21" customHeight="1" x14ac:dyDescent="0.3">
      <c r="A33" s="30"/>
      <c r="B33" s="45" t="s">
        <v>13</v>
      </c>
      <c r="C33" s="99">
        <f>SUBTOTAL(109,ΠρογραμματισμέναΈξοδαΕκπαίδευσηςΚαιΜετακινήσεων[Ιαν])</f>
        <v>4000</v>
      </c>
      <c r="D33" s="100">
        <f>SUBTOTAL(109,ΠρογραμματισμέναΈξοδαΕκπαίδευσηςΚαιΜετακινήσεων[Φεβ])</f>
        <v>4000</v>
      </c>
      <c r="E33" s="100">
        <f>SUBTOTAL(109,ΠρογραμματισμέναΈξοδαΕκπαίδευσηςΚαιΜετακινήσεων[Μάρ])</f>
        <v>4000</v>
      </c>
      <c r="F33" s="100">
        <f>SUBTOTAL(109,ΠρογραμματισμέναΈξοδαΕκπαίδευσηςΚαιΜετακινήσεων[Απρ])</f>
        <v>4000</v>
      </c>
      <c r="G33" s="100">
        <f>SUBTOTAL(109,ΠρογραμματισμέναΈξοδαΕκπαίδευσηςΚαιΜετακινήσεων[Μάι])</f>
        <v>4000</v>
      </c>
      <c r="H33" s="100">
        <f>SUBTOTAL(109,ΠρογραμματισμέναΈξοδαΕκπαίδευσηςΚαιΜετακινήσεων[Ιούν])</f>
        <v>4000</v>
      </c>
      <c r="I33" s="100">
        <f>SUBTOTAL(109,ΠρογραμματισμέναΈξοδαΕκπαίδευσηςΚαιΜετακινήσεων[Ιούλ])</f>
        <v>4000</v>
      </c>
      <c r="J33" s="100">
        <f>SUBTOTAL(109,ΠρογραμματισμέναΈξοδαΕκπαίδευσηςΚαιΜετακινήσεων[Αύγ])</f>
        <v>4000</v>
      </c>
      <c r="K33" s="100">
        <f>SUBTOTAL(109,ΠρογραμματισμέναΈξοδαΕκπαίδευσηςΚαιΜετακινήσεων[Σεπ])</f>
        <v>4000</v>
      </c>
      <c r="L33" s="100">
        <f>SUBTOTAL(109,ΠρογραμματισμέναΈξοδαΕκπαίδευσηςΚαιΜετακινήσεων[Οκτ])</f>
        <v>4000</v>
      </c>
      <c r="M33" s="100">
        <f>SUBTOTAL(109,ΠρογραμματισμέναΈξοδαΕκπαίδευσηςΚαιΜετακινήσεων[Νοε])</f>
        <v>4000</v>
      </c>
      <c r="N33" s="100">
        <f>SUBTOTAL(109,ΠρογραμματισμέναΈξοδαΕκπαίδευσηςΚαιΜετακινήσεων[Δεκ])</f>
        <v>4000</v>
      </c>
      <c r="O33" s="101">
        <f>SUBTOTAL(109,ΠρογραμματισμέναΈξοδαΕκπαίδευσηςΚαιΜετακινήσεων[ΕΤΟΣ])</f>
        <v>48000</v>
      </c>
    </row>
    <row r="34" spans="1:15" ht="21" customHeight="1" x14ac:dyDescent="0.3">
      <c r="A34" s="30"/>
      <c r="B34" s="70"/>
      <c r="C34" s="70"/>
      <c r="D34" s="86"/>
      <c r="E34" s="86"/>
      <c r="F34" s="86"/>
      <c r="G34" s="86"/>
      <c r="H34" s="86"/>
      <c r="I34" s="86"/>
      <c r="J34" s="86"/>
      <c r="K34" s="86"/>
      <c r="L34" s="86"/>
      <c r="M34" s="86"/>
      <c r="N34" s="86"/>
      <c r="O34" s="86"/>
    </row>
    <row r="35" spans="1:15" ht="24.95" customHeight="1" thickBot="1" x14ac:dyDescent="0.35">
      <c r="A35" s="30"/>
      <c r="B35" s="21" t="s">
        <v>33</v>
      </c>
      <c r="C35" s="23" t="s">
        <v>37</v>
      </c>
      <c r="D35" s="23" t="s">
        <v>39</v>
      </c>
      <c r="E35" s="23" t="s">
        <v>41</v>
      </c>
      <c r="F35" s="23" t="s">
        <v>43</v>
      </c>
      <c r="G35" s="23" t="s">
        <v>45</v>
      </c>
      <c r="H35" s="23" t="s">
        <v>47</v>
      </c>
      <c r="I35" s="23" t="s">
        <v>49</v>
      </c>
      <c r="J35" s="23" t="s">
        <v>51</v>
      </c>
      <c r="K35" s="23" t="s">
        <v>55</v>
      </c>
      <c r="L35" s="23" t="s">
        <v>57</v>
      </c>
      <c r="M35" s="23" t="s">
        <v>60</v>
      </c>
      <c r="N35" s="23" t="s">
        <v>62</v>
      </c>
      <c r="O35" s="23" t="s">
        <v>64</v>
      </c>
    </row>
    <row r="36" spans="1:15" ht="24.95" customHeight="1" thickBot="1" x14ac:dyDescent="0.35">
      <c r="A36" s="30"/>
      <c r="B36" s="22" t="s">
        <v>34</v>
      </c>
      <c r="C36" s="102">
        <f>ΠρογραμματισμέναΈξοδαΕκπαίδευσηςΚαιΜετακινήσεων[[#Totals],[Ιαν]]+ΠρογραμματισμέναΈξοδαΜάρκετινγκ[[#Totals],[Ιαν]]+ΠρογραμματισμέναΈξοδαΓραφείου[[#Totals],[Ιαν]]+ΠρογραμματισμέναΈξοδαΥπαλλήλων[[#Totals],[Ιαν]]</f>
        <v>131420</v>
      </c>
      <c r="D36" s="102">
        <f>ΠρογραμματισμέναΈξοδαΕκπαίδευσηςΚαιΜετακινήσεων[[#Totals],[Φεβ]]+ΠρογραμματισμέναΈξοδαΜάρκετινγκ[[#Totals],[Φεβ]]+ΠρογραμματισμέναΈξοδαΓραφείου[[#Totals],[Φεβ]]+ΠρογραμματισμέναΈξοδαΥπαλλήλων[[#Totals],[Φεβ]]</f>
        <v>126820</v>
      </c>
      <c r="E36" s="102">
        <f>ΠρογραμματισμέναΈξοδαΕκπαίδευσηςΚαιΜετακινήσεων[[#Totals],[Μάρ]]+ΠρογραμματισμέναΈξοδαΜάρκετινγκ[[#Totals],[Μάρ]]+ΠρογραμματισμέναΈξοδαΓραφείου[[#Totals],[Μάρ]]+ΠρογραμματισμέναΈξοδαΥπαλλήλων[[#Totals],[Μάρ]]</f>
        <v>126820</v>
      </c>
      <c r="F36" s="102">
        <f>ΠρογραμματισμέναΈξοδαΕκπαίδευσηςΚαιΜετακινήσεων[[#Totals],[Απρ]]+ΠρογραμματισμέναΈξοδαΜάρκετινγκ[[#Totals],[Απρ]]+ΠρογραμματισμέναΈξοδαΓραφείου[[#Totals],[Απρ]]+ΠρογραμματισμέναΈξοδαΥπαλλήλων[[#Totals],[Απρ]]</f>
        <v>137695</v>
      </c>
      <c r="G36" s="102">
        <f>ΠρογραμματισμέναΈξοδαΕκπαίδευσηςΚαιΜετακινήσεων[[#Totals],[Μάι]]+ΠρογραμματισμέναΈξοδαΜάρκετινγκ[[#Totals],[Μάι]]+ΠρογραμματισμέναΈξοδαΓραφείου[[#Totals],[Μάι]]+ΠρογραμματισμέναΈξοδαΥπαλλήλων[[#Totals],[Μάι]]</f>
        <v>129695</v>
      </c>
      <c r="H36" s="102">
        <f>ΠρογραμματισμέναΈξοδαΕκπαίδευσηςΚαιΜετακινήσεων[[#Totals],[Ιούν]]+ΠρογραμματισμέναΈξοδαΜάρκετινγκ[[#Totals],[Ιούν]]+ΠρογραμματισμέναΈξοδαΓραφείου[[#Totals],[Ιούν]]+ΠρογραμματισμέναΈξοδαΥπαλλήλων[[#Totals],[Ιούν]]</f>
        <v>130495</v>
      </c>
      <c r="I36" s="103">
        <f>ΠρογραμματισμέναΈξοδαΕκπαίδευσηςΚαιΜετακινήσεων[[#Totals],[Ιούλ]]+ΠρογραμματισμέναΈξοδαΜάρκετινγκ[[#Totals],[Ιούλ]]+ΠρογραμματισμέναΈξοδαΓραφείου[[#Totals],[Ιούλ]]+ΠρογραμματισμέναΈξοδαΥπαλλήλων[[#Totals],[Ιούλ]]</f>
        <v>134695</v>
      </c>
      <c r="J36" s="102">
        <f>ΠρογραμματισμέναΈξοδαΕκπαίδευσηςΚαιΜετακινήσεων[[#Totals],[Αύγ]]+ΠρογραμματισμέναΈξοδαΜάρκετινγκ[[#Totals],[Αύγ]]+ΠρογραμματισμέναΈξοδαΓραφείου[[#Totals],[Αύγ]]+ΠρογραμματισμέναΈξοδαΥπαλλήλων[[#Totals],[Αύγ]]</f>
        <v>138918</v>
      </c>
      <c r="K36" s="102">
        <f>ΠρογραμματισμέναΈξοδαΕκπαίδευσηςΚαιΜετακινήσεων[[#Totals],[Σεπ]]+ΠρογραμματισμέναΈξοδαΜάρκετινγκ[[#Totals],[Σεπ]]+ΠρογραμματισμέναΈξοδαΓραφείου[[#Totals],[Σεπ]]+ΠρογραμματισμέναΈξοδαΥπαλλήλων[[#Totals],[Σεπ]]</f>
        <v>135918</v>
      </c>
      <c r="L36" s="102">
        <f>ΠρογραμματισμέναΈξοδαΕκπαίδευσηςΚαιΜετακινήσεων[[#Totals],[Οκτ]]+ΠρογραμματισμέναΈξοδαΜάρκετινγκ[[#Totals],[Οκτ]]+ΠρογραμματισμέναΈξοδαΓραφείου[[#Totals],[Οκτ]]+ΠρογραμματισμέναΈξοδαΥπαλλήλων[[#Totals],[Οκτ]]</f>
        <v>140918</v>
      </c>
      <c r="M36" s="102">
        <f>ΠρογραμματισμέναΈξοδαΥπαλλήλων[[#Totals],[Νοέ]]+ΠρογραμματισμέναΈξοδαΕκπαίδευσηςΚαιΜετακινήσεων[[#Totals],[Νοε]]+ΠρογραμματισμέναΈξοδαΜάρκετινγκ[[#Totals],[Νοε]]+ΠρογραμματισμέναΈξοδαΓραφείου[[#Totals],[Νοε]]</f>
        <v>136218</v>
      </c>
      <c r="N36" s="102">
        <f>ΠρογραμματισμέναΈξοδαΕκπαίδευσηςΚαιΜετακινήσεων[[#Totals],[Δεκ]]+ΠρογραμματισμέναΈξοδαΜάρκετινγκ[[#Totals],[Δεκ]]+ΠρογραμματισμέναΈξοδαΓραφείου[[#Totals],[Δεκ]]+ΠρογραμματισμέναΈξοδαΥπαλλήλων[[#Totals],[Δεκ]]</f>
        <v>140018</v>
      </c>
      <c r="O36" s="102">
        <f>ΠρογραμματισμέναΈξοδαΕκπαίδευσηςΚαιΜετακινήσεων[[#Totals],[ΕΤΟΣ]]+ΠρογραμματισμέναΈξοδαΜάρκετινγκ[[#Totals],[ΕΤΟΣ]]+ΠρογραμματισμέναΈξοδαΓραφείου[[#Totals],[ΕΤΟΣ]]+ΠρογραμματισμέναΈξοδαΥπαλλήλων[[#Totals],[ΕΤΟΣ]]</f>
        <v>1609630</v>
      </c>
    </row>
    <row r="37" spans="1:15" ht="24.95" customHeight="1" x14ac:dyDescent="0.3">
      <c r="A37" s="30"/>
      <c r="B37" s="22" t="s">
        <v>35</v>
      </c>
      <c r="C37" s="102">
        <f>SUM($C$36:C36)</f>
        <v>131420</v>
      </c>
      <c r="D37" s="102">
        <f>SUM($C$36:D36)</f>
        <v>258240</v>
      </c>
      <c r="E37" s="102">
        <f>SUM($C$36:E36)</f>
        <v>385060</v>
      </c>
      <c r="F37" s="102">
        <f>SUM($C$36:F36)</f>
        <v>522755</v>
      </c>
      <c r="G37" s="102">
        <f>SUM($C$36:G36)</f>
        <v>652450</v>
      </c>
      <c r="H37" s="102">
        <f>SUM($C$36:H36)</f>
        <v>782945</v>
      </c>
      <c r="I37" s="102">
        <f>SUM($C$36:I36)</f>
        <v>917640</v>
      </c>
      <c r="J37" s="102">
        <f>SUM($C$36:J36)</f>
        <v>1056558</v>
      </c>
      <c r="K37" s="102">
        <f>SUM($C$36:K36)</f>
        <v>1192476</v>
      </c>
      <c r="L37" s="102">
        <f>SUM($C$36:L36)</f>
        <v>1333394</v>
      </c>
      <c r="M37" s="102">
        <f>SUM($C$36:M36)</f>
        <v>1469612</v>
      </c>
      <c r="N37" s="102">
        <f>SUM($C$36:N36)</f>
        <v>1609630</v>
      </c>
      <c r="O37" s="102"/>
    </row>
    <row r="38" spans="1:15" ht="21" customHeight="1" x14ac:dyDescent="0.3">
      <c r="A38" s="30"/>
    </row>
  </sheetData>
  <mergeCells count="3">
    <mergeCell ref="R4:T13"/>
    <mergeCell ref="K2:M2"/>
    <mergeCell ref="K3:M3"/>
  </mergeCells>
  <dataValidations count="9">
    <dataValidation allowBlank="1" showInputMessage="1" showErrorMessage="1" prompt="Σε αυτό το κελί βρίσκεται το σύμβολο κράτησης θέσης λογότυπου." sqref="N2" xr:uid="{945E4055-1BEA-4F2B-AF1A-B15640887A38}"/>
    <dataValidation allowBlank="1" showInputMessage="1" showErrorMessage="1" prompt="Η ετικέτα των Προγραμματισμένων εξόδων βρίσκεται στο κελί στα δεξιά, οι μήνες στα κελιά C4 έως N4, η ετικέτα του Έτους στο κελί Ο4 και οι οδηγίες Χρήσης του προτύπου στο κελί R4." sqref="A4" xr:uid="{FC1A50C5-6C61-4FA0-BFBA-2CC82DE4DC0B}"/>
    <dataValidation allowBlank="1" showInputMessage="1" showErrorMessage="1" prompt="Εισαγάγετε τα έξοδα υπαλλήλων στον πίνακα Προγραμματισμένα έξοδα υπαλλήλων που ξεκινά στο κελί στα δεξιά.Η επόμενη οδηγία βρίσκεται στο κελί Α10." sqref="A5" xr:uid="{EED19FC0-ADDC-4580-BE69-2FEDE2EE49A6}"/>
    <dataValidation allowBlank="1" showInputMessage="1" showErrorMessage="1" prompt="Εισαγάγετε τα έξοδα γραφείου στον πίνακα Προγραμματισμένα έξοδα γραφείου που ξεκινά στο κελί στα δεξιά.Η επόμενη οδηγία βρίσκεται στο κελί Α21." sqref="A10" xr:uid="{8C5477C2-13FC-4F55-AAB3-60246BBB7A64}"/>
    <dataValidation allowBlank="1" showInputMessage="1" showErrorMessage="1" prompt="Εισαγάγετε τα έξοδα μάρκετινγκ στον πίνακα Προγραμματισμένα έξοδα μάρκετινγκ που ξεκινά στο κελί στα δεξιά.Η επόμενη οδηγία βρίσκεται στο κελί Α30." sqref="A21" xr:uid="{66411362-0BD5-4E49-BFA8-E0A0A55D07AD}"/>
    <dataValidation allowBlank="1" showInputMessage="1" showErrorMessage="1" prompt="Τα σύνολα υπολογίζονται αυτόματα στον πίνακα Συνολικών προγραμματισμένων εξόδων που ξεκινά στο κελί στα δεξιά." sqref="A30" xr:uid="{6B0B8404-700F-48B3-AD96-0ED1CE7011E9}"/>
    <dataValidation allowBlank="1" showInputMessage="1" showErrorMessage="1" prompt="Εισαγάγετε τα προγραμματισμένα έξοδα υπαλλήλων, γραφείου, μάρκετινγκ, εκπαίδευσης ή μετακίνησης σε αντίστοιχους πίνακες. Τα σύνολα υπολογίζονται αυτόματα. Οδηγίες χρήσης του φύλλου εργασίας βρίσκονται σε αυτήν τη στήλη. Ξεκινήστε με το βέλος προς τα κάτω." sqref="A1" xr:uid="{C6D84CBA-4A3E-4161-9004-1D9F785E5541}"/>
    <dataValidation allowBlank="1" showInputMessage="1" showErrorMessage="1" prompt="Εισαγάγετε την επωνυμία της εταιρείας στο κελί στα δεξιά και το λογότυπο στο κελί N2. Ο τίτλος αυτού του φύλλου εργασίας βρίσκεται στο κελί K2." sqref="A2" xr:uid="{B4473BB7-021E-4A63-A5F5-4234C1B5B724}"/>
    <dataValidation allowBlank="1" showInputMessage="1" showErrorMessage="1" prompt="Στο κελί K3 βρίσκεται συμβουλή." sqref="A3" xr:uid="{3ECF8058-2463-465E-ADF4-F540ECB4A91E}"/>
  </dataValidations>
  <pageMargins left="0.7" right="0.7" top="0.75" bottom="0.75" header="0.3" footer="0.3"/>
  <pageSetup paperSize="9" fitToHeight="0" orientation="portrait" r:id="rId1"/>
  <ignoredErrors>
    <ignoredError sqref="C6:N6 C37:O37 C36:M36 N36:O36" calculatedColumn="1"/>
    <ignoredError sqref="O12" emptyCellReference="1"/>
  </ignoredErrors>
  <drawing r:id="rId2"/>
  <tableParts count="5">
    <tablePart r:id="rId3"/>
    <tablePart r:id="rId4"/>
    <tablePart r:id="rId5"/>
    <tablePart r:id="rId6"/>
    <tablePart r:id="rId7"/>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7"/>
    <pageSetUpPr autoPageBreaks="0"/>
  </sheetPr>
  <dimension ref="A1:P38"/>
  <sheetViews>
    <sheetView showGridLines="0" zoomScaleNormal="100" workbookViewId="0"/>
  </sheetViews>
  <sheetFormatPr defaultColWidth="9.140625" defaultRowHeight="21" customHeight="1" x14ac:dyDescent="0.3"/>
  <cols>
    <col min="1" max="1" width="4.7109375" style="1" customWidth="1"/>
    <col min="2" max="2" width="56.7109375" style="2" customWidth="1"/>
    <col min="3" max="14" width="15.7109375" style="2" customWidth="1"/>
    <col min="15" max="15" width="16.28515625" style="2" customWidth="1"/>
    <col min="16" max="16" width="4.7109375" style="1" customWidth="1"/>
    <col min="17" max="16384" width="9.140625" style="2"/>
  </cols>
  <sheetData>
    <row r="1" spans="1:16" s="1" customFormat="1" ht="24" customHeight="1" x14ac:dyDescent="0.3">
      <c r="A1" s="31"/>
      <c r="B1" s="7"/>
      <c r="C1" s="7"/>
      <c r="D1" s="7"/>
      <c r="E1" s="7"/>
      <c r="F1" s="4"/>
      <c r="G1" s="4"/>
      <c r="H1" s="4"/>
      <c r="I1" s="4"/>
      <c r="J1" s="4"/>
      <c r="K1" s="4"/>
      <c r="L1" s="4"/>
      <c r="M1" s="4"/>
      <c r="N1" s="4"/>
      <c r="O1" s="4"/>
      <c r="P1" s="53" t="s">
        <v>65</v>
      </c>
    </row>
    <row r="2" spans="1:16" s="1" customFormat="1" ht="45" customHeight="1" x14ac:dyDescent="0.35">
      <c r="A2" s="29"/>
      <c r="B2" s="72" t="str">
        <f>'ΠΡΟΓΡΑΜΜΑΤΙΣΜΕΝΑ ΕΞΟΔΑ'!B2:D3</f>
        <v>Επωνυμία εταιρείας</v>
      </c>
      <c r="C2" s="72"/>
      <c r="D2" s="72"/>
      <c r="E2" s="128"/>
      <c r="F2" s="5"/>
      <c r="G2" s="5"/>
      <c r="H2" s="5"/>
      <c r="I2" s="5"/>
      <c r="J2" s="5"/>
      <c r="K2" s="123" t="str">
        <f>τίτλος_φύλλου_εργασίας</f>
        <v>Λεπτομερείς εκτιμήσεις εξόδων</v>
      </c>
      <c r="L2" s="123"/>
      <c r="M2" s="123"/>
      <c r="N2" s="69"/>
      <c r="O2" s="69"/>
      <c r="P2" s="4"/>
    </row>
    <row r="3" spans="1:16" s="1" customFormat="1" ht="30" customHeight="1" x14ac:dyDescent="0.3">
      <c r="A3" s="29"/>
      <c r="B3" s="72"/>
      <c r="C3" s="72"/>
      <c r="D3" s="72"/>
      <c r="E3" s="129"/>
      <c r="F3" s="6"/>
      <c r="G3" s="6"/>
      <c r="H3" s="6"/>
      <c r="I3" s="6"/>
      <c r="J3" s="6"/>
      <c r="K3" s="125" t="s">
        <v>53</v>
      </c>
      <c r="L3" s="125"/>
      <c r="M3" s="125"/>
      <c r="N3" s="69"/>
      <c r="O3" s="69"/>
      <c r="P3" s="4"/>
    </row>
    <row r="4" spans="1:16" s="8" customFormat="1" ht="49.5" customHeight="1" x14ac:dyDescent="0.3">
      <c r="A4" s="30"/>
      <c r="B4" s="19" t="s">
        <v>66</v>
      </c>
      <c r="C4" s="76" t="s">
        <v>36</v>
      </c>
      <c r="D4" s="76" t="s">
        <v>38</v>
      </c>
      <c r="E4" s="76" t="s">
        <v>40</v>
      </c>
      <c r="F4" s="76" t="s">
        <v>42</v>
      </c>
      <c r="G4" s="76" t="s">
        <v>44</v>
      </c>
      <c r="H4" s="76" t="s">
        <v>46</v>
      </c>
      <c r="I4" s="76" t="s">
        <v>48</v>
      </c>
      <c r="J4" s="76" t="s">
        <v>50</v>
      </c>
      <c r="K4" s="76" t="s">
        <v>54</v>
      </c>
      <c r="L4" s="76" t="s">
        <v>56</v>
      </c>
      <c r="M4" s="76" t="s">
        <v>58</v>
      </c>
      <c r="N4" s="76" t="s">
        <v>61</v>
      </c>
      <c r="O4" s="76" t="s">
        <v>63</v>
      </c>
    </row>
    <row r="5" spans="1:16" ht="24.95" customHeight="1" thickBot="1" x14ac:dyDescent="0.35">
      <c r="A5" s="30"/>
      <c r="B5" s="42" t="s">
        <v>10</v>
      </c>
      <c r="C5" s="104" t="s">
        <v>37</v>
      </c>
      <c r="D5" s="94" t="s">
        <v>39</v>
      </c>
      <c r="E5" s="94" t="s">
        <v>41</v>
      </c>
      <c r="F5" s="94" t="s">
        <v>43</v>
      </c>
      <c r="G5" s="94" t="s">
        <v>45</v>
      </c>
      <c r="H5" s="94" t="s">
        <v>47</v>
      </c>
      <c r="I5" s="94" t="s">
        <v>49</v>
      </c>
      <c r="J5" s="94" t="s">
        <v>51</v>
      </c>
      <c r="K5" s="94" t="s">
        <v>55</v>
      </c>
      <c r="L5" s="94" t="s">
        <v>57</v>
      </c>
      <c r="M5" s="94" t="s">
        <v>59</v>
      </c>
      <c r="N5" s="94" t="s">
        <v>62</v>
      </c>
      <c r="O5" s="95" t="s">
        <v>63</v>
      </c>
    </row>
    <row r="6" spans="1:16" ht="24.95" customHeight="1" thickBot="1" x14ac:dyDescent="0.35">
      <c r="A6" s="30"/>
      <c r="B6" s="43" t="s">
        <v>11</v>
      </c>
      <c r="C6" s="96">
        <v>85000</v>
      </c>
      <c r="D6" s="97">
        <v>85000</v>
      </c>
      <c r="E6" s="97">
        <v>85000</v>
      </c>
      <c r="F6" s="97">
        <v>88000</v>
      </c>
      <c r="G6" s="97">
        <v>88000</v>
      </c>
      <c r="H6" s="97">
        <v>88000</v>
      </c>
      <c r="I6" s="97"/>
      <c r="J6" s="97"/>
      <c r="K6" s="97"/>
      <c r="L6" s="97"/>
      <c r="M6" s="97"/>
      <c r="N6" s="97"/>
      <c r="O6" s="98">
        <f>SUM(C6:N6)</f>
        <v>519000</v>
      </c>
    </row>
    <row r="7" spans="1:16" ht="24.95" customHeight="1" thickBot="1" x14ac:dyDescent="0.35">
      <c r="A7" s="30"/>
      <c r="B7" s="43" t="s">
        <v>12</v>
      </c>
      <c r="C7" s="96">
        <f t="shared" ref="C7:N7" si="0">C6*0.27</f>
        <v>22950</v>
      </c>
      <c r="D7" s="97">
        <f t="shared" si="0"/>
        <v>22950</v>
      </c>
      <c r="E7" s="97">
        <f t="shared" si="0"/>
        <v>22950</v>
      </c>
      <c r="F7" s="97">
        <f t="shared" si="0"/>
        <v>23760</v>
      </c>
      <c r="G7" s="97">
        <f t="shared" si="0"/>
        <v>23760</v>
      </c>
      <c r="H7" s="97">
        <f t="shared" si="0"/>
        <v>23760</v>
      </c>
      <c r="I7" s="97">
        <f t="shared" si="0"/>
        <v>0</v>
      </c>
      <c r="J7" s="97">
        <f t="shared" si="0"/>
        <v>0</v>
      </c>
      <c r="K7" s="97">
        <f t="shared" si="0"/>
        <v>0</v>
      </c>
      <c r="L7" s="97">
        <f t="shared" si="0"/>
        <v>0</v>
      </c>
      <c r="M7" s="97">
        <f t="shared" si="0"/>
        <v>0</v>
      </c>
      <c r="N7" s="97">
        <f t="shared" si="0"/>
        <v>0</v>
      </c>
      <c r="O7" s="98">
        <f>SUM(C7:N7)</f>
        <v>140130</v>
      </c>
    </row>
    <row r="8" spans="1:16" ht="24.95" customHeight="1" x14ac:dyDescent="0.3">
      <c r="A8" s="30"/>
      <c r="B8" s="56" t="s">
        <v>13</v>
      </c>
      <c r="C8" s="105">
        <f>SUBTOTAL(109,ΠραγματικάΈξοδαΥπαλλήλων[Ιαν])</f>
        <v>107950</v>
      </c>
      <c r="D8" s="106">
        <f>SUBTOTAL(109,ΠραγματικάΈξοδαΥπαλλήλων[Φεβ])</f>
        <v>107950</v>
      </c>
      <c r="E8" s="106">
        <f>SUBTOTAL(109,ΠραγματικάΈξοδαΥπαλλήλων[Μάρ])</f>
        <v>107950</v>
      </c>
      <c r="F8" s="106">
        <f>SUBTOTAL(109,ΠραγματικάΈξοδαΥπαλλήλων[Απρ])</f>
        <v>111760</v>
      </c>
      <c r="G8" s="106">
        <f>SUBTOTAL(109,ΠραγματικάΈξοδαΥπαλλήλων[Μάι])</f>
        <v>111760</v>
      </c>
      <c r="H8" s="106">
        <f>SUBTOTAL(109,ΠραγματικάΈξοδαΥπαλλήλων[Ιούν])</f>
        <v>111760</v>
      </c>
      <c r="I8" s="106">
        <f>SUBTOTAL(109,ΠραγματικάΈξοδαΥπαλλήλων[Ιούλ])</f>
        <v>0</v>
      </c>
      <c r="J8" s="106">
        <f>SUBTOTAL(109,ΠραγματικάΈξοδαΥπαλλήλων[Αύγ])</f>
        <v>0</v>
      </c>
      <c r="K8" s="106">
        <f>SUBTOTAL(109,ΠραγματικάΈξοδαΥπαλλήλων[Σεπ])</f>
        <v>0</v>
      </c>
      <c r="L8" s="106">
        <f>SUBTOTAL(109,ΠραγματικάΈξοδαΥπαλλήλων[Οκτ])</f>
        <v>0</v>
      </c>
      <c r="M8" s="106">
        <f>SUBTOTAL(109,ΠραγματικάΈξοδαΥπαλλήλων[Νοέ])</f>
        <v>0</v>
      </c>
      <c r="N8" s="106">
        <f>SUBTOTAL(109,ΠραγματικάΈξοδαΥπαλλήλων[Δεκ])</f>
        <v>0</v>
      </c>
      <c r="O8" s="107">
        <f>SUBTOTAL(109,ΠραγματικάΈξοδαΥπαλλήλων[ΕΤΟΣ])</f>
        <v>659130</v>
      </c>
    </row>
    <row r="9" spans="1:16" s="1" customFormat="1" ht="21" customHeight="1" x14ac:dyDescent="0.3">
      <c r="A9" s="30"/>
      <c r="B9" s="70"/>
      <c r="C9" s="70"/>
      <c r="D9" s="85"/>
      <c r="E9" s="85"/>
      <c r="F9" s="85"/>
      <c r="G9" s="85"/>
      <c r="H9" s="85"/>
      <c r="I9" s="85"/>
      <c r="J9" s="85"/>
      <c r="K9" s="85"/>
      <c r="L9" s="85"/>
      <c r="M9" s="85"/>
      <c r="N9" s="85"/>
      <c r="O9" s="86"/>
    </row>
    <row r="10" spans="1:16" ht="24.95" customHeight="1" thickBot="1" x14ac:dyDescent="0.35">
      <c r="A10" s="30"/>
      <c r="B10" s="47" t="s">
        <v>14</v>
      </c>
      <c r="C10" s="104" t="s">
        <v>37</v>
      </c>
      <c r="D10" s="94" t="s">
        <v>39</v>
      </c>
      <c r="E10" s="94" t="s">
        <v>41</v>
      </c>
      <c r="F10" s="94" t="s">
        <v>43</v>
      </c>
      <c r="G10" s="94" t="s">
        <v>45</v>
      </c>
      <c r="H10" s="94" t="s">
        <v>47</v>
      </c>
      <c r="I10" s="94" t="s">
        <v>49</v>
      </c>
      <c r="J10" s="94" t="s">
        <v>51</v>
      </c>
      <c r="K10" s="94" t="s">
        <v>55</v>
      </c>
      <c r="L10" s="94" t="s">
        <v>57</v>
      </c>
      <c r="M10" s="94" t="s">
        <v>60</v>
      </c>
      <c r="N10" s="94" t="s">
        <v>62</v>
      </c>
      <c r="O10" s="95" t="s">
        <v>63</v>
      </c>
    </row>
    <row r="11" spans="1:16" ht="24.95" customHeight="1" thickBot="1" x14ac:dyDescent="0.35">
      <c r="A11" s="30"/>
      <c r="B11" s="43" t="s">
        <v>15</v>
      </c>
      <c r="C11" s="96">
        <v>9800</v>
      </c>
      <c r="D11" s="97">
        <v>9800</v>
      </c>
      <c r="E11" s="97">
        <v>9800</v>
      </c>
      <c r="F11" s="97">
        <v>9800</v>
      </c>
      <c r="G11" s="97">
        <v>9800</v>
      </c>
      <c r="H11" s="97">
        <v>9800</v>
      </c>
      <c r="I11" s="97"/>
      <c r="J11" s="97"/>
      <c r="K11" s="97"/>
      <c r="L11" s="97"/>
      <c r="M11" s="97"/>
      <c r="N11" s="97"/>
      <c r="O11" s="98">
        <f t="shared" ref="O11:O18" si="1">SUM(C11:N11)</f>
        <v>58800</v>
      </c>
    </row>
    <row r="12" spans="1:16" ht="24.95" customHeight="1" thickBot="1" x14ac:dyDescent="0.35">
      <c r="A12" s="30"/>
      <c r="B12" s="43" t="s">
        <v>16</v>
      </c>
      <c r="C12" s="96">
        <v>4</v>
      </c>
      <c r="D12" s="97">
        <v>430</v>
      </c>
      <c r="E12" s="97">
        <v>385</v>
      </c>
      <c r="F12" s="97">
        <v>230</v>
      </c>
      <c r="G12" s="97">
        <v>87</v>
      </c>
      <c r="H12" s="97">
        <v>88</v>
      </c>
      <c r="I12" s="97"/>
      <c r="J12" s="97"/>
      <c r="K12" s="97"/>
      <c r="L12" s="97"/>
      <c r="M12" s="97"/>
      <c r="N12" s="97"/>
      <c r="O12" s="98">
        <f t="shared" si="1"/>
        <v>1224</v>
      </c>
    </row>
    <row r="13" spans="1:16" ht="24.95" customHeight="1" thickBot="1" x14ac:dyDescent="0.35">
      <c r="A13" s="30"/>
      <c r="B13" s="43" t="s">
        <v>17</v>
      </c>
      <c r="C13" s="96">
        <v>288</v>
      </c>
      <c r="D13" s="97">
        <v>278</v>
      </c>
      <c r="E13" s="97">
        <v>268</v>
      </c>
      <c r="F13" s="97">
        <v>299</v>
      </c>
      <c r="G13" s="97">
        <v>306</v>
      </c>
      <c r="H13" s="97">
        <v>290</v>
      </c>
      <c r="I13" s="97"/>
      <c r="J13" s="97"/>
      <c r="K13" s="97"/>
      <c r="L13" s="97"/>
      <c r="M13" s="97"/>
      <c r="N13" s="97"/>
      <c r="O13" s="98">
        <f t="shared" si="1"/>
        <v>1729</v>
      </c>
    </row>
    <row r="14" spans="1:16" ht="24.95" customHeight="1" thickBot="1" x14ac:dyDescent="0.35">
      <c r="A14" s="30"/>
      <c r="B14" s="43" t="s">
        <v>18</v>
      </c>
      <c r="C14" s="96">
        <v>35</v>
      </c>
      <c r="D14" s="97">
        <v>33</v>
      </c>
      <c r="E14" s="97">
        <v>34</v>
      </c>
      <c r="F14" s="97">
        <v>36</v>
      </c>
      <c r="G14" s="97">
        <v>34</v>
      </c>
      <c r="H14" s="97">
        <v>36</v>
      </c>
      <c r="I14" s="97"/>
      <c r="J14" s="97"/>
      <c r="K14" s="97"/>
      <c r="L14" s="97"/>
      <c r="M14" s="97"/>
      <c r="N14" s="97"/>
      <c r="O14" s="98">
        <f t="shared" si="1"/>
        <v>208</v>
      </c>
    </row>
    <row r="15" spans="1:16" ht="24.95" customHeight="1" thickBot="1" x14ac:dyDescent="0.35">
      <c r="A15" s="30"/>
      <c r="B15" s="43" t="s">
        <v>19</v>
      </c>
      <c r="C15" s="96">
        <v>224</v>
      </c>
      <c r="D15" s="97">
        <v>235</v>
      </c>
      <c r="E15" s="97">
        <v>265</v>
      </c>
      <c r="F15" s="97">
        <v>245</v>
      </c>
      <c r="G15" s="97">
        <v>245</v>
      </c>
      <c r="H15" s="97">
        <v>220</v>
      </c>
      <c r="I15" s="97"/>
      <c r="J15" s="97"/>
      <c r="K15" s="97"/>
      <c r="L15" s="97"/>
      <c r="M15" s="97"/>
      <c r="N15" s="97"/>
      <c r="O15" s="98">
        <f t="shared" si="1"/>
        <v>1434</v>
      </c>
    </row>
    <row r="16" spans="1:16" ht="24.95" customHeight="1" thickBot="1" x14ac:dyDescent="0.35">
      <c r="A16" s="30"/>
      <c r="B16" s="43" t="s">
        <v>20</v>
      </c>
      <c r="C16" s="96">
        <v>180</v>
      </c>
      <c r="D16" s="97">
        <v>180</v>
      </c>
      <c r="E16" s="97">
        <v>180</v>
      </c>
      <c r="F16" s="97">
        <v>180</v>
      </c>
      <c r="G16" s="97">
        <v>180</v>
      </c>
      <c r="H16" s="97">
        <v>180</v>
      </c>
      <c r="I16" s="97"/>
      <c r="J16" s="97"/>
      <c r="K16" s="97"/>
      <c r="L16" s="97"/>
      <c r="M16" s="97"/>
      <c r="N16" s="97"/>
      <c r="O16" s="98">
        <f t="shared" si="1"/>
        <v>1080</v>
      </c>
    </row>
    <row r="17" spans="1:15" ht="24.95" customHeight="1" thickBot="1" x14ac:dyDescent="0.35">
      <c r="A17" s="30"/>
      <c r="B17" s="43" t="s">
        <v>21</v>
      </c>
      <c r="C17" s="96">
        <v>256</v>
      </c>
      <c r="D17" s="97">
        <v>142</v>
      </c>
      <c r="E17" s="97">
        <v>160</v>
      </c>
      <c r="F17" s="97">
        <v>221</v>
      </c>
      <c r="G17" s="97">
        <v>256</v>
      </c>
      <c r="H17" s="97">
        <v>240</v>
      </c>
      <c r="I17" s="97"/>
      <c r="J17" s="97"/>
      <c r="K17" s="97"/>
      <c r="L17" s="97"/>
      <c r="M17" s="97"/>
      <c r="N17" s="97"/>
      <c r="O17" s="98">
        <f t="shared" si="1"/>
        <v>1275</v>
      </c>
    </row>
    <row r="18" spans="1:15" ht="24.95" customHeight="1" thickBot="1" x14ac:dyDescent="0.35">
      <c r="A18" s="30"/>
      <c r="B18" s="43" t="s">
        <v>22</v>
      </c>
      <c r="C18" s="96">
        <v>600</v>
      </c>
      <c r="D18" s="97">
        <v>600</v>
      </c>
      <c r="E18" s="97">
        <v>600</v>
      </c>
      <c r="F18" s="97">
        <v>600</v>
      </c>
      <c r="G18" s="97">
        <v>600</v>
      </c>
      <c r="H18" s="97">
        <v>600</v>
      </c>
      <c r="I18" s="97"/>
      <c r="J18" s="97"/>
      <c r="K18" s="97"/>
      <c r="L18" s="97"/>
      <c r="M18" s="97"/>
      <c r="N18" s="97"/>
      <c r="O18" s="98">
        <f t="shared" si="1"/>
        <v>3600</v>
      </c>
    </row>
    <row r="19" spans="1:15" ht="24.95" customHeight="1" x14ac:dyDescent="0.3">
      <c r="A19" s="30"/>
      <c r="B19" s="57" t="s">
        <v>13</v>
      </c>
      <c r="C19" s="100">
        <f>SUBTOTAL(109,ΠραγματικάΈξοδαΓραφείου[Ιαν])</f>
        <v>11387</v>
      </c>
      <c r="D19" s="100">
        <f>SUBTOTAL(109,ΠραγματικάΈξοδαΓραφείου[Φεβ])</f>
        <v>11698</v>
      </c>
      <c r="E19" s="100">
        <f>SUBTOTAL(109,ΠραγματικάΈξοδαΓραφείου[Μάρ])</f>
        <v>11692</v>
      </c>
      <c r="F19" s="100">
        <f>SUBTOTAL(109,ΠραγματικάΈξοδαΓραφείου[Απρ])</f>
        <v>11611</v>
      </c>
      <c r="G19" s="100">
        <f>SUBTOTAL(109,ΠραγματικάΈξοδαΓραφείου[Μάι])</f>
        <v>11508</v>
      </c>
      <c r="H19" s="100">
        <f>SUBTOTAL(109,ΠραγματικάΈξοδαΓραφείου[Ιούν])</f>
        <v>11454</v>
      </c>
      <c r="I19" s="100">
        <f>SUBTOTAL(109,ΠραγματικάΈξοδαΓραφείου[Ιούλ])</f>
        <v>0</v>
      </c>
      <c r="J19" s="100">
        <f>SUBTOTAL(109,ΠραγματικάΈξοδαΓραφείου[Αύγ])</f>
        <v>0</v>
      </c>
      <c r="K19" s="100">
        <f>SUBTOTAL(109,ΠραγματικάΈξοδαΓραφείου[Σεπ])</f>
        <v>0</v>
      </c>
      <c r="L19" s="100">
        <f>SUBTOTAL(109,ΠραγματικάΈξοδαΓραφείου[Οκτ])</f>
        <v>0</v>
      </c>
      <c r="M19" s="100">
        <f>SUBTOTAL(109,ΠραγματικάΈξοδαΓραφείου[Νοε])</f>
        <v>0</v>
      </c>
      <c r="N19" s="100">
        <f>SUBTOTAL(109,ΠραγματικάΈξοδαΓραφείου[Δεκ])</f>
        <v>0</v>
      </c>
      <c r="O19" s="101">
        <f>SUBTOTAL(109,ΠραγματικάΈξοδαΓραφείου[ΕΤΟΣ])</f>
        <v>69350</v>
      </c>
    </row>
    <row r="20" spans="1:15" ht="21" customHeight="1" x14ac:dyDescent="0.3">
      <c r="A20" s="30"/>
      <c r="B20" s="71"/>
      <c r="C20" s="71"/>
      <c r="D20" s="85"/>
      <c r="E20" s="85"/>
      <c r="F20" s="93"/>
      <c r="G20" s="93"/>
      <c r="H20" s="93"/>
      <c r="I20" s="93"/>
      <c r="J20" s="93"/>
      <c r="K20" s="93"/>
      <c r="L20" s="93"/>
      <c r="M20" s="93"/>
      <c r="N20" s="93"/>
      <c r="O20" s="86"/>
    </row>
    <row r="21" spans="1:15" ht="24.95" customHeight="1" thickBot="1" x14ac:dyDescent="0.35">
      <c r="A21" s="30"/>
      <c r="B21" s="58" t="s">
        <v>23</v>
      </c>
      <c r="C21" s="104" t="s">
        <v>37</v>
      </c>
      <c r="D21" s="94" t="s">
        <v>39</v>
      </c>
      <c r="E21" s="94" t="s">
        <v>41</v>
      </c>
      <c r="F21" s="94" t="s">
        <v>43</v>
      </c>
      <c r="G21" s="94" t="s">
        <v>45</v>
      </c>
      <c r="H21" s="94" t="s">
        <v>47</v>
      </c>
      <c r="I21" s="94" t="s">
        <v>49</v>
      </c>
      <c r="J21" s="94" t="s">
        <v>51</v>
      </c>
      <c r="K21" s="94" t="s">
        <v>55</v>
      </c>
      <c r="L21" s="94" t="s">
        <v>57</v>
      </c>
      <c r="M21" s="94" t="s">
        <v>60</v>
      </c>
      <c r="N21" s="94" t="s">
        <v>62</v>
      </c>
      <c r="O21" s="95" t="s">
        <v>63</v>
      </c>
    </row>
    <row r="22" spans="1:15" ht="24.95" customHeight="1" thickBot="1" x14ac:dyDescent="0.35">
      <c r="A22" s="30"/>
      <c r="B22" s="43" t="s">
        <v>24</v>
      </c>
      <c r="C22" s="96">
        <v>500</v>
      </c>
      <c r="D22" s="97">
        <v>500</v>
      </c>
      <c r="E22" s="97">
        <v>500</v>
      </c>
      <c r="F22" s="97">
        <v>500</v>
      </c>
      <c r="G22" s="97">
        <v>500</v>
      </c>
      <c r="H22" s="97">
        <v>500</v>
      </c>
      <c r="I22" s="97"/>
      <c r="J22" s="97"/>
      <c r="K22" s="97"/>
      <c r="L22" s="97"/>
      <c r="M22" s="97"/>
      <c r="N22" s="97"/>
      <c r="O22" s="98">
        <f t="shared" ref="O22:O27" si="2">SUM(C22:N22)</f>
        <v>3000</v>
      </c>
    </row>
    <row r="23" spans="1:15" ht="24.95" customHeight="1" thickBot="1" x14ac:dyDescent="0.35">
      <c r="A23" s="30"/>
      <c r="B23" s="43" t="s">
        <v>25</v>
      </c>
      <c r="C23" s="96">
        <v>200</v>
      </c>
      <c r="D23" s="97">
        <v>200</v>
      </c>
      <c r="E23" s="97">
        <v>200</v>
      </c>
      <c r="F23" s="97">
        <v>200</v>
      </c>
      <c r="G23" s="97">
        <v>200</v>
      </c>
      <c r="H23" s="97">
        <v>1500</v>
      </c>
      <c r="I23" s="97"/>
      <c r="J23" s="97"/>
      <c r="K23" s="97"/>
      <c r="L23" s="97"/>
      <c r="M23" s="97"/>
      <c r="N23" s="97"/>
      <c r="O23" s="98">
        <f t="shared" si="2"/>
        <v>2500</v>
      </c>
    </row>
    <row r="24" spans="1:15" ht="24.95" customHeight="1" thickBot="1" x14ac:dyDescent="0.35">
      <c r="A24" s="30"/>
      <c r="B24" s="43" t="s">
        <v>26</v>
      </c>
      <c r="C24" s="96">
        <v>4800</v>
      </c>
      <c r="D24" s="97">
        <v>0</v>
      </c>
      <c r="E24" s="97">
        <v>0</v>
      </c>
      <c r="F24" s="97">
        <v>5500</v>
      </c>
      <c r="G24" s="97">
        <v>0</v>
      </c>
      <c r="H24" s="97">
        <v>0</v>
      </c>
      <c r="I24" s="97"/>
      <c r="J24" s="97"/>
      <c r="K24" s="97"/>
      <c r="L24" s="97"/>
      <c r="M24" s="97"/>
      <c r="N24" s="97"/>
      <c r="O24" s="98">
        <f t="shared" si="2"/>
        <v>10300</v>
      </c>
    </row>
    <row r="25" spans="1:15" ht="24.95" customHeight="1" thickBot="1" x14ac:dyDescent="0.35">
      <c r="A25" s="30"/>
      <c r="B25" s="43" t="s">
        <v>27</v>
      </c>
      <c r="C25" s="96">
        <v>100</v>
      </c>
      <c r="D25" s="97">
        <v>500</v>
      </c>
      <c r="E25" s="97">
        <v>100</v>
      </c>
      <c r="F25" s="97">
        <v>100</v>
      </c>
      <c r="G25" s="97">
        <v>600</v>
      </c>
      <c r="H25" s="97">
        <v>180</v>
      </c>
      <c r="I25" s="97"/>
      <c r="J25" s="97"/>
      <c r="K25" s="97"/>
      <c r="L25" s="97"/>
      <c r="M25" s="97"/>
      <c r="N25" s="97"/>
      <c r="O25" s="98">
        <f t="shared" si="2"/>
        <v>1580</v>
      </c>
    </row>
    <row r="26" spans="1:15" ht="24.95" customHeight="1" thickBot="1" x14ac:dyDescent="0.35">
      <c r="A26" s="30"/>
      <c r="B26" s="43" t="s">
        <v>28</v>
      </c>
      <c r="C26" s="96">
        <v>1800</v>
      </c>
      <c r="D26" s="97">
        <v>2200</v>
      </c>
      <c r="E26" s="97">
        <v>2200</v>
      </c>
      <c r="F26" s="97">
        <v>4700</v>
      </c>
      <c r="G26" s="97">
        <v>1500</v>
      </c>
      <c r="H26" s="97">
        <v>2300</v>
      </c>
      <c r="I26" s="97"/>
      <c r="J26" s="97"/>
      <c r="K26" s="97"/>
      <c r="L26" s="97"/>
      <c r="M26" s="97"/>
      <c r="N26" s="97"/>
      <c r="O26" s="98">
        <f t="shared" si="2"/>
        <v>14700</v>
      </c>
    </row>
    <row r="27" spans="1:15" ht="24.95" customHeight="1" thickBot="1" x14ac:dyDescent="0.35">
      <c r="A27" s="30"/>
      <c r="B27" s="43" t="s">
        <v>29</v>
      </c>
      <c r="C27" s="96">
        <v>145</v>
      </c>
      <c r="D27" s="97">
        <v>156</v>
      </c>
      <c r="E27" s="97">
        <v>123</v>
      </c>
      <c r="F27" s="97">
        <v>223</v>
      </c>
      <c r="G27" s="97">
        <v>187</v>
      </c>
      <c r="H27" s="97">
        <v>245</v>
      </c>
      <c r="I27" s="97"/>
      <c r="J27" s="97"/>
      <c r="K27" s="97"/>
      <c r="L27" s="97"/>
      <c r="M27" s="97"/>
      <c r="N27" s="97"/>
      <c r="O27" s="98">
        <f t="shared" si="2"/>
        <v>1079</v>
      </c>
    </row>
    <row r="28" spans="1:15" ht="24.95" customHeight="1" x14ac:dyDescent="0.3">
      <c r="A28" s="30"/>
      <c r="B28" s="55" t="s">
        <v>13</v>
      </c>
      <c r="C28" s="108">
        <f>SUBTOTAL(109,ΠραγματικάΈξοδαΜάρκετινγκ[Ιαν])</f>
        <v>7545</v>
      </c>
      <c r="D28" s="100">
        <f>SUBTOTAL(109,ΠραγματικάΈξοδαΜάρκετινγκ[Φεβ])</f>
        <v>3556</v>
      </c>
      <c r="E28" s="100">
        <f>SUBTOTAL(109,ΠραγματικάΈξοδαΜάρκετινγκ[Μάρ])</f>
        <v>3123</v>
      </c>
      <c r="F28" s="100">
        <f>SUBTOTAL(109,ΠραγματικάΈξοδαΜάρκετινγκ[Απρ])</f>
        <v>11223</v>
      </c>
      <c r="G28" s="100">
        <f>SUBTOTAL(109,ΠραγματικάΈξοδαΜάρκετινγκ[Μάι])</f>
        <v>2987</v>
      </c>
      <c r="H28" s="100">
        <f>SUBTOTAL(109,ΠραγματικάΈξοδαΜάρκετινγκ[Ιούν])</f>
        <v>4725</v>
      </c>
      <c r="I28" s="100">
        <f>SUBTOTAL(109,ΠραγματικάΈξοδαΜάρκετινγκ[Ιούλ])</f>
        <v>0</v>
      </c>
      <c r="J28" s="100">
        <f>SUBTOTAL(109,ΠραγματικάΈξοδαΜάρκετινγκ[Αύγ])</f>
        <v>0</v>
      </c>
      <c r="K28" s="100">
        <f>SUBTOTAL(109,ΠραγματικάΈξοδαΜάρκετινγκ[Σεπ])</f>
        <v>0</v>
      </c>
      <c r="L28" s="100">
        <f>SUBTOTAL(109,ΠραγματικάΈξοδαΜάρκετινγκ[Οκτ])</f>
        <v>0</v>
      </c>
      <c r="M28" s="100">
        <f>SUBTOTAL(109,ΠραγματικάΈξοδαΜάρκετινγκ[Νοε])</f>
        <v>0</v>
      </c>
      <c r="N28" s="100">
        <f>SUBTOTAL(109,ΠραγματικάΈξοδαΜάρκετινγκ[Δεκ])</f>
        <v>0</v>
      </c>
      <c r="O28" s="101">
        <f>SUBTOTAL(109,ΠραγματικάΈξοδαΜάρκετινγκ[ΕΤΟΣ])</f>
        <v>33159</v>
      </c>
    </row>
    <row r="29" spans="1:15" ht="21" customHeight="1" x14ac:dyDescent="0.3">
      <c r="A29" s="30"/>
      <c r="B29" s="70"/>
      <c r="C29" s="70"/>
      <c r="D29" s="93"/>
      <c r="E29" s="93"/>
      <c r="F29" s="93"/>
      <c r="G29" s="93"/>
      <c r="H29" s="93"/>
      <c r="I29" s="93"/>
      <c r="J29" s="93"/>
      <c r="K29" s="93"/>
      <c r="L29" s="93"/>
      <c r="M29" s="93"/>
      <c r="N29" s="93"/>
      <c r="O29" s="86"/>
    </row>
    <row r="30" spans="1:15" ht="24.95" customHeight="1" thickBot="1" x14ac:dyDescent="0.35">
      <c r="A30" s="30"/>
      <c r="B30" s="50" t="s">
        <v>30</v>
      </c>
      <c r="C30" s="94" t="s">
        <v>37</v>
      </c>
      <c r="D30" s="94" t="s">
        <v>39</v>
      </c>
      <c r="E30" s="94" t="s">
        <v>41</v>
      </c>
      <c r="F30" s="94" t="s">
        <v>43</v>
      </c>
      <c r="G30" s="94" t="s">
        <v>45</v>
      </c>
      <c r="H30" s="94" t="s">
        <v>47</v>
      </c>
      <c r="I30" s="94" t="s">
        <v>49</v>
      </c>
      <c r="J30" s="94" t="s">
        <v>51</v>
      </c>
      <c r="K30" s="94" t="s">
        <v>55</v>
      </c>
      <c r="L30" s="94" t="s">
        <v>57</v>
      </c>
      <c r="M30" s="94" t="s">
        <v>60</v>
      </c>
      <c r="N30" s="94" t="s">
        <v>62</v>
      </c>
      <c r="O30" s="95" t="s">
        <v>63</v>
      </c>
    </row>
    <row r="31" spans="1:15" ht="24.95" customHeight="1" thickBot="1" x14ac:dyDescent="0.35">
      <c r="A31" s="30"/>
      <c r="B31" s="54" t="s">
        <v>31</v>
      </c>
      <c r="C31" s="97">
        <v>1600</v>
      </c>
      <c r="D31" s="97">
        <v>2400</v>
      </c>
      <c r="E31" s="97">
        <v>1400</v>
      </c>
      <c r="F31" s="97">
        <v>1600</v>
      </c>
      <c r="G31" s="97">
        <v>1200</v>
      </c>
      <c r="H31" s="97">
        <v>2800</v>
      </c>
      <c r="I31" s="97"/>
      <c r="J31" s="97"/>
      <c r="K31" s="97"/>
      <c r="L31" s="97"/>
      <c r="M31" s="97"/>
      <c r="N31" s="97"/>
      <c r="O31" s="98">
        <f>SUM(C31:N31)</f>
        <v>11000</v>
      </c>
    </row>
    <row r="32" spans="1:15" ht="24.95" customHeight="1" thickBot="1" x14ac:dyDescent="0.35">
      <c r="A32" s="30"/>
      <c r="B32" s="54" t="s">
        <v>32</v>
      </c>
      <c r="C32" s="97">
        <v>1200</v>
      </c>
      <c r="D32" s="97">
        <v>2200</v>
      </c>
      <c r="E32" s="97">
        <v>1400</v>
      </c>
      <c r="F32" s="97">
        <v>1200</v>
      </c>
      <c r="G32" s="97">
        <v>800</v>
      </c>
      <c r="H32" s="97">
        <v>3500</v>
      </c>
      <c r="I32" s="97"/>
      <c r="J32" s="97"/>
      <c r="K32" s="97"/>
      <c r="L32" s="97"/>
      <c r="M32" s="97"/>
      <c r="N32" s="97"/>
      <c r="O32" s="98">
        <f>SUM(C32:N32)</f>
        <v>10300</v>
      </c>
    </row>
    <row r="33" spans="1:16" ht="24.95" customHeight="1" x14ac:dyDescent="0.3">
      <c r="A33" s="30"/>
      <c r="B33" s="57" t="s">
        <v>13</v>
      </c>
      <c r="C33" s="100">
        <f>SUBTOTAL(109,ΠραγματικάΈξοδαΕκπαίδευσηςΚαιΜετακινήσεων[Ιαν])</f>
        <v>2800</v>
      </c>
      <c r="D33" s="100">
        <f>SUBTOTAL(109,ΠραγματικάΈξοδαΕκπαίδευσηςΚαιΜετακινήσεων[Φεβ])</f>
        <v>4600</v>
      </c>
      <c r="E33" s="100">
        <f>SUBTOTAL(109,ΠραγματικάΈξοδαΕκπαίδευσηςΚαιΜετακινήσεων[Μάρ])</f>
        <v>2800</v>
      </c>
      <c r="F33" s="100">
        <f>SUBTOTAL(109,ΠραγματικάΈξοδαΕκπαίδευσηςΚαιΜετακινήσεων[Απρ])</f>
        <v>2800</v>
      </c>
      <c r="G33" s="100">
        <f>SUBTOTAL(109,ΠραγματικάΈξοδαΕκπαίδευσηςΚαιΜετακινήσεων[Μάι])</f>
        <v>2000</v>
      </c>
      <c r="H33" s="100">
        <f>SUBTOTAL(109,ΠραγματικάΈξοδαΕκπαίδευσηςΚαιΜετακινήσεων[Ιούν])</f>
        <v>6300</v>
      </c>
      <c r="I33" s="100">
        <f>SUBTOTAL(109,ΠραγματικάΈξοδαΕκπαίδευσηςΚαιΜετακινήσεων[Ιούλ])</f>
        <v>0</v>
      </c>
      <c r="J33" s="100">
        <f>SUBTOTAL(109,ΠραγματικάΈξοδαΕκπαίδευσηςΚαιΜετακινήσεων[Αύγ])</f>
        <v>0</v>
      </c>
      <c r="K33" s="100">
        <f>SUBTOTAL(109,ΠραγματικάΈξοδαΕκπαίδευσηςΚαιΜετακινήσεων[Σεπ])</f>
        <v>0</v>
      </c>
      <c r="L33" s="100">
        <f>SUBTOTAL(109,ΠραγματικάΈξοδαΕκπαίδευσηςΚαιΜετακινήσεων[Οκτ])</f>
        <v>0</v>
      </c>
      <c r="M33" s="100">
        <f>SUBTOTAL(109,ΠραγματικάΈξοδαΕκπαίδευσηςΚαιΜετακινήσεων[Νοε])</f>
        <v>0</v>
      </c>
      <c r="N33" s="100">
        <f>SUBTOTAL(109,ΠραγματικάΈξοδαΕκπαίδευσηςΚαιΜετακινήσεων[Δεκ])</f>
        <v>0</v>
      </c>
      <c r="O33" s="101">
        <f>SUBTOTAL(109,ΠραγματικάΈξοδαΕκπαίδευσηςΚαιΜετακινήσεων[ΕΤΟΣ])</f>
        <v>21300</v>
      </c>
    </row>
    <row r="34" spans="1:16" ht="21" customHeight="1" x14ac:dyDescent="0.3">
      <c r="A34" s="30"/>
      <c r="B34" s="70"/>
      <c r="C34" s="70"/>
      <c r="D34" s="86"/>
      <c r="E34" s="86"/>
      <c r="F34" s="86"/>
      <c r="G34" s="86"/>
      <c r="H34" s="86"/>
      <c r="I34" s="86"/>
      <c r="J34" s="86"/>
      <c r="K34" s="86"/>
      <c r="L34" s="86"/>
      <c r="M34" s="86"/>
      <c r="N34" s="86"/>
      <c r="O34" s="86"/>
    </row>
    <row r="35" spans="1:16" ht="24.95" customHeight="1" thickBot="1" x14ac:dyDescent="0.35">
      <c r="A35" s="30"/>
      <c r="B35" s="25" t="s">
        <v>35</v>
      </c>
      <c r="C35" s="26" t="s">
        <v>37</v>
      </c>
      <c r="D35" s="26" t="s">
        <v>39</v>
      </c>
      <c r="E35" s="26" t="s">
        <v>41</v>
      </c>
      <c r="F35" s="26" t="s">
        <v>43</v>
      </c>
      <c r="G35" s="26" t="s">
        <v>45</v>
      </c>
      <c r="H35" s="26" t="s">
        <v>47</v>
      </c>
      <c r="I35" s="26" t="s">
        <v>49</v>
      </c>
      <c r="J35" s="26" t="s">
        <v>51</v>
      </c>
      <c r="K35" s="26" t="s">
        <v>55</v>
      </c>
      <c r="L35" s="26" t="s">
        <v>57</v>
      </c>
      <c r="M35" s="26" t="s">
        <v>60</v>
      </c>
      <c r="N35" s="26" t="s">
        <v>62</v>
      </c>
      <c r="O35" s="60" t="s">
        <v>64</v>
      </c>
    </row>
    <row r="36" spans="1:16" ht="24.95" customHeight="1" thickBot="1" x14ac:dyDescent="0.35">
      <c r="A36" s="30"/>
      <c r="B36" s="59" t="s">
        <v>67</v>
      </c>
      <c r="C36" s="109">
        <f>ΠραγματικάΈξοδαΕκπαίδευσηςΚαιΜετακινήσεων[[#Totals],[Ιαν]]+ΠραγματικάΈξοδαΜάρκετινγκ[[#Totals],[Ιαν]]+ΠραγματικάΈξοδαΓραφείου[[#Totals],[Ιαν]]+ΠραγματικάΈξοδαΥπαλλήλων[[#Totals],[Ιαν]]</f>
        <v>129682</v>
      </c>
      <c r="D36" s="110">
        <f>ΠραγματικάΈξοδαΕκπαίδευσηςΚαιΜετακινήσεων[[#Totals],[Φεβ]]+ΠραγματικάΈξοδαΜάρκετινγκ[[#Totals],[Φεβ]]+ΠραγματικάΈξοδαΓραφείου[[#Totals],[Φεβ]]+ΠραγματικάΈξοδαΥπαλλήλων[[#Totals],[Φεβ]]</f>
        <v>127804</v>
      </c>
      <c r="E36" s="110">
        <f>ΠραγματικάΈξοδαΕκπαίδευσηςΚαιΜετακινήσεων[[#Totals],[Μάρ]]+ΠραγματικάΈξοδαΜάρκετινγκ[[#Totals],[Μάρ]]+ΠραγματικάΈξοδαΓραφείου[[#Totals],[Μάρ]]+ΠραγματικάΈξοδαΥπαλλήλων[[#Totals],[Μάρ]]</f>
        <v>125565</v>
      </c>
      <c r="F36" s="110">
        <f>ΠραγματικάΈξοδαΕκπαίδευσηςΚαιΜετακινήσεων[[#Totals],[Απρ]]+ΠραγματικάΈξοδαΜάρκετινγκ[[#Totals],[Απρ]]+ΠραγματικάΈξοδαΓραφείου[[#Totals],[Απρ]]+ΠραγματικάΈξοδαΥπαλλήλων[[#Totals],[Απρ]]</f>
        <v>137394</v>
      </c>
      <c r="G36" s="110">
        <f>ΠραγματικάΈξοδαΕκπαίδευσηςΚαιΜετακινήσεων[[#Totals],[Μάι]]+ΠραγματικάΈξοδαΜάρκετινγκ[[#Totals],[Μάι]]+ΠραγματικάΈξοδαΓραφείου[[#Totals],[Μάι]]+ΠραγματικάΈξοδαΥπαλλήλων[[#Totals],[Μάι]]</f>
        <v>128255</v>
      </c>
      <c r="H36" s="110">
        <f>ΠραγματικάΈξοδαΕκπαίδευσηςΚαιΜετακινήσεων[[#Totals],[Ιούν]]+ΠραγματικάΈξοδαΜάρκετινγκ[[#Totals],[Ιούν]]+ΠραγματικάΈξοδαΓραφείου[[#Totals],[Ιούν]]+ΠραγματικάΈξοδαΥπαλλήλων[[#Totals],[Ιούν]]</f>
        <v>134239</v>
      </c>
      <c r="I36" s="110">
        <f>ΠραγματικάΈξοδαΕκπαίδευσηςΚαιΜετακινήσεων[[#Totals],[Ιούλ]]+ΠραγματικάΈξοδαΜάρκετινγκ[[#Totals],[Ιούλ]]+ΠραγματικάΈξοδαΓραφείου[[#Totals],[Ιούλ]]+ΠραγματικάΈξοδαΥπαλλήλων[[#Totals],[Ιούλ]]</f>
        <v>0</v>
      </c>
      <c r="J36" s="110">
        <f>ΠραγματικάΈξοδαΕκπαίδευσηςΚαιΜετακινήσεων[[#Totals],[Αύγ]]+ΠραγματικάΈξοδαΜάρκετινγκ[[#Totals],[Αύγ]]+ΠραγματικάΈξοδαΓραφείου[[#Totals],[Αύγ]]+ΠραγματικάΈξοδαΥπαλλήλων[[#Totals],[Αύγ]]</f>
        <v>0</v>
      </c>
      <c r="K36" s="110">
        <f>ΠραγματικάΈξοδαΕκπαίδευσηςΚαιΜετακινήσεων[[#Totals],[Σεπ]]+ΠραγματικάΈξοδαΜάρκετινγκ[[#Totals],[Σεπ]]+ΠραγματικάΈξοδαΓραφείου[[#Totals],[Σεπ]]+ΠραγματικάΈξοδαΥπαλλήλων[[#Totals],[Σεπ]]</f>
        <v>0</v>
      </c>
      <c r="L36" s="110">
        <f>ΠραγματικάΈξοδαΕκπαίδευσηςΚαιΜετακινήσεων[[#Totals],[Οκτ]]+ΠραγματικάΈξοδαΜάρκετινγκ[[#Totals],[Οκτ]]+ΠραγματικάΈξοδαΓραφείου[[#Totals],[Οκτ]]+ΠραγματικάΈξοδαΥπαλλήλων[[#Totals],[Οκτ]]</f>
        <v>0</v>
      </c>
      <c r="M36" s="110">
        <f>ΠραγματικάΈξοδαΥπαλλήλων[[#Totals],[Νοέ]]+ΠραγματικάΈξοδαΕκπαίδευσηςΚαιΜετακινήσεων[[#Totals],[Νοε]]+ΠραγματικάΈξοδαΜάρκετινγκ[[#Totals],[Νοε]]+ΠραγματικάΈξοδαΓραφείου[[#Totals],[Νοε]]</f>
        <v>0</v>
      </c>
      <c r="N36" s="110">
        <f>ΠραγματικάΈξοδαΕκπαίδευσηςΚαιΜετακινήσεων[[#Totals],[Δεκ]]+ΠραγματικάΈξοδαΜάρκετινγκ[[#Totals],[Δεκ]]+ΠραγματικάΈξοδαΓραφείου[[#Totals],[Δεκ]]+ΠραγματικάΈξοδαΥπαλλήλων[[#Totals],[Δεκ]]</f>
        <v>0</v>
      </c>
      <c r="O36" s="110">
        <f>ΠραγματικάΈξοδαΕκπαίδευσηςΚαιΜετακινήσεων[[#Totals],[ΕΤΟΣ]]+ΠραγματικάΈξοδαΜάρκετινγκ[[#Totals],[ΕΤΟΣ]]+ΠραγματικάΈξοδαΓραφείου[[#Totals],[ΕΤΟΣ]]+ΠραγματικάΈξοδαΥπαλλήλων[[#Totals],[ΕΤΟΣ]]</f>
        <v>782939</v>
      </c>
      <c r="P36"/>
    </row>
    <row r="37" spans="1:16" ht="24.95" customHeight="1" thickBot="1" x14ac:dyDescent="0.35">
      <c r="A37" s="30"/>
      <c r="B37" s="59" t="s">
        <v>68</v>
      </c>
      <c r="C37" s="111">
        <f>SUM($C$36:C36)</f>
        <v>129682</v>
      </c>
      <c r="D37" s="112">
        <f>SUM($C$36:D36)</f>
        <v>257486</v>
      </c>
      <c r="E37" s="112">
        <f>SUM($C$36:E36)</f>
        <v>383051</v>
      </c>
      <c r="F37" s="112">
        <f>SUM($C$36:F36)</f>
        <v>520445</v>
      </c>
      <c r="G37" s="112">
        <f>SUM($C$36:G36)</f>
        <v>648700</v>
      </c>
      <c r="H37" s="113">
        <f>SUM($C$36:H36)</f>
        <v>782939</v>
      </c>
      <c r="I37" s="112">
        <f>SUM($C$36:I36)</f>
        <v>782939</v>
      </c>
      <c r="J37" s="112">
        <f>SUM($C$36:J36)</f>
        <v>782939</v>
      </c>
      <c r="K37" s="112">
        <f>SUM($C$36:K36)</f>
        <v>782939</v>
      </c>
      <c r="L37" s="112">
        <f>SUM($C$36:L36)</f>
        <v>782939</v>
      </c>
      <c r="M37" s="113">
        <f>SUM($C$36:M36)</f>
        <v>782939</v>
      </c>
      <c r="N37" s="112">
        <f>SUM($C$36:N36)</f>
        <v>782939</v>
      </c>
      <c r="O37" s="113"/>
      <c r="P37"/>
    </row>
    <row r="38" spans="1:16" ht="21" customHeight="1" x14ac:dyDescent="0.3">
      <c r="L38" s="11"/>
      <c r="M38" s="11"/>
      <c r="N38" s="11"/>
      <c r="O38" s="11"/>
    </row>
  </sheetData>
  <mergeCells count="2">
    <mergeCell ref="K2:M2"/>
    <mergeCell ref="K3:M3"/>
  </mergeCells>
  <dataValidations count="9">
    <dataValidation allowBlank="1" showInputMessage="1" showErrorMessage="1" prompt="Σε αυτό το κελί βρίσκεται το σύμβολο κράτησης θέσης λογότυπου." sqref="N2" xr:uid="{C95257D8-3930-4F5C-8D70-88B292233801}"/>
    <dataValidation allowBlank="1" showInputMessage="1" showErrorMessage="1" prompt="Τα συνολικά πραγματικά έξοδα υπολογίζονται αυτόματα στον πίνακα Συνολικών πραγματικών εξόδων που ξεκινά στο κελί στα δεξιά." sqref="A4" xr:uid="{177C6CBD-70F5-4EE0-A8BD-78C9CA33B2BD}"/>
    <dataValidation allowBlank="1" showInputMessage="1" showErrorMessage="1" prompt="Εισαγάγετε τα έξοδα υπαλλήλων στον πίνακα Πραγματικά έξοδα υπαλλήλων που ξεκινά στο κελί στα δεξιά.Η επόμενη οδηγία βρίσκεται στο κελί Α10." sqref="A5" xr:uid="{C3141D3D-0B91-4F53-BE3F-38687FD87D6B}"/>
    <dataValidation allowBlank="1" showInputMessage="1" showErrorMessage="1" prompt="Εισαγάγετε τα έξοδα γραφείου στον πίνακα Πραγματικά έξοδα γραφείου που ξεκινά στο κελί στα δεξιά.Η επόμενη οδηγία βρίσκεται στο κελί Α21." sqref="A10" xr:uid="{6B251561-6C81-4CE6-8EBF-9D5790C7CB5E}"/>
    <dataValidation allowBlank="1" showInputMessage="1" showErrorMessage="1" prompt="Εισαγάγετε τα έξοδα μάρκετινγκ στον πίνακα Πραγματικά έξοδα μάρκετινγκ που ξεκινά στο κελί στα δεξιά.Η επόμενη οδηγία βρίσκεται στο κελί Α30." sqref="A21" xr:uid="{D284BFB1-3C99-4A34-BA1D-2099E5838FB2}"/>
    <dataValidation allowBlank="1" showInputMessage="1" showErrorMessage="1" prompt="Εισαγάγετε τα έξοδα εκπαίδευσης και μετακινήσεων στον πίνακα Πραγματικών εξόδων εκπαίδευσης και μετακινήσεων που ξεκινά στο κελί στα δεξιά. Η επόμενη οδηγία βρίσκεται στο κελί Α35." sqref="A30" xr:uid="{255C7F8A-67BD-4F48-9D93-C907D407CF4C}"/>
    <dataValidation allowBlank="1" showInputMessage="1" showErrorMessage="1" prompt="Εισαγάγετε τα προγραμματισμένα έξοδα υπαλλήλων, γραφείου, μάρκετινγκ, εκπαίδευσης ή μετακίνησης σε αντίστοιχους πίνακες. Τα σύνολα υπολογίζονται αυτόματα. Οδηγίες χρήσης του φύλλου εργασίας βρίσκονται σε αυτήν τη στήλη. Ξεκινήστε με το βέλος προς τα κάτω." sqref="A1" xr:uid="{79AE6394-A51C-466A-B4A1-C38D88BF4EBB}"/>
    <dataValidation allowBlank="1" showInputMessage="1" showErrorMessage="1" prompt="Η επωνυμία της εταιρείας ενημερώνεται αυτόματα στο κελί στα δεξιά. Ο τίτλος αυτού του φύλλου εργασίας βρίσκεται στο κελί Κ2. Εισαγάγετε το λογότυπο στο κελί N2." sqref="A2" xr:uid="{26A4B1D9-8F73-440F-9A07-A3F7DBC9AEEF}"/>
    <dataValidation allowBlank="1" showInputMessage="1" showErrorMessage="1" prompt="Στο κελί K3 βρίσκεται συμβουλή." sqref="A3" xr:uid="{7DD6B845-A534-4A07-B96C-7DC7C0D747FC}"/>
  </dataValidations>
  <pageMargins left="0.7" right="0.7" top="0.75" bottom="0.75" header="0.3" footer="0.3"/>
  <pageSetup paperSize="9" fitToHeight="0" orientation="portrait" r:id="rId1"/>
  <ignoredErrors>
    <ignoredError sqref="B2 O31:O33 O22:O28 O11:O19" emptyCellReference="1"/>
    <ignoredError sqref="C37:O37 C7:H7 C6:N6 O7 C36:M36 N36:O36" calculatedColumn="1"/>
    <ignoredError sqref="O6 I7:N7" emptyCellReference="1" calculatedColumn="1"/>
  </ignoredErrors>
  <drawing r:id="rId2"/>
  <tableParts count="5">
    <tablePart r:id="rId3"/>
    <tablePart r:id="rId4"/>
    <tablePart r:id="rId5"/>
    <tablePart r:id="rId6"/>
    <tablePart r:id="rId7"/>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pageSetUpPr autoPageBreaks="0"/>
  </sheetPr>
  <dimension ref="A1:P38"/>
  <sheetViews>
    <sheetView showGridLines="0" zoomScaleNormal="100" workbookViewId="0"/>
  </sheetViews>
  <sheetFormatPr defaultColWidth="9.140625" defaultRowHeight="21" customHeight="1" x14ac:dyDescent="0.3"/>
  <cols>
    <col min="1" max="1" width="4.7109375" style="1" customWidth="1"/>
    <col min="2" max="2" width="56.7109375" style="2" customWidth="1"/>
    <col min="3" max="14" width="15.7109375" style="2" customWidth="1"/>
    <col min="15" max="15" width="16.28515625" style="2" customWidth="1"/>
    <col min="16" max="16" width="4.7109375" style="1" customWidth="1"/>
    <col min="17" max="16384" width="9.140625" style="2"/>
  </cols>
  <sheetData>
    <row r="1" spans="1:16" s="1" customFormat="1" ht="24" customHeight="1" x14ac:dyDescent="0.3">
      <c r="A1" s="31"/>
      <c r="B1" s="7"/>
      <c r="C1" s="7"/>
      <c r="D1" s="7"/>
      <c r="E1" s="7"/>
      <c r="F1" s="4"/>
      <c r="G1" s="4"/>
      <c r="H1" s="4"/>
      <c r="I1" s="4"/>
      <c r="J1" s="4"/>
      <c r="K1" s="4"/>
      <c r="L1" s="4"/>
      <c r="M1" s="4"/>
      <c r="N1" s="4"/>
      <c r="O1" s="4"/>
      <c r="P1" s="53" t="s">
        <v>65</v>
      </c>
    </row>
    <row r="2" spans="1:16" s="1" customFormat="1" ht="45" customHeight="1" x14ac:dyDescent="0.35">
      <c r="A2" s="29"/>
      <c r="B2" s="72" t="str">
        <f>'ΠΡΟΓΡΑΜΜΑΤΙΣΜΕΝΑ ΕΞΟΔΑ'!B2:D3</f>
        <v>Επωνυμία εταιρείας</v>
      </c>
      <c r="C2" s="72"/>
      <c r="D2" s="72"/>
      <c r="E2" s="128"/>
      <c r="F2" s="5"/>
      <c r="G2" s="5"/>
      <c r="H2" s="5"/>
      <c r="I2" s="5"/>
      <c r="J2" s="5"/>
      <c r="K2" s="123" t="str">
        <f>τίτλος_φύλλου_εργασίας</f>
        <v>Λεπτομερείς εκτιμήσεις εξόδων</v>
      </c>
      <c r="L2" s="123"/>
      <c r="M2" s="123"/>
      <c r="N2" s="69"/>
      <c r="O2" s="69"/>
      <c r="P2" s="4"/>
    </row>
    <row r="3" spans="1:16" s="1" customFormat="1" ht="30" customHeight="1" x14ac:dyDescent="0.3">
      <c r="A3" s="29"/>
      <c r="B3" s="72"/>
      <c r="C3" s="72"/>
      <c r="D3" s="72"/>
      <c r="E3" s="129"/>
      <c r="F3" s="6"/>
      <c r="G3" s="6"/>
      <c r="H3" s="6"/>
      <c r="I3" s="6"/>
      <c r="J3" s="6"/>
      <c r="K3" s="125" t="s">
        <v>53</v>
      </c>
      <c r="L3" s="125"/>
      <c r="M3" s="125"/>
      <c r="N3" s="69"/>
      <c r="O3" s="69"/>
      <c r="P3" s="4"/>
    </row>
    <row r="4" spans="1:16" s="8" customFormat="1" ht="49.5" customHeight="1" x14ac:dyDescent="0.3">
      <c r="A4" s="30"/>
      <c r="B4" s="19" t="s">
        <v>69</v>
      </c>
      <c r="C4" s="76" t="s">
        <v>36</v>
      </c>
      <c r="D4" s="76" t="s">
        <v>38</v>
      </c>
      <c r="E4" s="76" t="s">
        <v>40</v>
      </c>
      <c r="F4" s="76" t="s">
        <v>42</v>
      </c>
      <c r="G4" s="76" t="s">
        <v>44</v>
      </c>
      <c r="H4" s="76" t="s">
        <v>46</v>
      </c>
      <c r="I4" s="76" t="s">
        <v>48</v>
      </c>
      <c r="J4" s="76" t="s">
        <v>50</v>
      </c>
      <c r="K4" s="76" t="s">
        <v>54</v>
      </c>
      <c r="L4" s="76" t="s">
        <v>56</v>
      </c>
      <c r="M4" s="76" t="s">
        <v>58</v>
      </c>
      <c r="N4" s="76" t="s">
        <v>61</v>
      </c>
      <c r="O4" s="76" t="s">
        <v>63</v>
      </c>
    </row>
    <row r="5" spans="1:16" ht="24.95" customHeight="1" thickBot="1" x14ac:dyDescent="0.35">
      <c r="A5" s="30"/>
      <c r="B5" s="50" t="s">
        <v>10</v>
      </c>
      <c r="C5" s="114" t="s">
        <v>37</v>
      </c>
      <c r="D5" s="114" t="s">
        <v>39</v>
      </c>
      <c r="E5" s="114" t="s">
        <v>41</v>
      </c>
      <c r="F5" s="114" t="s">
        <v>43</v>
      </c>
      <c r="G5" s="114" t="s">
        <v>45</v>
      </c>
      <c r="H5" s="114" t="s">
        <v>47</v>
      </c>
      <c r="I5" s="114" t="s">
        <v>49</v>
      </c>
      <c r="J5" s="114" t="s">
        <v>51</v>
      </c>
      <c r="K5" s="114" t="s">
        <v>55</v>
      </c>
      <c r="L5" s="114" t="s">
        <v>57</v>
      </c>
      <c r="M5" s="114" t="s">
        <v>59</v>
      </c>
      <c r="N5" s="114" t="s">
        <v>62</v>
      </c>
      <c r="O5" s="115" t="s">
        <v>63</v>
      </c>
    </row>
    <row r="6" spans="1:16" ht="24.95" customHeight="1" thickBot="1" x14ac:dyDescent="0.35">
      <c r="A6" s="30"/>
      <c r="B6" s="43" t="s">
        <v>11</v>
      </c>
      <c r="C6" s="96">
        <f>INDEX(ΠρογραμματισμέναΈξοδαΥπαλλήλων[],MATCH(INDEX(ΔιακυμάνσειςΕξόδωνΥπαλλήλων[],ROW()-ROW(ΔιακυμάνσειςΕξόδωνΥπαλλήλων[[#Headers],[Ιαν]]),1),INDEX(ΠρογραμματισμέναΈξοδαΥπαλλήλων[],,1),0),MATCH(ΔιακυμάνσειςΕξόδωνΥπαλλήλων[[#Headers],[Ιαν]],ΠρογραμματισμέναΈξοδαΥπαλλήλων[#Headers],0))-INDEX(ΠραγματικάΈξοδαΥπαλλήλων[],MATCH(INDEX(ΔιακυμάνσειςΕξόδωνΥπαλλήλων[],ROW()-ROW(ΔιακυμάνσειςΕξόδωνΥπαλλήλων[[#Headers],[Ιαν]]),1),INDEX(ΠρογραμματισμέναΈξοδαΥπαλλήλων[],,1),0),MATCH(ΔιακυμάνσειςΕξόδωνΥπαλλήλων[[#Headers],[Ιαν]],ΠραγματικάΈξοδαΥπαλλήλων[#Headers],0))</f>
        <v>0</v>
      </c>
      <c r="D6" s="97">
        <f>INDEX(ΠρογραμματισμέναΈξοδαΥπαλλήλων[],MATCH(INDEX(ΔιακυμάνσειςΕξόδωνΥπαλλήλων[],ROW()-ROW(ΔιακυμάνσειςΕξόδωνΥπαλλήλων[[#Headers],[Φεβ]]),1),INDEX(ΠρογραμματισμέναΈξοδαΥπαλλήλων[],,1),0),MATCH(ΔιακυμάνσειςΕξόδωνΥπαλλήλων[[#Headers],[Φεβ]],ΠρογραμματισμέναΈξοδαΥπαλλήλων[#Headers],0))-INDEX(ΠραγματικάΈξοδαΥπαλλήλων[],MATCH(INDEX(ΔιακυμάνσειςΕξόδωνΥπαλλήλων[],ROW()-ROW(ΔιακυμάνσειςΕξόδωνΥπαλλήλων[[#Headers],[Φεβ]]),1),INDEX(ΠρογραμματισμέναΈξοδαΥπαλλήλων[],,1),0),MATCH(ΔιακυμάνσειςΕξόδωνΥπαλλήλων[[#Headers],[Φεβ]],ΠραγματικάΈξοδαΥπαλλήλων[#Headers],0))</f>
        <v>0</v>
      </c>
      <c r="E6" s="97">
        <f>INDEX(ΠρογραμματισμέναΈξοδαΥπαλλήλων[],MATCH(INDEX(ΔιακυμάνσειςΕξόδωνΥπαλλήλων[],ROW()-ROW(ΔιακυμάνσειςΕξόδωνΥπαλλήλων[[#Headers],[Μάρ]]),1),INDEX(ΠρογραμματισμέναΈξοδαΥπαλλήλων[],,1),0),MATCH(ΔιακυμάνσειςΕξόδωνΥπαλλήλων[[#Headers],[Μάρ]],ΠρογραμματισμέναΈξοδαΥπαλλήλων[#Headers],0))-INDEX(ΠραγματικάΈξοδαΥπαλλήλων[],MATCH(INDEX(ΔιακυμάνσειςΕξόδωνΥπαλλήλων[],ROW()-ROW(ΔιακυμάνσειςΕξόδωνΥπαλλήλων[[#Headers],[Μάρ]]),1),INDEX(ΠρογραμματισμέναΈξοδαΥπαλλήλων[],,1),0),MATCH(ΔιακυμάνσειςΕξόδωνΥπαλλήλων[[#Headers],[Μάρ]],ΠραγματικάΈξοδαΥπαλλήλων[#Headers],0))</f>
        <v>0</v>
      </c>
      <c r="F6" s="97">
        <f>INDEX(ΠρογραμματισμέναΈξοδαΥπαλλήλων[],MATCH(INDEX(ΔιακυμάνσειςΕξόδωνΥπαλλήλων[],ROW()-ROW(ΔιακυμάνσειςΕξόδωνΥπαλλήλων[[#Headers],[Απρ]]),1),INDEX(ΠρογραμματισμέναΈξοδαΥπαλλήλων[],,1),0),MATCH(ΔιακυμάνσειςΕξόδωνΥπαλλήλων[[#Headers],[Απρ]],ΠρογραμματισμέναΈξοδαΥπαλλήλων[#Headers],0))-INDEX(ΠραγματικάΈξοδαΥπαλλήλων[],MATCH(INDEX(ΔιακυμάνσειςΕξόδωνΥπαλλήλων[],ROW()-ROW(ΔιακυμάνσειςΕξόδωνΥπαλλήλων[[#Headers],[Απρ]]),1),INDEX(ΠρογραμματισμέναΈξοδαΥπαλλήλων[],,1),0),MATCH(ΔιακυμάνσειςΕξόδωνΥπαλλήλων[[#Headers],[Απρ]],ΠραγματικάΈξοδαΥπαλλήλων[#Headers],0))</f>
        <v>-500</v>
      </c>
      <c r="G6" s="97">
        <f>INDEX(ΠρογραμματισμέναΈξοδαΥπαλλήλων[],MATCH(INDEX(ΔιακυμάνσειςΕξόδωνΥπαλλήλων[],ROW()-ROW(ΔιακυμάνσειςΕξόδωνΥπαλλήλων[[#Headers],[Μάι]]),1),INDEX(ΠρογραμματισμέναΈξοδαΥπαλλήλων[],,1),0),MATCH(ΔιακυμάνσειςΕξόδωνΥπαλλήλων[[#Headers],[Μάι]],ΠρογραμματισμέναΈξοδαΥπαλλήλων[#Headers],0))-INDEX(ΠραγματικάΈξοδαΥπαλλήλων[],MATCH(INDEX(ΔιακυμάνσειςΕξόδωνΥπαλλήλων[],ROW()-ROW(ΔιακυμάνσειςΕξόδωνΥπαλλήλων[[#Headers],[Μάι]]),1),INDEX(ΠρογραμματισμέναΈξοδαΥπαλλήλων[],,1),0),MATCH(ΔιακυμάνσειςΕξόδωνΥπαλλήλων[[#Headers],[Μάι]],ΠραγματικάΈξοδαΥπαλλήλων[#Headers],0))</f>
        <v>-500</v>
      </c>
      <c r="H6" s="97">
        <f>INDEX(ΠρογραμματισμέναΈξοδαΥπαλλήλων[],MATCH(INDEX(ΔιακυμάνσειςΕξόδωνΥπαλλήλων[],ROW()-ROW(ΔιακυμάνσειςΕξόδωνΥπαλλήλων[[#Headers],[Ιούν]]),1),INDEX(ΠρογραμματισμέναΈξοδαΥπαλλήλων[],,1),0),MATCH(ΔιακυμάνσειςΕξόδωνΥπαλλήλων[[#Headers],[Ιούν]],ΠρογραμματισμέναΈξοδαΥπαλλήλων[#Headers],0))-INDEX(ΠραγματικάΈξοδαΥπαλλήλων[],MATCH(INDEX(ΔιακυμάνσειςΕξόδωνΥπαλλήλων[],ROW()-ROW(ΔιακυμάνσειςΕξόδωνΥπαλλήλων[[#Headers],[Ιούν]]),1),INDEX(ΠρογραμματισμέναΈξοδαΥπαλλήλων[],,1),0),MATCH(ΔιακυμάνσειςΕξόδωνΥπαλλήλων[[#Headers],[Ιούν]],ΠραγματικάΈξοδαΥπαλλήλων[#Headers],0))</f>
        <v>-500</v>
      </c>
      <c r="I6" s="97">
        <f>INDEX(ΠρογραμματισμέναΈξοδαΥπαλλήλων[],MATCH(INDEX(ΔιακυμάνσειςΕξόδωνΥπαλλήλων[],ROW()-ROW(ΔιακυμάνσειςΕξόδωνΥπαλλήλων[[#Headers],[Ιούλ]]),1),INDEX(ΠρογραμματισμέναΈξοδαΥπαλλήλων[],,1),0),MATCH(ΔιακυμάνσειςΕξόδωνΥπαλλήλων[[#Headers],[Ιούλ]],ΠρογραμματισμέναΈξοδαΥπαλλήλων[#Headers],0))-INDEX(ΠραγματικάΈξοδαΥπαλλήλων[],MATCH(INDEX(ΔιακυμάνσειςΕξόδωνΥπαλλήλων[],ROW()-ROW(ΔιακυμάνσειςΕξόδωνΥπαλλήλων[[#Headers],[Ιούλ]]),1),INDEX(ΠρογραμματισμέναΈξοδαΥπαλλήλων[],,1),0),MATCH(ΔιακυμάνσειςΕξόδωνΥπαλλήλων[[#Headers],[Ιούλ]],ΠραγματικάΈξοδαΥπαλλήλων[#Headers],0))</f>
        <v>87500</v>
      </c>
      <c r="J6" s="97">
        <f>INDEX(ΠρογραμματισμέναΈξοδαΥπαλλήλων[],MATCH(INDEX(ΔιακυμάνσειςΕξόδωνΥπαλλήλων[],ROW()-ROW(ΔιακυμάνσειςΕξόδωνΥπαλλήλων[[#Headers],[Αύγ]]),1),INDEX(ΠρογραμματισμέναΈξοδαΥπαλλήλων[],,1),0),MATCH(ΔιακυμάνσειςΕξόδωνΥπαλλήλων[[#Headers],[Αύγ]],ΠρογραμματισμέναΈξοδαΥπαλλήλων[#Headers],0))-INDEX(ΠραγματικάΈξοδαΥπαλλήλων[],MATCH(INDEX(ΔιακυμάνσειςΕξόδωνΥπαλλήλων[],ROW()-ROW(ΔιακυμάνσειςΕξόδωνΥπαλλήλων[[#Headers],[Αύγ]]),1),INDEX(ΠρογραμματισμέναΈξοδαΥπαλλήλων[],,1),0),MATCH(ΔιακυμάνσειςΕξόδωνΥπαλλήλων[[#Headers],[Αύγ]],ΠραγματικάΈξοδαΥπαλλήλων[#Headers],0))</f>
        <v>92400</v>
      </c>
      <c r="K6" s="97">
        <f>INDEX(ΠρογραμματισμέναΈξοδαΥπαλλήλων[],MATCH(INDEX(ΔιακυμάνσειςΕξόδωνΥπαλλήλων[],ROW()-ROW(ΔιακυμάνσειςΕξόδωνΥπαλλήλων[[#Headers],[Σεπ]]),1),INDEX(ΠρογραμματισμέναΈξοδαΥπαλλήλων[],,1),0),MATCH(ΔιακυμάνσειςΕξόδωνΥπαλλήλων[[#Headers],[Σεπ]],ΠρογραμματισμέναΈξοδαΥπαλλήλων[#Headers],0))-INDEX(ΠραγματικάΈξοδαΥπαλλήλων[],MATCH(INDEX(ΔιακυμάνσειςΕξόδωνΥπαλλήλων[],ROW()-ROW(ΔιακυμάνσειςΕξόδωνΥπαλλήλων[[#Headers],[Σεπ]]),1),INDEX(ΠρογραμματισμέναΈξοδαΥπαλλήλων[],,1),0),MATCH(ΔιακυμάνσειςΕξόδωνΥπαλλήλων[[#Headers],[Σεπ]],ΠραγματικάΈξοδαΥπαλλήλων[#Headers],0))</f>
        <v>92400</v>
      </c>
      <c r="L6" s="97">
        <f>INDEX(ΠρογραμματισμέναΈξοδαΥπαλλήλων[],MATCH(INDEX(ΔιακυμάνσειςΕξόδωνΥπαλλήλων[],ROW()-ROW(ΔιακυμάνσειςΕξόδωνΥπαλλήλων[[#Headers],[Οκτ]]),1),INDEX(ΠρογραμματισμέναΈξοδαΥπαλλήλων[],,1),0),MATCH(ΔιακυμάνσειςΕξόδωνΥπαλλήλων[[#Headers],[Οκτ]],ΠρογραμματισμέναΈξοδαΥπαλλήλων[#Headers],0))-INDEX(ΠραγματικάΈξοδαΥπαλλήλων[],MATCH(INDEX(ΔιακυμάνσειςΕξόδωνΥπαλλήλων[],ROW()-ROW(ΔιακυμάνσειςΕξόδωνΥπαλλήλων[[#Headers],[Οκτ]]),1),INDEX(ΠρογραμματισμέναΈξοδαΥπαλλήλων[],,1),0),MATCH(ΔιακυμάνσειςΕξόδωνΥπαλλήλων[[#Headers],[Οκτ]],ΠραγματικάΈξοδαΥπαλλήλων[#Headers],0))</f>
        <v>92400</v>
      </c>
      <c r="M6" s="97">
        <f>INDEX(ΠρογραμματισμέναΈξοδαΥπαλλήλων[],MATCH(INDEX(ΔιακυμάνσειςΕξόδωνΥπαλλήλων[],ROW()-ROW(ΔιακυμάνσειςΕξόδωνΥπαλλήλων[[#Headers],[Νοέ]]),1),INDEX(ΠρογραμματισμέναΈξοδαΥπαλλήλων[],,1),0),MATCH(ΔιακυμάνσειςΕξόδωνΥπαλλήλων[[#Headers],[Νοέ]],ΠρογραμματισμέναΈξοδαΥπαλλήλων[#Headers],0))-INDEX(ΠραγματικάΈξοδαΥπαλλήλων[],MATCH(INDEX(ΔιακυμάνσειςΕξόδωνΥπαλλήλων[],ROW()-ROW(ΔιακυμάνσειςΕξόδωνΥπαλλήλων[[#Headers],[Νοέ]]),1),INDEX(ΠρογραμματισμέναΈξοδαΥπαλλήλων[],,1),0),MATCH(ΔιακυμάνσειςΕξόδωνΥπαλλήλων[[#Headers],[Νοέ]],ΠραγματικάΈξοδαΥπαλλήλων[#Headers],0))</f>
        <v>92400</v>
      </c>
      <c r="N6" s="97">
        <f>INDEX(ΠρογραμματισμέναΈξοδαΥπαλλήλων[],MATCH(INDEX(ΔιακυμάνσειςΕξόδωνΥπαλλήλων[],ROW()-ROW(ΔιακυμάνσειςΕξόδωνΥπαλλήλων[[#Headers],[Δεκ]]),1),INDEX(ΠρογραμματισμέναΈξοδαΥπαλλήλων[],,1),0),MATCH(ΔιακυμάνσειςΕξόδωνΥπαλλήλων[[#Headers],[Δεκ]],ΠρογραμματισμέναΈξοδαΥπαλλήλων[#Headers],0))-INDEX(ΠραγματικάΈξοδαΥπαλλήλων[],MATCH(INDEX(ΔιακυμάνσειςΕξόδωνΥπαλλήλων[],ROW()-ROW(ΔιακυμάνσειςΕξόδωνΥπαλλήλων[[#Headers],[Δεκ]]),1),INDEX(ΠρογραμματισμέναΈξοδαΥπαλλήλων[],,1),0),MATCH(ΔιακυμάνσειςΕξόδωνΥπαλλήλων[[#Headers],[Δεκ]],ΠραγματικάΈξοδαΥπαλλήλων[#Headers],0))</f>
        <v>92400</v>
      </c>
      <c r="O6" s="98">
        <f>SUM(ΔιακυμάνσειςΕξόδωνΥπαλλήλων[[#This Row],[Ιαν]:[Δεκ]])</f>
        <v>548000</v>
      </c>
    </row>
    <row r="7" spans="1:16" ht="24.95" customHeight="1" thickBot="1" x14ac:dyDescent="0.35">
      <c r="A7" s="30"/>
      <c r="B7" s="43" t="s">
        <v>12</v>
      </c>
      <c r="C7" s="96">
        <f>INDEX(ΠρογραμματισμέναΈξοδαΥπαλλήλων[],MATCH(INDEX(ΔιακυμάνσειςΕξόδωνΥπαλλήλων[],ROW()-ROW(ΔιακυμάνσειςΕξόδωνΥπαλλήλων[[#Headers],[Ιαν]]),1),INDEX(ΠρογραμματισμέναΈξοδαΥπαλλήλων[],,1),0),MATCH(ΔιακυμάνσειςΕξόδωνΥπαλλήλων[[#Headers],[Ιαν]],ΠρογραμματισμέναΈξοδαΥπαλλήλων[#Headers],0))-INDEX(ΠραγματικάΈξοδαΥπαλλήλων[],MATCH(INDEX(ΔιακυμάνσειςΕξόδωνΥπαλλήλων[],ROW()-ROW(ΔιακυμάνσειςΕξόδωνΥπαλλήλων[[#Headers],[Ιαν]]),1),INDEX(ΠρογραμματισμέναΈξοδαΥπαλλήλων[],,1),0),MATCH(ΔιακυμάνσειςΕξόδωνΥπαλλήλων[[#Headers],[Ιαν]],ΠραγματικάΈξοδαΥπαλλήλων[#Headers],0))</f>
        <v>0</v>
      </c>
      <c r="D7" s="97">
        <f>INDEX(ΠρογραμματισμέναΈξοδαΥπαλλήλων[],MATCH(INDEX(ΔιακυμάνσειςΕξόδωνΥπαλλήλων[],ROW()-ROW(ΔιακυμάνσειςΕξόδωνΥπαλλήλων[[#Headers],[Φεβ]]),1),INDEX(ΠρογραμματισμέναΈξοδαΥπαλλήλων[],,1),0),MATCH(ΔιακυμάνσειςΕξόδωνΥπαλλήλων[[#Headers],[Φεβ]],ΠρογραμματισμέναΈξοδαΥπαλλήλων[#Headers],0))-INDEX(ΠραγματικάΈξοδαΥπαλλήλων[],MATCH(INDEX(ΔιακυμάνσειςΕξόδωνΥπαλλήλων[],ROW()-ROW(ΔιακυμάνσειςΕξόδωνΥπαλλήλων[[#Headers],[Φεβ]]),1),INDEX(ΠρογραμματισμέναΈξοδαΥπαλλήλων[],,1),0),MATCH(ΔιακυμάνσειςΕξόδωνΥπαλλήλων[[#Headers],[Φεβ]],ΠραγματικάΈξοδαΥπαλλήλων[#Headers],0))</f>
        <v>0</v>
      </c>
      <c r="E7" s="97">
        <f>INDEX(ΠρογραμματισμέναΈξοδαΥπαλλήλων[],MATCH(INDEX(ΔιακυμάνσειςΕξόδωνΥπαλλήλων[],ROW()-ROW(ΔιακυμάνσειςΕξόδωνΥπαλλήλων[[#Headers],[Μάρ]]),1),INDEX(ΠρογραμματισμέναΈξοδαΥπαλλήλων[],,1),0),MATCH(ΔιακυμάνσειςΕξόδωνΥπαλλήλων[[#Headers],[Μάρ]],ΠρογραμματισμέναΈξοδαΥπαλλήλων[#Headers],0))-INDEX(ΠραγματικάΈξοδαΥπαλλήλων[],MATCH(INDEX(ΔιακυμάνσειςΕξόδωνΥπαλλήλων[],ROW()-ROW(ΔιακυμάνσειςΕξόδωνΥπαλλήλων[[#Headers],[Μάρ]]),1),INDEX(ΠρογραμματισμέναΈξοδαΥπαλλήλων[],,1),0),MATCH(ΔιακυμάνσειςΕξόδωνΥπαλλήλων[[#Headers],[Μάρ]],ΠραγματικάΈξοδαΥπαλλήλων[#Headers],0))</f>
        <v>0</v>
      </c>
      <c r="F7" s="97">
        <f>INDEX(ΠρογραμματισμέναΈξοδαΥπαλλήλων[],MATCH(INDEX(ΔιακυμάνσειςΕξόδωνΥπαλλήλων[],ROW()-ROW(ΔιακυμάνσειςΕξόδωνΥπαλλήλων[[#Headers],[Απρ]]),1),INDEX(ΠρογραμματισμέναΈξοδαΥπαλλήλων[],,1),0),MATCH(ΔιακυμάνσειςΕξόδωνΥπαλλήλων[[#Headers],[Απρ]],ΠρογραμματισμέναΈξοδαΥπαλλήλων[#Headers],0))-INDEX(ΠραγματικάΈξοδαΥπαλλήλων[],MATCH(INDEX(ΔιακυμάνσειςΕξόδωνΥπαλλήλων[],ROW()-ROW(ΔιακυμάνσειςΕξόδωνΥπαλλήλων[[#Headers],[Απρ]]),1),INDEX(ΠρογραμματισμέναΈξοδαΥπαλλήλων[],,1),0),MATCH(ΔιακυμάνσειςΕξόδωνΥπαλλήλων[[#Headers],[Απρ]],ΠραγματικάΈξοδαΥπαλλήλων[#Headers],0))</f>
        <v>-135</v>
      </c>
      <c r="G7" s="97">
        <f>INDEX(ΠρογραμματισμέναΈξοδαΥπαλλήλων[],MATCH(INDEX(ΔιακυμάνσειςΕξόδωνΥπαλλήλων[],ROW()-ROW(ΔιακυμάνσειςΕξόδωνΥπαλλήλων[[#Headers],[Μάι]]),1),INDEX(ΠρογραμματισμέναΈξοδαΥπαλλήλων[],,1),0),MATCH(ΔιακυμάνσειςΕξόδωνΥπαλλήλων[[#Headers],[Μάι]],ΠρογραμματισμέναΈξοδαΥπαλλήλων[#Headers],0))-INDEX(ΠραγματικάΈξοδαΥπαλλήλων[],MATCH(INDEX(ΔιακυμάνσειςΕξόδωνΥπαλλήλων[],ROW()-ROW(ΔιακυμάνσειςΕξόδωνΥπαλλήλων[[#Headers],[Μάι]]),1),INDEX(ΠρογραμματισμέναΈξοδαΥπαλλήλων[],,1),0),MATCH(ΔιακυμάνσειςΕξόδωνΥπαλλήλων[[#Headers],[Μάι]],ΠραγματικάΈξοδαΥπαλλήλων[#Headers],0))</f>
        <v>-135</v>
      </c>
      <c r="H7" s="97">
        <f>INDEX(ΠρογραμματισμέναΈξοδαΥπαλλήλων[],MATCH(INDEX(ΔιακυμάνσειςΕξόδωνΥπαλλήλων[],ROW()-ROW(ΔιακυμάνσειςΕξόδωνΥπαλλήλων[[#Headers],[Ιούν]]),1),INDEX(ΠρογραμματισμέναΈξοδαΥπαλλήλων[],,1),0),MATCH(ΔιακυμάνσειςΕξόδωνΥπαλλήλων[[#Headers],[Ιούν]],ΠρογραμματισμέναΈξοδαΥπαλλήλων[#Headers],0))-INDEX(ΠραγματικάΈξοδαΥπαλλήλων[],MATCH(INDEX(ΔιακυμάνσειςΕξόδωνΥπαλλήλων[],ROW()-ROW(ΔιακυμάνσειςΕξόδωνΥπαλλήλων[[#Headers],[Ιούν]]),1),INDEX(ΠρογραμματισμέναΈξοδαΥπαλλήλων[],,1),0),MATCH(ΔιακυμάνσειςΕξόδωνΥπαλλήλων[[#Headers],[Ιούν]],ΠραγματικάΈξοδαΥπαλλήλων[#Headers],0))</f>
        <v>-135</v>
      </c>
      <c r="I7" s="97">
        <f>INDEX(ΠρογραμματισμέναΈξοδαΥπαλλήλων[],MATCH(INDEX(ΔιακυμάνσειςΕξόδωνΥπαλλήλων[],ROW()-ROW(ΔιακυμάνσειςΕξόδωνΥπαλλήλων[[#Headers],[Ιούλ]]),1),INDEX(ΠρογραμματισμέναΈξοδαΥπαλλήλων[],,1),0),MATCH(ΔιακυμάνσειςΕξόδωνΥπαλλήλων[[#Headers],[Ιούλ]],ΠρογραμματισμέναΈξοδαΥπαλλήλων[#Headers],0))-INDEX(ΠραγματικάΈξοδαΥπαλλήλων[],MATCH(INDEX(ΔιακυμάνσειςΕξόδωνΥπαλλήλων[],ROW()-ROW(ΔιακυμάνσειςΕξόδωνΥπαλλήλων[[#Headers],[Ιούλ]]),1),INDEX(ΠρογραμματισμέναΈξοδαΥπαλλήλων[],,1),0),MATCH(ΔιακυμάνσειςΕξόδωνΥπαλλήλων[[#Headers],[Ιούλ]],ΠραγματικάΈξοδαΥπαλλήλων[#Headers],0))</f>
        <v>23625</v>
      </c>
      <c r="J7" s="97">
        <f>INDEX(ΠρογραμματισμέναΈξοδαΥπαλλήλων[],MATCH(INDEX(ΔιακυμάνσειςΕξόδωνΥπαλλήλων[],ROW()-ROW(ΔιακυμάνσειςΕξόδωνΥπαλλήλων[[#Headers],[Αύγ]]),1),INDEX(ΠρογραμματισμέναΈξοδαΥπαλλήλων[],,1),0),MATCH(ΔιακυμάνσειςΕξόδωνΥπαλλήλων[[#Headers],[Αύγ]],ΠρογραμματισμέναΈξοδαΥπαλλήλων[#Headers],0))-INDEX(ΠραγματικάΈξοδαΥπαλλήλων[],MATCH(INDEX(ΔιακυμάνσειςΕξόδωνΥπαλλήλων[],ROW()-ROW(ΔιακυμάνσειςΕξόδωνΥπαλλήλων[[#Headers],[Αύγ]]),1),INDEX(ΠρογραμματισμέναΈξοδαΥπαλλήλων[],,1),0),MATCH(ΔιακυμάνσειςΕξόδωνΥπαλλήλων[[#Headers],[Αύγ]],ΠραγματικάΈξοδαΥπαλλήλων[#Headers],0))</f>
        <v>24948</v>
      </c>
      <c r="K7" s="97">
        <f>INDEX(ΠρογραμματισμέναΈξοδαΥπαλλήλων[],MATCH(INDEX(ΔιακυμάνσειςΕξόδωνΥπαλλήλων[],ROW()-ROW(ΔιακυμάνσειςΕξόδωνΥπαλλήλων[[#Headers],[Σεπ]]),1),INDEX(ΠρογραμματισμέναΈξοδαΥπαλλήλων[],,1),0),MATCH(ΔιακυμάνσειςΕξόδωνΥπαλλήλων[[#Headers],[Σεπ]],ΠρογραμματισμέναΈξοδαΥπαλλήλων[#Headers],0))-INDEX(ΠραγματικάΈξοδαΥπαλλήλων[],MATCH(INDEX(ΔιακυμάνσειςΕξόδωνΥπαλλήλων[],ROW()-ROW(ΔιακυμάνσειςΕξόδωνΥπαλλήλων[[#Headers],[Σεπ]]),1),INDEX(ΠρογραμματισμέναΈξοδαΥπαλλήλων[],,1),0),MATCH(ΔιακυμάνσειςΕξόδωνΥπαλλήλων[[#Headers],[Σεπ]],ΠραγματικάΈξοδαΥπαλλήλων[#Headers],0))</f>
        <v>24948</v>
      </c>
      <c r="L7" s="97">
        <f>INDEX(ΠρογραμματισμέναΈξοδαΥπαλλήλων[],MATCH(INDEX(ΔιακυμάνσειςΕξόδωνΥπαλλήλων[],ROW()-ROW(ΔιακυμάνσειςΕξόδωνΥπαλλήλων[[#Headers],[Οκτ]]),1),INDEX(ΠρογραμματισμέναΈξοδαΥπαλλήλων[],,1),0),MATCH(ΔιακυμάνσειςΕξόδωνΥπαλλήλων[[#Headers],[Οκτ]],ΠρογραμματισμέναΈξοδαΥπαλλήλων[#Headers],0))-INDEX(ΠραγματικάΈξοδαΥπαλλήλων[],MATCH(INDEX(ΔιακυμάνσειςΕξόδωνΥπαλλήλων[],ROW()-ROW(ΔιακυμάνσειςΕξόδωνΥπαλλήλων[[#Headers],[Οκτ]]),1),INDEX(ΠρογραμματισμέναΈξοδαΥπαλλήλων[],,1),0),MATCH(ΔιακυμάνσειςΕξόδωνΥπαλλήλων[[#Headers],[Οκτ]],ΠραγματικάΈξοδαΥπαλλήλων[#Headers],0))</f>
        <v>24948</v>
      </c>
      <c r="M7" s="97">
        <f>INDEX(ΠρογραμματισμέναΈξοδαΥπαλλήλων[],MATCH(INDEX(ΔιακυμάνσειςΕξόδωνΥπαλλήλων[],ROW()-ROW(ΔιακυμάνσειςΕξόδωνΥπαλλήλων[[#Headers],[Νοέ]]),1),INDEX(ΠρογραμματισμέναΈξοδαΥπαλλήλων[],,1),0),MATCH(ΔιακυμάνσειςΕξόδωνΥπαλλήλων[[#Headers],[Νοέ]],ΠρογραμματισμέναΈξοδαΥπαλλήλων[#Headers],0))-INDEX(ΠραγματικάΈξοδαΥπαλλήλων[],MATCH(INDEX(ΔιακυμάνσειςΕξόδωνΥπαλλήλων[],ROW()-ROW(ΔιακυμάνσειςΕξόδωνΥπαλλήλων[[#Headers],[Νοέ]]),1),INDEX(ΠρογραμματισμέναΈξοδαΥπαλλήλων[],,1),0),MATCH(ΔιακυμάνσειςΕξόδωνΥπαλλήλων[[#Headers],[Νοέ]],ΠραγματικάΈξοδαΥπαλλήλων[#Headers],0))</f>
        <v>24948</v>
      </c>
      <c r="N7" s="97">
        <f>INDEX(ΠρογραμματισμέναΈξοδαΥπαλλήλων[],MATCH(INDEX(ΔιακυμάνσειςΕξόδωνΥπαλλήλων[],ROW()-ROW(ΔιακυμάνσειςΕξόδωνΥπαλλήλων[[#Headers],[Δεκ]]),1),INDEX(ΠρογραμματισμέναΈξοδαΥπαλλήλων[],,1),0),MATCH(ΔιακυμάνσειςΕξόδωνΥπαλλήλων[[#Headers],[Δεκ]],ΠρογραμματισμέναΈξοδαΥπαλλήλων[#Headers],0))-INDEX(ΠραγματικάΈξοδαΥπαλλήλων[],MATCH(INDEX(ΔιακυμάνσειςΕξόδωνΥπαλλήλων[],ROW()-ROW(ΔιακυμάνσειςΕξόδωνΥπαλλήλων[[#Headers],[Δεκ]]),1),INDEX(ΠρογραμματισμέναΈξοδαΥπαλλήλων[],,1),0),MATCH(ΔιακυμάνσειςΕξόδωνΥπαλλήλων[[#Headers],[Δεκ]],ΠραγματικάΈξοδαΥπαλλήλων[#Headers],0))</f>
        <v>24948</v>
      </c>
      <c r="O7" s="98">
        <f>SUM(ΔιακυμάνσειςΕξόδωνΥπαλλήλων[[#This Row],[Ιαν]:[Δεκ]])</f>
        <v>147960</v>
      </c>
    </row>
    <row r="8" spans="1:16" ht="24.95" customHeight="1" x14ac:dyDescent="0.3">
      <c r="A8" s="30"/>
      <c r="B8" s="61" t="s">
        <v>13</v>
      </c>
      <c r="C8" s="106">
        <f>SUBTOTAL(109,ΔιακυμάνσειςΕξόδωνΥπαλλήλων[Ιαν])</f>
        <v>0</v>
      </c>
      <c r="D8" s="106">
        <f>SUBTOTAL(109,ΔιακυμάνσειςΕξόδωνΥπαλλήλων[Φεβ])</f>
        <v>0</v>
      </c>
      <c r="E8" s="106">
        <f>SUBTOTAL(109,ΔιακυμάνσειςΕξόδωνΥπαλλήλων[Μάρ])</f>
        <v>0</v>
      </c>
      <c r="F8" s="106">
        <f>SUBTOTAL(109,ΔιακυμάνσειςΕξόδωνΥπαλλήλων[Απρ])</f>
        <v>-635</v>
      </c>
      <c r="G8" s="106">
        <f>SUBTOTAL(109,ΔιακυμάνσειςΕξόδωνΥπαλλήλων[Μάι])</f>
        <v>-635</v>
      </c>
      <c r="H8" s="106">
        <f>SUBTOTAL(109,ΔιακυμάνσειςΕξόδωνΥπαλλήλων[Ιούν])</f>
        <v>-635</v>
      </c>
      <c r="I8" s="106">
        <f>SUBTOTAL(109,ΔιακυμάνσειςΕξόδωνΥπαλλήλων[Ιούλ])</f>
        <v>111125</v>
      </c>
      <c r="J8" s="106">
        <f>SUBTOTAL(109,ΔιακυμάνσειςΕξόδωνΥπαλλήλων[Αύγ])</f>
        <v>117348</v>
      </c>
      <c r="K8" s="106">
        <f>SUBTOTAL(109,ΔιακυμάνσειςΕξόδωνΥπαλλήλων[Σεπ])</f>
        <v>117348</v>
      </c>
      <c r="L8" s="106">
        <f>SUBTOTAL(109,ΔιακυμάνσειςΕξόδωνΥπαλλήλων[Οκτ])</f>
        <v>117348</v>
      </c>
      <c r="M8" s="106">
        <f>SUBTOTAL(109,ΔιακυμάνσειςΕξόδωνΥπαλλήλων[Νοέ])</f>
        <v>117348</v>
      </c>
      <c r="N8" s="106">
        <f>SUBTOTAL(109,ΔιακυμάνσειςΕξόδωνΥπαλλήλων[Δεκ])</f>
        <v>117348</v>
      </c>
      <c r="O8" s="107">
        <f>SUBTOTAL(109,ΔιακυμάνσειςΕξόδωνΥπαλλήλων[ΕΤΟΣ])</f>
        <v>695960</v>
      </c>
    </row>
    <row r="9" spans="1:16" ht="21" customHeight="1" x14ac:dyDescent="0.3">
      <c r="A9" s="30"/>
      <c r="B9" s="70"/>
      <c r="C9" s="70"/>
      <c r="D9" s="85"/>
      <c r="E9" s="85"/>
      <c r="F9" s="85"/>
      <c r="G9" s="85"/>
      <c r="H9" s="85"/>
      <c r="I9" s="85"/>
      <c r="J9" s="85"/>
      <c r="K9" s="85"/>
      <c r="L9" s="85"/>
      <c r="M9" s="85"/>
      <c r="N9" s="85"/>
      <c r="O9" s="86"/>
    </row>
    <row r="10" spans="1:16" ht="24.95" customHeight="1" thickBot="1" x14ac:dyDescent="0.35">
      <c r="A10" s="30"/>
      <c r="B10" s="46" t="s">
        <v>14</v>
      </c>
      <c r="C10" s="94" t="s">
        <v>37</v>
      </c>
      <c r="D10" s="94" t="s">
        <v>39</v>
      </c>
      <c r="E10" s="94" t="s">
        <v>41</v>
      </c>
      <c r="F10" s="94" t="s">
        <v>43</v>
      </c>
      <c r="G10" s="94" t="s">
        <v>45</v>
      </c>
      <c r="H10" s="94" t="s">
        <v>47</v>
      </c>
      <c r="I10" s="94" t="s">
        <v>49</v>
      </c>
      <c r="J10" s="94" t="s">
        <v>51</v>
      </c>
      <c r="K10" s="94" t="s">
        <v>55</v>
      </c>
      <c r="L10" s="94" t="s">
        <v>57</v>
      </c>
      <c r="M10" s="94" t="s">
        <v>60</v>
      </c>
      <c r="N10" s="94" t="s">
        <v>62</v>
      </c>
      <c r="O10" s="95" t="s">
        <v>63</v>
      </c>
    </row>
    <row r="11" spans="1:16" ht="24.95" customHeight="1" thickBot="1" x14ac:dyDescent="0.35">
      <c r="A11" s="30"/>
      <c r="B11" s="54" t="s">
        <v>15</v>
      </c>
      <c r="C11" s="97">
        <f>INDEX(Προγραμματισμένα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ογραμματισμέναΈξοδαΓραφείου[#Headers],0))-INDEX(Πραγματικά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αγματικάΈξοδαΓραφείου[#Headers],0))</f>
        <v>0</v>
      </c>
      <c r="D11" s="97">
        <f>INDEX(Προγραμματισμένα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ογραμματισμέναΈξοδαΓραφείου[#Headers],0))-INDEX(Πραγματικά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αγματικάΈξοδαΓραφείου[#Headers],0))</f>
        <v>0</v>
      </c>
      <c r="E11" s="97">
        <f>INDEX(Προγραμματισμένα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ογραμματισμέναΈξοδαΓραφείου[#Headers],0))-INDEX(Πραγματικά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αγματικάΈξοδαΓραφείου[#Headers],0))</f>
        <v>0</v>
      </c>
      <c r="F11" s="97">
        <f>INDEX(Προγραμματισμένα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ογραμματισμέναΈξοδαΓραφείου[#Headers],0))-INDEX(Πραγματικά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αγματικάΈξοδαΓραφείου[#Headers],0))</f>
        <v>0</v>
      </c>
      <c r="G11" s="97">
        <f>INDEX(Προγραμματισμένα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ογραμματισμέναΈξοδαΓραφείου[#Headers],0))-INDEX(Πραγματικά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αγματικάΈξοδαΓραφείου[#Headers],0))</f>
        <v>0</v>
      </c>
      <c r="H11" s="97">
        <f>INDEX(Προγραμματισμένα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ογραμματισμέναΈξοδαΓραφείου[#Headers],0))-INDEX(Πραγματικά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αγματικάΈξοδαΓραφείου[#Headers],0))</f>
        <v>0</v>
      </c>
      <c r="I11" s="97">
        <f>INDEX(Προγραμματισμένα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ογραμματισμέναΈξοδαΓραφείου[#Headers],0))-INDEX(Πραγματικά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αγματικάΈξοδαΓραφείου[#Headers],0))</f>
        <v>9800</v>
      </c>
      <c r="J11" s="97">
        <f>INDEX(Προγραμματισμένα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ογραμματισμέναΈξοδαΓραφείου[#Headers],0))-INDEX(Πραγματικά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αγματικάΈξοδαΓραφείου[#Headers],0))</f>
        <v>9800</v>
      </c>
      <c r="K11" s="97">
        <f>INDEX(Προγραμματισμένα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ογραμματισμέναΈξοδαΓραφείου[#Headers],0))-INDEX(Πραγματικά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αγματικάΈξοδαΓραφείου[#Headers],0))</f>
        <v>9800</v>
      </c>
      <c r="L11" s="97">
        <f>INDEX(Προγραμματισμένα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ογραμματισμέναΈξοδαΓραφείου[#Headers],0))-INDEX(Πραγματικά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αγματικάΈξοδαΓραφείου[#Headers],0))</f>
        <v>9800</v>
      </c>
      <c r="M11" s="97">
        <f>INDEX(Προγραμματισμένα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ογραμματισμέναΈξοδαΓραφείου[#Headers],0))-INDEX(Πραγματικά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αγματικάΈξοδαΓραφείου[#Headers],0))</f>
        <v>9800</v>
      </c>
      <c r="N11" s="97">
        <f>INDEX(Προγραμματισμένα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ογραμματισμέναΈξοδαΓραφείου[#Headers],0))-INDEX(Πραγματικά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αγματικάΈξοδαΓραφείου[#Headers],0))</f>
        <v>9800</v>
      </c>
      <c r="O11" s="98">
        <f>SUM(ΔιακυμάνσειςΕξόδωνΓραφείου[[#This Row],[Ιαν]:[Δεκ]])</f>
        <v>58800</v>
      </c>
    </row>
    <row r="12" spans="1:16" ht="24.95" customHeight="1" thickBot="1" x14ac:dyDescent="0.35">
      <c r="A12" s="30"/>
      <c r="B12" s="54" t="s">
        <v>16</v>
      </c>
      <c r="C12" s="97">
        <f>INDEX(Προγραμματισμένα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ογραμματισμέναΈξοδαΓραφείου[#Headers],0))-INDEX(Πραγματικά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αγματικάΈξοδαΓραφείου[#Headers],0))</f>
        <v>-4</v>
      </c>
      <c r="D12" s="97">
        <f>INDEX(Προγραμματισμένα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ογραμματισμέναΈξοδαΓραφείου[#Headers],0))-INDEX(Πραγματικά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αγματικάΈξοδαΓραφείου[#Headers],0))</f>
        <v>-30</v>
      </c>
      <c r="E12" s="97">
        <f>INDEX(Προγραμματισμένα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ογραμματισμέναΈξοδαΓραφείου[#Headers],0))-INDEX(Πραγματικά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αγματικάΈξοδαΓραφείου[#Headers],0))</f>
        <v>15</v>
      </c>
      <c r="F12" s="97">
        <f>INDEX(Προγραμματισμένα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ογραμματισμέναΈξοδαΓραφείου[#Headers],0))-INDEX(Πραγματικά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αγματικάΈξοδαΓραφείου[#Headers],0))</f>
        <v>-130</v>
      </c>
      <c r="G12" s="97">
        <f>INDEX(Προγραμματισμένα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ογραμματισμέναΈξοδαΓραφείου[#Headers],0))-INDEX(Πραγματικά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αγματικάΈξοδαΓραφείου[#Headers],0))</f>
        <v>13</v>
      </c>
      <c r="H12" s="97">
        <f>INDEX(Προγραμματισμένα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ογραμματισμέναΈξοδαΓραφείου[#Headers],0))-INDEX(Πραγματικά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αγματικάΈξοδαΓραφείου[#Headers],0))</f>
        <v>12</v>
      </c>
      <c r="I12" s="97">
        <f>INDEX(Προγραμματισμένα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ογραμματισμέναΈξοδαΓραφείου[#Headers],0))-INDEX(Πραγματικά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αγματικάΈξοδαΓραφείου[#Headers],0))</f>
        <v>100</v>
      </c>
      <c r="J12" s="97">
        <f>INDEX(Προγραμματισμένα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ογραμματισμέναΈξοδαΓραφείου[#Headers],0))-INDEX(Πραγματικά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αγματικάΈξοδαΓραφείου[#Headers],0))</f>
        <v>100</v>
      </c>
      <c r="K12" s="97">
        <f>INDEX(Προγραμματισμένα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ογραμματισμέναΈξοδαΓραφείου[#Headers],0))-INDEX(Πραγματικά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αγματικάΈξοδαΓραφείου[#Headers],0))</f>
        <v>100</v>
      </c>
      <c r="L12" s="97">
        <f>INDEX(Προγραμματισμένα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ογραμματισμέναΈξοδαΓραφείου[#Headers],0))-INDEX(Πραγματικά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αγματικάΈξοδαΓραφείου[#Headers],0))</f>
        <v>100</v>
      </c>
      <c r="M12" s="97">
        <f>INDEX(Προγραμματισμένα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ογραμματισμέναΈξοδαΓραφείου[#Headers],0))-INDEX(Πραγματικά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αγματικάΈξοδαΓραφείου[#Headers],0))</f>
        <v>400</v>
      </c>
      <c r="N12" s="97">
        <f>INDEX(Προγραμματισμένα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ογραμματισμέναΈξοδαΓραφείου[#Headers],0))-INDEX(Πραγματικά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αγματικάΈξοδαΓραφείου[#Headers],0))</f>
        <v>400</v>
      </c>
      <c r="O12" s="98">
        <f>SUM(ΔιακυμάνσειςΕξόδωνΓραφείου[[#This Row],[Ιαν]:[Δεκ]])</f>
        <v>1076</v>
      </c>
    </row>
    <row r="13" spans="1:16" ht="24.95" customHeight="1" thickBot="1" x14ac:dyDescent="0.35">
      <c r="A13" s="30"/>
      <c r="B13" s="54" t="s">
        <v>17</v>
      </c>
      <c r="C13" s="97">
        <f>INDEX(Προγραμματισμένα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ογραμματισμέναΈξοδαΓραφείου[#Headers],0))-INDEX(Πραγματικά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αγματικάΈξοδαΓραφείου[#Headers],0))</f>
        <v>12</v>
      </c>
      <c r="D13" s="97">
        <f>INDEX(Προγραμματισμένα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ογραμματισμέναΈξοδαΓραφείου[#Headers],0))-INDEX(Πραγματικά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αγματικάΈξοδαΓραφείου[#Headers],0))</f>
        <v>22</v>
      </c>
      <c r="E13" s="97">
        <f>INDEX(Προγραμματισμένα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ογραμματισμέναΈξοδαΓραφείου[#Headers],0))-INDEX(Πραγματικά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αγματικάΈξοδαΓραφείου[#Headers],0))</f>
        <v>32</v>
      </c>
      <c r="F13" s="97">
        <f>INDEX(Προγραμματισμένα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ογραμματισμέναΈξοδαΓραφείου[#Headers],0))-INDEX(Πραγματικά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αγματικάΈξοδαΓραφείου[#Headers],0))</f>
        <v>1</v>
      </c>
      <c r="G13" s="97">
        <f>INDEX(Προγραμματισμένα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ογραμματισμέναΈξοδαΓραφείου[#Headers],0))-INDEX(Πραγματικά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αγματικάΈξοδαΓραφείου[#Headers],0))</f>
        <v>-6</v>
      </c>
      <c r="H13" s="97">
        <f>INDEX(Προγραμματισμένα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ογραμματισμέναΈξοδαΓραφείου[#Headers],0))-INDEX(Πραγματικά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αγματικάΈξοδαΓραφείου[#Headers],0))</f>
        <v>10</v>
      </c>
      <c r="I13" s="97">
        <f>INDEX(Προγραμματισμένα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ογραμματισμέναΈξοδαΓραφείου[#Headers],0))-INDEX(Πραγματικά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αγματικάΈξοδαΓραφείου[#Headers],0))</f>
        <v>300</v>
      </c>
      <c r="J13" s="97">
        <f>INDEX(Προγραμματισμένα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ογραμματισμέναΈξοδαΓραφείου[#Headers],0))-INDEX(Πραγματικά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αγματικάΈξοδαΓραφείου[#Headers],0))</f>
        <v>300</v>
      </c>
      <c r="K13" s="97">
        <f>INDEX(Προγραμματισμένα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ογραμματισμέναΈξοδαΓραφείου[#Headers],0))-INDEX(Πραγματικά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αγματικάΈξοδαΓραφείου[#Headers],0))</f>
        <v>300</v>
      </c>
      <c r="L13" s="97">
        <f>INDEX(Προγραμματισμένα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ογραμματισμέναΈξοδαΓραφείου[#Headers],0))-INDEX(Πραγματικά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αγματικάΈξοδαΓραφείου[#Headers],0))</f>
        <v>300</v>
      </c>
      <c r="M13" s="97">
        <f>INDEX(Προγραμματισμένα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ογραμματισμέναΈξοδαΓραφείου[#Headers],0))-INDEX(Πραγματικά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αγματικάΈξοδαΓραφείου[#Headers],0))</f>
        <v>300</v>
      </c>
      <c r="N13" s="97">
        <f>INDEX(Προγραμματισμένα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ογραμματισμέναΈξοδαΓραφείου[#Headers],0))-INDEX(Πραγματικά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αγματικάΈξοδαΓραφείου[#Headers],0))</f>
        <v>300</v>
      </c>
      <c r="O13" s="98">
        <f>SUM(ΔιακυμάνσειςΕξόδωνΓραφείου[[#This Row],[Ιαν]:[Δεκ]])</f>
        <v>1871</v>
      </c>
    </row>
    <row r="14" spans="1:16" ht="24.95" customHeight="1" thickBot="1" x14ac:dyDescent="0.35">
      <c r="A14" s="30"/>
      <c r="B14" s="54" t="s">
        <v>18</v>
      </c>
      <c r="C14" s="97">
        <f>INDEX(Προγραμματισμένα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ογραμματισμέναΈξοδαΓραφείου[#Headers],0))-INDEX(Πραγματικά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αγματικάΈξοδαΓραφείου[#Headers],0))</f>
        <v>5</v>
      </c>
      <c r="D14" s="97">
        <f>INDEX(Προγραμματισμένα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ογραμματισμέναΈξοδαΓραφείου[#Headers],0))-INDEX(Πραγματικά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αγματικάΈξοδαΓραφείου[#Headers],0))</f>
        <v>7</v>
      </c>
      <c r="E14" s="97">
        <f>INDEX(Προγραμματισμένα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ογραμματισμέναΈξοδαΓραφείου[#Headers],0))-INDEX(Πραγματικά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αγματικάΈξοδαΓραφείου[#Headers],0))</f>
        <v>6</v>
      </c>
      <c r="F14" s="97">
        <f>INDEX(Προγραμματισμένα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ογραμματισμέναΈξοδαΓραφείου[#Headers],0))-INDEX(Πραγματικά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αγματικάΈξοδαΓραφείου[#Headers],0))</f>
        <v>4</v>
      </c>
      <c r="G14" s="97">
        <f>INDEX(Προγραμματισμένα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ογραμματισμέναΈξοδαΓραφείου[#Headers],0))-INDEX(Πραγματικά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αγματικάΈξοδαΓραφείου[#Headers],0))</f>
        <v>6</v>
      </c>
      <c r="H14" s="97">
        <f>INDEX(Προγραμματισμένα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ογραμματισμέναΈξοδαΓραφείου[#Headers],0))-INDEX(Πραγματικά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αγματικάΈξοδαΓραφείου[#Headers],0))</f>
        <v>4</v>
      </c>
      <c r="I14" s="97">
        <f>INDEX(Προγραμματισμένα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ογραμματισμέναΈξοδαΓραφείου[#Headers],0))-INDEX(Πραγματικά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αγματικάΈξοδαΓραφείου[#Headers],0))</f>
        <v>40</v>
      </c>
      <c r="J14" s="97">
        <f>INDEX(Προγραμματισμένα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ογραμματισμέναΈξοδαΓραφείου[#Headers],0))-INDEX(Πραγματικά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αγματικάΈξοδαΓραφείου[#Headers],0))</f>
        <v>40</v>
      </c>
      <c r="K14" s="97">
        <f>INDEX(Προγραμματισμένα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ογραμματισμέναΈξοδαΓραφείου[#Headers],0))-INDEX(Πραγματικά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αγματικάΈξοδαΓραφείου[#Headers],0))</f>
        <v>40</v>
      </c>
      <c r="L14" s="97">
        <f>INDEX(Προγραμματισμένα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ογραμματισμέναΈξοδαΓραφείου[#Headers],0))-INDEX(Πραγματικά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αγματικάΈξοδαΓραφείου[#Headers],0))</f>
        <v>40</v>
      </c>
      <c r="M14" s="97">
        <f>INDEX(Προγραμματισμένα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ογραμματισμέναΈξοδαΓραφείου[#Headers],0))-INDEX(Πραγματικά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αγματικάΈξοδαΓραφείου[#Headers],0))</f>
        <v>40</v>
      </c>
      <c r="N14" s="97">
        <f>INDEX(Προγραμματισμένα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ογραμματισμέναΈξοδαΓραφείου[#Headers],0))-INDEX(Πραγματικά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αγματικάΈξοδαΓραφείου[#Headers],0))</f>
        <v>40</v>
      </c>
      <c r="O14" s="98">
        <f>SUM(ΔιακυμάνσειςΕξόδωνΓραφείου[[#This Row],[Ιαν]:[Δεκ]])</f>
        <v>272</v>
      </c>
    </row>
    <row r="15" spans="1:16" ht="24.95" customHeight="1" thickBot="1" x14ac:dyDescent="0.35">
      <c r="A15" s="30"/>
      <c r="B15" s="54" t="s">
        <v>19</v>
      </c>
      <c r="C15" s="97">
        <f>INDEX(Προγραμματισμένα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ογραμματισμέναΈξοδαΓραφείου[#Headers],0))-INDEX(Πραγματικά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αγματικάΈξοδαΓραφείου[#Headers],0))</f>
        <v>26</v>
      </c>
      <c r="D15" s="97">
        <f>INDEX(Προγραμματισμένα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ογραμματισμέναΈξοδαΓραφείου[#Headers],0))-INDEX(Πραγματικά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αγματικάΈξοδαΓραφείου[#Headers],0))</f>
        <v>15</v>
      </c>
      <c r="E15" s="97">
        <f>INDEX(Προγραμματισμένα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ογραμματισμέναΈξοδαΓραφείου[#Headers],0))-INDEX(Πραγματικά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αγματικάΈξοδαΓραφείου[#Headers],0))</f>
        <v>-15</v>
      </c>
      <c r="F15" s="97">
        <f>INDEX(Προγραμματισμένα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ογραμματισμέναΈξοδαΓραφείου[#Headers],0))-INDEX(Πραγματικά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αγματικάΈξοδαΓραφείου[#Headers],0))</f>
        <v>5</v>
      </c>
      <c r="G15" s="97">
        <f>INDEX(Προγραμματισμένα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ογραμματισμέναΈξοδαΓραφείου[#Headers],0))-INDEX(Πραγματικά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αγματικάΈξοδαΓραφείου[#Headers],0))</f>
        <v>5</v>
      </c>
      <c r="H15" s="97">
        <f>INDEX(Προγραμματισμένα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ογραμματισμέναΈξοδαΓραφείου[#Headers],0))-INDEX(Πραγματικά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αγματικάΈξοδαΓραφείου[#Headers],0))</f>
        <v>30</v>
      </c>
      <c r="I15" s="97">
        <f>INDEX(Προγραμματισμένα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ογραμματισμέναΈξοδαΓραφείου[#Headers],0))-INDEX(Πραγματικά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αγματικάΈξοδαΓραφείου[#Headers],0))</f>
        <v>250</v>
      </c>
      <c r="J15" s="97">
        <f>INDEX(Προγραμματισμένα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ογραμματισμέναΈξοδαΓραφείου[#Headers],0))-INDEX(Πραγματικά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αγματικάΈξοδαΓραφείου[#Headers],0))</f>
        <v>250</v>
      </c>
      <c r="K15" s="97">
        <f>INDEX(Προγραμματισμένα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ογραμματισμέναΈξοδαΓραφείου[#Headers],0))-INDEX(Πραγματικά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αγματικάΈξοδαΓραφείου[#Headers],0))</f>
        <v>250</v>
      </c>
      <c r="L15" s="97">
        <f>INDEX(Προγραμματισμένα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ογραμματισμέναΈξοδαΓραφείου[#Headers],0))-INDEX(Πραγματικά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αγματικάΈξοδαΓραφείου[#Headers],0))</f>
        <v>250</v>
      </c>
      <c r="M15" s="97">
        <f>INDEX(Προγραμματισμένα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ογραμματισμέναΈξοδαΓραφείου[#Headers],0))-INDEX(Πραγματικά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αγματικάΈξοδαΓραφείου[#Headers],0))</f>
        <v>250</v>
      </c>
      <c r="N15" s="97">
        <f>INDEX(Προγραμματισμένα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ογραμματισμέναΈξοδαΓραφείου[#Headers],0))-INDEX(Πραγματικά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αγματικάΈξοδαΓραφείου[#Headers],0))</f>
        <v>250</v>
      </c>
      <c r="O15" s="98">
        <f>SUM(ΔιακυμάνσειςΕξόδωνΓραφείου[[#This Row],[Ιαν]:[Δεκ]])</f>
        <v>1566</v>
      </c>
    </row>
    <row r="16" spans="1:16" ht="24.95" customHeight="1" thickBot="1" x14ac:dyDescent="0.35">
      <c r="A16" s="30"/>
      <c r="B16" s="54" t="s">
        <v>20</v>
      </c>
      <c r="C16" s="97">
        <f>INDEX(Προγραμματισμένα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ογραμματισμέναΈξοδαΓραφείου[#Headers],0))-INDEX(Πραγματικά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αγματικάΈξοδαΓραφείου[#Headers],0))</f>
        <v>0</v>
      </c>
      <c r="D16" s="97">
        <f>INDEX(Προγραμματισμένα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ογραμματισμέναΈξοδαΓραφείου[#Headers],0))-INDEX(Πραγματικά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αγματικάΈξοδαΓραφείου[#Headers],0))</f>
        <v>0</v>
      </c>
      <c r="E16" s="97">
        <f>INDEX(Προγραμματισμένα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ογραμματισμέναΈξοδαΓραφείου[#Headers],0))-INDEX(Πραγματικά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αγματικάΈξοδαΓραφείου[#Headers],0))</f>
        <v>0</v>
      </c>
      <c r="F16" s="97">
        <f>INDEX(Προγραμματισμένα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ογραμματισμέναΈξοδαΓραφείου[#Headers],0))-INDEX(Πραγματικά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αγματικάΈξοδαΓραφείου[#Headers],0))</f>
        <v>0</v>
      </c>
      <c r="G16" s="97">
        <f>INDEX(Προγραμματισμένα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ογραμματισμέναΈξοδαΓραφείου[#Headers],0))-INDEX(Πραγματικά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αγματικάΈξοδαΓραφείου[#Headers],0))</f>
        <v>0</v>
      </c>
      <c r="H16" s="97">
        <f>INDEX(Προγραμματισμένα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ογραμματισμέναΈξοδαΓραφείου[#Headers],0))-INDEX(Πραγματικά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αγματικάΈξοδαΓραφείου[#Headers],0))</f>
        <v>0</v>
      </c>
      <c r="I16" s="97">
        <f>INDEX(Προγραμματισμένα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ογραμματισμέναΈξοδαΓραφείου[#Headers],0))-INDEX(Πραγματικά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αγματικάΈξοδαΓραφείου[#Headers],0))</f>
        <v>180</v>
      </c>
      <c r="J16" s="97">
        <f>INDEX(Προγραμματισμένα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ογραμματισμέναΈξοδαΓραφείου[#Headers],0))-INDEX(Πραγματικά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αγματικάΈξοδαΓραφείου[#Headers],0))</f>
        <v>180</v>
      </c>
      <c r="K16" s="97">
        <f>INDEX(Προγραμματισμένα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ογραμματισμέναΈξοδαΓραφείου[#Headers],0))-INDEX(Πραγματικά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αγματικάΈξοδαΓραφείου[#Headers],0))</f>
        <v>180</v>
      </c>
      <c r="L16" s="97">
        <f>INDEX(Προγραμματισμένα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ογραμματισμέναΈξοδαΓραφείου[#Headers],0))-INDEX(Πραγματικά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αγματικάΈξοδαΓραφείου[#Headers],0))</f>
        <v>180</v>
      </c>
      <c r="M16" s="97">
        <f>INDEX(Προγραμματισμένα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ογραμματισμέναΈξοδαΓραφείου[#Headers],0))-INDEX(Πραγματικά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αγματικάΈξοδαΓραφείου[#Headers],0))</f>
        <v>180</v>
      </c>
      <c r="N16" s="97">
        <f>INDEX(Προγραμματισμένα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ογραμματισμέναΈξοδαΓραφείου[#Headers],0))-INDEX(Πραγματικά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αγματικάΈξοδαΓραφείου[#Headers],0))</f>
        <v>180</v>
      </c>
      <c r="O16" s="98">
        <f>SUM(ΔιακυμάνσειςΕξόδωνΓραφείου[[#This Row],[Ιαν]:[Δεκ]])</f>
        <v>1080</v>
      </c>
    </row>
    <row r="17" spans="1:15" ht="24.95" customHeight="1" thickBot="1" x14ac:dyDescent="0.35">
      <c r="A17" s="30"/>
      <c r="B17" s="54" t="s">
        <v>21</v>
      </c>
      <c r="C17" s="97">
        <f>INDEX(Προγραμματισμένα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ογραμματισμέναΈξοδαΓραφείου[#Headers],0))-INDEX(Πραγματικά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αγματικάΈξοδαΓραφείου[#Headers],0))</f>
        <v>-56</v>
      </c>
      <c r="D17" s="97">
        <f>INDEX(Προγραμματισμένα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ογραμματισμέναΈξοδαΓραφείου[#Headers],0))-INDEX(Πραγματικά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αγματικάΈξοδαΓραφείου[#Headers],0))</f>
        <v>58</v>
      </c>
      <c r="E17" s="97">
        <f>INDEX(Προγραμματισμένα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ογραμματισμέναΈξοδαΓραφείου[#Headers],0))-INDEX(Πραγματικά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αγματικάΈξοδαΓραφείου[#Headers],0))</f>
        <v>40</v>
      </c>
      <c r="F17" s="97">
        <f>INDEX(Προγραμματισμένα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ογραμματισμέναΈξοδαΓραφείου[#Headers],0))-INDEX(Πραγματικά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αγματικάΈξοδαΓραφείου[#Headers],0))</f>
        <v>-21</v>
      </c>
      <c r="G17" s="97">
        <f>INDEX(Προγραμματισμένα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ογραμματισμέναΈξοδαΓραφείου[#Headers],0))-INDEX(Πραγματικά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αγματικάΈξοδαΓραφείου[#Headers],0))</f>
        <v>-56</v>
      </c>
      <c r="H17" s="97">
        <f>INDEX(Προγραμματισμένα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ογραμματισμέναΈξοδαΓραφείου[#Headers],0))-INDEX(Πραγματικά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αγματικάΈξοδαΓραφείου[#Headers],0))</f>
        <v>-40</v>
      </c>
      <c r="I17" s="97">
        <f>INDEX(Προγραμματισμένα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ογραμματισμέναΈξοδαΓραφείου[#Headers],0))-INDEX(Πραγματικά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αγματικάΈξοδαΓραφείου[#Headers],0))</f>
        <v>200</v>
      </c>
      <c r="J17" s="97">
        <f>INDEX(Προγραμματισμένα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ογραμματισμέναΈξοδαΓραφείου[#Headers],0))-INDEX(Πραγματικά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αγματικάΈξοδαΓραφείου[#Headers],0))</f>
        <v>200</v>
      </c>
      <c r="K17" s="97">
        <f>INDEX(Προγραμματισμένα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ογραμματισμέναΈξοδαΓραφείου[#Headers],0))-INDEX(Πραγματικά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αγματικάΈξοδαΓραφείου[#Headers],0))</f>
        <v>200</v>
      </c>
      <c r="L17" s="97">
        <f>INDEX(Προγραμματισμένα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ογραμματισμέναΈξοδαΓραφείου[#Headers],0))-INDEX(Πραγματικά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αγματικάΈξοδαΓραφείου[#Headers],0))</f>
        <v>200</v>
      </c>
      <c r="M17" s="97">
        <f>INDEX(Προγραμματισμένα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ογραμματισμέναΈξοδαΓραφείου[#Headers],0))-INDEX(Πραγματικά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αγματικάΈξοδαΓραφείου[#Headers],0))</f>
        <v>200</v>
      </c>
      <c r="N17" s="97">
        <f>INDEX(Προγραμματισμένα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ογραμματισμέναΈξοδαΓραφείου[#Headers],0))-INDEX(Πραγματικά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αγματικάΈξοδαΓραφείου[#Headers],0))</f>
        <v>200</v>
      </c>
      <c r="O17" s="98">
        <f>SUM(ΔιακυμάνσειςΕξόδωνΓραφείου[[#This Row],[Ιαν]:[Δεκ]])</f>
        <v>1125</v>
      </c>
    </row>
    <row r="18" spans="1:15" ht="24.95" customHeight="1" thickBot="1" x14ac:dyDescent="0.35">
      <c r="A18" s="30"/>
      <c r="B18" s="54" t="s">
        <v>22</v>
      </c>
      <c r="C18" s="97">
        <f>INDEX(Προγραμματισμένα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ογραμματισμέναΈξοδαΓραφείου[#Headers],0))-INDEX(ΠραγματικάΈξοδαΓραφείου[],MATCH(INDEX(ΔιακυμάνσειςΕξόδωνΓραφείου[],ROW()-ROW(ΔιακυμάνσειςΕξόδωνΓραφείου[[#Headers],[Ιαν]]),1),INDEX(ΠρογραμματισμέναΈξοδαΓραφείου[],,1),0),MATCH(ΔιακυμάνσειςΕξόδωνΓραφείου[[#Headers],[Ιαν]],ΠραγματικάΈξοδαΓραφείου[#Headers],0))</f>
        <v>0</v>
      </c>
      <c r="D18" s="97">
        <f>INDEX(Προγραμματισμένα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ογραμματισμέναΈξοδαΓραφείου[#Headers],0))-INDEX(ΠραγματικάΈξοδαΓραφείου[],MATCH(INDEX(ΔιακυμάνσειςΕξόδωνΓραφείου[],ROW()-ROW(ΔιακυμάνσειςΕξόδωνΓραφείου[[#Headers],[Φεβ]]),1),INDEX(ΠρογραμματισμέναΈξοδαΓραφείου[],,1),0),MATCH(ΔιακυμάνσειςΕξόδωνΓραφείου[[#Headers],[Φεβ]],ΠραγματικάΈξοδαΓραφείου[#Headers],0))</f>
        <v>0</v>
      </c>
      <c r="E18" s="97">
        <f>INDEX(Προγραμματισμένα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ογραμματισμέναΈξοδαΓραφείου[#Headers],0))-INDEX(ΠραγματικάΈξοδαΓραφείου[],MATCH(INDEX(ΔιακυμάνσειςΕξόδωνΓραφείου[],ROW()-ROW(ΔιακυμάνσειςΕξόδωνΓραφείου[[#Headers],[Μάρ]]),1),INDEX(ΠρογραμματισμέναΈξοδαΓραφείου[],,1),0),MATCH(ΔιακυμάνσειςΕξόδωνΓραφείου[[#Headers],[Μάρ]],ΠραγματικάΈξοδαΓραφείου[#Headers],0))</f>
        <v>0</v>
      </c>
      <c r="F18" s="97">
        <f>INDEX(Προγραμματισμένα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ογραμματισμέναΈξοδαΓραφείου[#Headers],0))-INDEX(ΠραγματικάΈξοδαΓραφείου[],MATCH(INDEX(ΔιακυμάνσειςΕξόδωνΓραφείου[],ROW()-ROW(ΔιακυμάνσειςΕξόδωνΓραφείου[[#Headers],[Απρ]]),1),INDEX(ΠρογραμματισμέναΈξοδαΓραφείου[],,1),0),MATCH(ΔιακυμάνσειςΕξόδωνΓραφείου[[#Headers],[Απρ]],ΠραγματικάΈξοδαΓραφείου[#Headers],0))</f>
        <v>0</v>
      </c>
      <c r="G18" s="97">
        <f>INDEX(Προγραμματισμένα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ογραμματισμέναΈξοδαΓραφείου[#Headers],0))-INDEX(ΠραγματικάΈξοδαΓραφείου[],MATCH(INDEX(ΔιακυμάνσειςΕξόδωνΓραφείου[],ROW()-ROW(ΔιακυμάνσειςΕξόδωνΓραφείου[[#Headers],[Μάι]]),1),INDEX(ΠρογραμματισμέναΈξοδαΓραφείου[],,1),0),MATCH(ΔιακυμάνσειςΕξόδωνΓραφείου[[#Headers],[Μάι]],ΠραγματικάΈξοδαΓραφείου[#Headers],0))</f>
        <v>0</v>
      </c>
      <c r="H18" s="97">
        <f>INDEX(Προγραμματισμένα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ογραμματισμέναΈξοδαΓραφείου[#Headers],0))-INDEX(ΠραγματικάΈξοδαΓραφείου[],MATCH(INDEX(ΔιακυμάνσειςΕξόδωνΓραφείου[],ROW()-ROW(ΔιακυμάνσειςΕξόδωνΓραφείου[[#Headers],[Ιούν]]),1),INDEX(ΠρογραμματισμέναΈξοδαΓραφείου[],,1),0),MATCH(ΔιακυμάνσειςΕξόδωνΓραφείου[[#Headers],[Ιούν]],ΠραγματικάΈξοδαΓραφείου[#Headers],0))</f>
        <v>0</v>
      </c>
      <c r="I18" s="97">
        <f>INDEX(Προγραμματισμένα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ογραμματισμέναΈξοδαΓραφείου[#Headers],0))-INDEX(ΠραγματικάΈξοδαΓραφείου[],MATCH(INDEX(ΔιακυμάνσειςΕξόδωνΓραφείου[],ROW()-ROW(ΔιακυμάνσειςΕξόδωνΓραφείου[[#Headers],[Ιούλ]]),1),INDEX(ΠρογραμματισμέναΈξοδαΓραφείου[],,1),0),MATCH(ΔιακυμάνσειςΕξόδωνΓραφείου[[#Headers],[Ιούλ]],ΠραγματικάΈξοδαΓραφείου[#Headers],0))</f>
        <v>600</v>
      </c>
      <c r="J18" s="97">
        <f>INDEX(Προγραμματισμένα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ογραμματισμέναΈξοδαΓραφείου[#Headers],0))-INDEX(ΠραγματικάΈξοδαΓραφείου[],MATCH(INDEX(ΔιακυμάνσειςΕξόδωνΓραφείου[],ROW()-ROW(ΔιακυμάνσειςΕξόδωνΓραφείου[[#Headers],[Αύγ]]),1),INDEX(ΠρογραμματισμέναΈξοδαΓραφείου[],,1),0),MATCH(ΔιακυμάνσειςΕξόδωνΓραφείου[[#Headers],[Αύγ]],ΠραγματικάΈξοδαΓραφείου[#Headers],0))</f>
        <v>600</v>
      </c>
      <c r="K18" s="97">
        <f>INDEX(Προγραμματισμένα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ογραμματισμέναΈξοδαΓραφείου[#Headers],0))-INDEX(ΠραγματικάΈξοδαΓραφείου[],MATCH(INDEX(ΔιακυμάνσειςΕξόδωνΓραφείου[],ROW()-ROW(ΔιακυμάνσειςΕξόδωνΓραφείου[[#Headers],[Σεπ]]),1),INDEX(ΠρογραμματισμέναΈξοδαΓραφείου[],,1),0),MATCH(ΔιακυμάνσειςΕξόδωνΓραφείου[[#Headers],[Σεπ]],ΠραγματικάΈξοδαΓραφείου[#Headers],0))</f>
        <v>600</v>
      </c>
      <c r="L18" s="97">
        <f>INDEX(Προγραμματισμένα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ογραμματισμέναΈξοδαΓραφείου[#Headers],0))-INDEX(ΠραγματικάΈξοδαΓραφείου[],MATCH(INDEX(ΔιακυμάνσειςΕξόδωνΓραφείου[],ROW()-ROW(ΔιακυμάνσειςΕξόδωνΓραφείου[[#Headers],[Οκτ]]),1),INDEX(ΠρογραμματισμέναΈξοδαΓραφείου[],,1),0),MATCH(ΔιακυμάνσειςΕξόδωνΓραφείου[[#Headers],[Οκτ]],ΠραγματικάΈξοδαΓραφείου[#Headers],0))</f>
        <v>600</v>
      </c>
      <c r="M18" s="97">
        <f>INDEX(Προγραμματισμένα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ογραμματισμέναΈξοδαΓραφείου[#Headers],0))-INDEX(ΠραγματικάΈξοδαΓραφείου[],MATCH(INDEX(ΔιακυμάνσειςΕξόδωνΓραφείου[],ROW()-ROW(ΔιακυμάνσειςΕξόδωνΓραφείου[[#Headers],[Νοε]]),1),INDEX(ΠρογραμματισμέναΈξοδαΓραφείου[],,1),0),MATCH(ΔιακυμάνσειςΕξόδωνΓραφείου[[#Headers],[Νοε]],ΠραγματικάΈξοδαΓραφείου[#Headers],0))</f>
        <v>600</v>
      </c>
      <c r="N18" s="97">
        <f>INDEX(Προγραμματισμένα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ογραμματισμέναΈξοδαΓραφείου[#Headers],0))-INDEX(ΠραγματικάΈξοδαΓραφείου[],MATCH(INDEX(ΔιακυμάνσειςΕξόδωνΓραφείου[],ROW()-ROW(ΔιακυμάνσειςΕξόδωνΓραφείου[[#Headers],[Δεκ]]),1),INDEX(ΠρογραμματισμέναΈξοδαΓραφείου[],,1),0),MATCH(ΔιακυμάνσειςΕξόδωνΓραφείου[[#Headers],[Δεκ]],ΠραγματικάΈξοδαΓραφείου[#Headers],0))</f>
        <v>600</v>
      </c>
      <c r="O18" s="98">
        <f>SUM(ΔιακυμάνσειςΕξόδωνΓραφείου[[#This Row],[Ιαν]:[Δεκ]])</f>
        <v>3600</v>
      </c>
    </row>
    <row r="19" spans="1:15" ht="24.95" customHeight="1" x14ac:dyDescent="0.3">
      <c r="A19" s="30"/>
      <c r="B19" s="63" t="s">
        <v>13</v>
      </c>
      <c r="C19" s="116">
        <f>SUBTOTAL(109,ΔιακυμάνσειςΕξόδωνΓραφείου[Ιαν])</f>
        <v>-17</v>
      </c>
      <c r="D19" s="106">
        <f>SUBTOTAL(109,ΔιακυμάνσειςΕξόδωνΓραφείου[Φεβ])</f>
        <v>72</v>
      </c>
      <c r="E19" s="106">
        <f>SUBTOTAL(109,ΔιακυμάνσειςΕξόδωνΓραφείου[Μάρ])</f>
        <v>78</v>
      </c>
      <c r="F19" s="106">
        <f>SUBTOTAL(109,ΔιακυμάνσειςΕξόδωνΓραφείου[Απρ])</f>
        <v>-141</v>
      </c>
      <c r="G19" s="106">
        <f>SUBTOTAL(109,ΔιακυμάνσειςΕξόδωνΓραφείου[Μάι])</f>
        <v>-38</v>
      </c>
      <c r="H19" s="106">
        <f>SUBTOTAL(109,ΔιακυμάνσειςΕξόδωνΓραφείου[Ιούν])</f>
        <v>16</v>
      </c>
      <c r="I19" s="106">
        <f>SUBTOTAL(109,ΔιακυμάνσειςΕξόδωνΓραφείου[Ιούλ])</f>
        <v>11470</v>
      </c>
      <c r="J19" s="106">
        <f>SUBTOTAL(109,ΔιακυμάνσειςΕξόδωνΓραφείου[Αύγ])</f>
        <v>11470</v>
      </c>
      <c r="K19" s="106">
        <f>SUBTOTAL(109,ΔιακυμάνσειςΕξόδωνΓραφείου[Σεπ])</f>
        <v>11470</v>
      </c>
      <c r="L19" s="106">
        <f>SUBTOTAL(109,ΔιακυμάνσειςΕξόδωνΓραφείου[Οκτ])</f>
        <v>11470</v>
      </c>
      <c r="M19" s="106">
        <f>SUBTOTAL(109,ΔιακυμάνσειςΕξόδωνΓραφείου[Νοε])</f>
        <v>11770</v>
      </c>
      <c r="N19" s="106">
        <f>SUBTOTAL(109,ΔιακυμάνσειςΕξόδωνΓραφείου[Δεκ])</f>
        <v>11770</v>
      </c>
      <c r="O19" s="107">
        <f>SUBTOTAL(109,ΔιακυμάνσειςΕξόδωνΓραφείου[ΕΤΟΣ])</f>
        <v>69390</v>
      </c>
    </row>
    <row r="20" spans="1:15" ht="21" customHeight="1" x14ac:dyDescent="0.3">
      <c r="A20" s="30"/>
      <c r="B20" s="71"/>
      <c r="C20" s="71"/>
      <c r="D20" s="85"/>
      <c r="E20" s="85"/>
      <c r="F20" s="93"/>
      <c r="G20" s="93"/>
      <c r="H20" s="93"/>
      <c r="I20" s="93"/>
      <c r="J20" s="93"/>
      <c r="K20" s="93"/>
      <c r="L20" s="93"/>
      <c r="M20" s="93"/>
      <c r="N20" s="93"/>
      <c r="O20" s="86"/>
    </row>
    <row r="21" spans="1:15" ht="24.95" customHeight="1" thickBot="1" x14ac:dyDescent="0.35">
      <c r="A21" s="30"/>
      <c r="B21" s="49" t="s">
        <v>23</v>
      </c>
      <c r="C21" s="94" t="s">
        <v>37</v>
      </c>
      <c r="D21" s="94" t="s">
        <v>39</v>
      </c>
      <c r="E21" s="94" t="s">
        <v>41</v>
      </c>
      <c r="F21" s="94" t="s">
        <v>43</v>
      </c>
      <c r="G21" s="94" t="s">
        <v>45</v>
      </c>
      <c r="H21" s="94" t="s">
        <v>47</v>
      </c>
      <c r="I21" s="94" t="s">
        <v>49</v>
      </c>
      <c r="J21" s="94" t="s">
        <v>51</v>
      </c>
      <c r="K21" s="94" t="s">
        <v>55</v>
      </c>
      <c r="L21" s="94" t="s">
        <v>57</v>
      </c>
      <c r="M21" s="94" t="s">
        <v>60</v>
      </c>
      <c r="N21" s="94" t="s">
        <v>62</v>
      </c>
      <c r="O21" s="95" t="s">
        <v>63</v>
      </c>
    </row>
    <row r="22" spans="1:15" ht="24.95" customHeight="1" thickBot="1" x14ac:dyDescent="0.35">
      <c r="A22" s="30"/>
      <c r="B22" s="54" t="s">
        <v>24</v>
      </c>
      <c r="C22" s="97">
        <f>INDEX(ΠρογραμματισμέναΈξοδαΜάρκετινγκ[],MATCH(INDEX(ΔιακυμάνσειςΕξόδωνΜάρκετινγκ[],ROW()-ROW(ΔιακυμάνσειςΕξόδωνΜάρκετινγκ[[#Headers],[Ιαν]]),1),INDEX(ΠρογραμματισμέναΈξοδαΜάρκετινγκ[],,1),0),MATCH(ΔιακυμάνσειςΕξόδωνΜάρκετινγκ[[#Headers],[Ιαν]],ΠρογραμματισμέναΈξοδαΜάρκετινγκ[#Headers],0))-INDEX(ΠραγματικάΈξοδαΜάρκετινγκ[],MATCH(INDEX(ΔιακυμάνσειςΕξόδωνΜάρκετινγκ[],ROW()-ROW(ΔιακυμάνσειςΕξόδωνΜάρκετινγκ[[#Headers],[Ιαν]]),1),INDEX(ΠρογραμματισμέναΈξοδαΜάρκετινγκ[],,1),0),MATCH(ΔιακυμάνσειςΕξόδωνΜάρκετινγκ[[#Headers],[Ιαν]],ΠραγματικάΈξοδαΜάρκετινγκ[#Headers],0))</f>
        <v>0</v>
      </c>
      <c r="D22" s="97">
        <f>INDEX(ΠρογραμματισμέναΈξοδαΜάρκετινγκ[],MATCH(INDEX(ΔιακυμάνσειςΕξόδωνΜάρκετινγκ[],ROW()-ROW(ΔιακυμάνσειςΕξόδωνΜάρκετινγκ[[#Headers],[Φεβ]]),1),INDEX(ΠρογραμματισμέναΈξοδαΜάρκετινγκ[],,1),0),MATCH(ΔιακυμάνσειςΕξόδωνΜάρκετινγκ[[#Headers],[Φεβ]],ΠρογραμματισμέναΈξοδαΜάρκετινγκ[#Headers],0))-INDEX(ΠραγματικάΈξοδαΜάρκετινγκ[],MATCH(INDEX(ΔιακυμάνσειςΕξόδωνΜάρκετινγκ[],ROW()-ROW(ΔιακυμάνσειςΕξόδωνΜάρκετινγκ[[#Headers],[Φεβ]]),1),INDEX(ΠρογραμματισμέναΈξοδαΜάρκετινγκ[],,1),0),MATCH(ΔιακυμάνσειςΕξόδωνΜάρκετινγκ[[#Headers],[Φεβ]],ΠραγματικάΈξοδαΜάρκετινγκ[#Headers],0))</f>
        <v>0</v>
      </c>
      <c r="E22" s="97">
        <f>INDEX(ΠρογραμματισμέναΈξοδαΜάρκετινγκ[],MATCH(INDEX(ΔιακυμάνσειςΕξόδωνΜάρκετινγκ[],ROW()-ROW(ΔιακυμάνσειςΕξόδωνΜάρκετινγκ[[#Headers],[Μάρ]]),1),INDEX(ΠρογραμματισμέναΈξοδαΜάρκετινγκ[],,1),0),MATCH(ΔιακυμάνσειςΕξόδωνΜάρκετινγκ[[#Headers],[Μάρ]],ΠρογραμματισμέναΈξοδαΜάρκετινγκ[#Headers],0))-INDEX(ΠραγματικάΈξοδαΜάρκετινγκ[],MATCH(INDEX(ΔιακυμάνσειςΕξόδωνΜάρκετινγκ[],ROW()-ROW(ΔιακυμάνσειςΕξόδωνΜάρκετινγκ[[#Headers],[Μάρ]]),1),INDEX(ΠρογραμματισμέναΈξοδαΜάρκετινγκ[],,1),0),MATCH(ΔιακυμάνσειςΕξόδωνΜάρκετινγκ[[#Headers],[Μάρ]],ΠραγματικάΈξοδαΜάρκετινγκ[#Headers],0))</f>
        <v>0</v>
      </c>
      <c r="F22" s="97">
        <f>INDEX(ΠρογραμματισμέναΈξοδαΜάρκετινγκ[],MATCH(INDEX(ΔιακυμάνσειςΕξόδωνΜάρκετινγκ[],ROW()-ROW(ΔιακυμάνσειςΕξόδωνΜάρκετινγκ[[#Headers],[Απρ]]),1),INDEX(ΠρογραμματισμέναΈξοδαΜάρκετινγκ[],,1),0),MATCH(ΔιακυμάνσειςΕξόδωνΜάρκετινγκ[[#Headers],[Απρ]],ΠρογραμματισμέναΈξοδαΜάρκετινγκ[#Headers],0))-INDEX(ΠραγματικάΈξοδαΜάρκετινγκ[],MATCH(INDEX(ΔιακυμάνσειςΕξόδωνΜάρκετινγκ[],ROW()-ROW(ΔιακυμάνσειςΕξόδωνΜάρκετινγκ[[#Headers],[Απρ]]),1),INDEX(ΠρογραμματισμέναΈξοδαΜάρκετινγκ[],,1),0),MATCH(ΔιακυμάνσειςΕξόδωνΜάρκετινγκ[[#Headers],[Απρ]],ΠραγματικάΈξοδαΜάρκετινγκ[#Headers],0))</f>
        <v>0</v>
      </c>
      <c r="G22" s="97">
        <f>INDEX(ΠρογραμματισμέναΈξοδαΜάρκετινγκ[],MATCH(INDEX(ΔιακυμάνσειςΕξόδωνΜάρκετινγκ[],ROW()-ROW(ΔιακυμάνσειςΕξόδωνΜάρκετινγκ[[#Headers],[Μάι]]),1),INDEX(ΠρογραμματισμέναΈξοδαΜάρκετινγκ[],,1),0),MATCH(ΔιακυμάνσειςΕξόδωνΜάρκετινγκ[[#Headers],[Μάι]],ΠρογραμματισμέναΈξοδαΜάρκετινγκ[#Headers],0))-INDEX(ΠραγματικάΈξοδαΜάρκετινγκ[],MATCH(INDEX(ΔιακυμάνσειςΕξόδωνΜάρκετινγκ[],ROW()-ROW(ΔιακυμάνσειςΕξόδωνΜάρκετινγκ[[#Headers],[Μάι]]),1),INDEX(ΠρογραμματισμέναΈξοδαΜάρκετινγκ[],,1),0),MATCH(ΔιακυμάνσειςΕξόδωνΜάρκετινγκ[[#Headers],[Μάι]],ΠραγματικάΈξοδαΜάρκετινγκ[#Headers],0))</f>
        <v>0</v>
      </c>
      <c r="H22" s="97">
        <f>INDEX(ΠρογραμματισμέναΈξοδαΜάρκετινγκ[],MATCH(INDEX(ΔιακυμάνσειςΕξόδωνΜάρκετινγκ[],ROW()-ROW(ΔιακυμάνσειςΕξόδωνΜάρκετινγκ[[#Headers],[Ιούν]]),1),INDEX(ΠρογραμματισμέναΈξοδαΜάρκετινγκ[],,1),0),MATCH(ΔιακυμάνσειςΕξόδωνΜάρκετινγκ[[#Headers],[Ιούν]],ΠρογραμματισμέναΈξοδαΜάρκετινγκ[#Headers],0))-INDEX(ΠραγματικάΈξοδαΜάρκετινγκ[],MATCH(INDEX(ΔιακυμάνσειςΕξόδωνΜάρκετινγκ[],ROW()-ROW(ΔιακυμάνσειςΕξόδωνΜάρκετινγκ[[#Headers],[Ιούν]]),1),INDEX(ΠρογραμματισμέναΈξοδαΜάρκετινγκ[],,1),0),MATCH(ΔιακυμάνσειςΕξόδωνΜάρκετινγκ[[#Headers],[Ιούν]],ΠραγματικάΈξοδαΜάρκετινγκ[#Headers],0))</f>
        <v>0</v>
      </c>
      <c r="I22" s="97">
        <f>INDEX(ΠρογραμματισμέναΈξοδαΜάρκετινγκ[],MATCH(INDEX(ΔιακυμάνσειςΕξόδωνΜάρκετινγκ[],ROW()-ROW(ΔιακυμάνσειςΕξόδωνΜάρκετινγκ[[#Headers],[Ιούλ]]),1),INDEX(ΠρογραμματισμέναΈξοδαΜάρκετινγκ[],,1),0),MATCH(ΔιακυμάνσειςΕξόδωνΜάρκετινγκ[[#Headers],[Ιούλ]],ΠρογραμματισμέναΈξοδαΜάρκετινγκ[#Headers],0))-INDEX(ΠραγματικάΈξοδαΜάρκετινγκ[],MATCH(INDEX(ΔιακυμάνσειςΕξόδωνΜάρκετινγκ[],ROW()-ROW(ΔιακυμάνσειςΕξόδωνΜάρκετινγκ[[#Headers],[Ιούλ]]),1),INDEX(ΠρογραμματισμέναΈξοδαΜάρκετινγκ[],,1),0),MATCH(ΔιακυμάνσειςΕξόδωνΜάρκετινγκ[[#Headers],[Ιούλ]],ΠραγματικάΈξοδαΜάρκετινγκ[#Headers],0))</f>
        <v>500</v>
      </c>
      <c r="J22" s="97">
        <f>INDEX(ΠρογραμματισμέναΈξοδαΜάρκετινγκ[],MATCH(INDEX(ΔιακυμάνσειςΕξόδωνΜάρκετινγκ[],ROW()-ROW(ΔιακυμάνσειςΕξόδωνΜάρκετινγκ[[#Headers],[Αύγ]]),1),INDEX(ΠρογραμματισμέναΈξοδαΜάρκετινγκ[],,1),0),MATCH(ΔιακυμάνσειςΕξόδωνΜάρκετινγκ[[#Headers],[Αύγ]],ΠρογραμματισμέναΈξοδαΜάρκετινγκ[#Headers],0))-INDEX(ΠραγματικάΈξοδαΜάρκετινγκ[],MATCH(INDEX(ΔιακυμάνσειςΕξόδωνΜάρκετινγκ[],ROW()-ROW(ΔιακυμάνσειςΕξόδωνΜάρκετινγκ[[#Headers],[Αύγ]]),1),INDEX(ΠρογραμματισμέναΈξοδαΜάρκετινγκ[],,1),0),MATCH(ΔιακυμάνσειςΕξόδωνΜάρκετινγκ[[#Headers],[Αύγ]],ΠραγματικάΈξοδαΜάρκετινγκ[#Headers],0))</f>
        <v>500</v>
      </c>
      <c r="K22" s="97">
        <f>INDEX(ΠρογραμματισμέναΈξοδαΜάρκετινγκ[],MATCH(INDEX(ΔιακυμάνσειςΕξόδωνΜάρκετινγκ[],ROW()-ROW(ΔιακυμάνσειςΕξόδωνΜάρκετινγκ[[#Headers],[Σεπ]]),1),INDEX(ΠρογραμματισμέναΈξοδαΜάρκετινγκ[],,1),0),MATCH(ΔιακυμάνσειςΕξόδωνΜάρκετινγκ[[#Headers],[Σεπ]],ΠρογραμματισμέναΈξοδαΜάρκετινγκ[#Headers],0))-INDEX(ΠραγματικάΈξοδαΜάρκετινγκ[],MATCH(INDEX(ΔιακυμάνσειςΕξόδωνΜάρκετινγκ[],ROW()-ROW(ΔιακυμάνσειςΕξόδωνΜάρκετινγκ[[#Headers],[Σεπ]]),1),INDEX(ΠρογραμματισμέναΈξοδαΜάρκετινγκ[],,1),0),MATCH(ΔιακυμάνσειςΕξόδωνΜάρκετινγκ[[#Headers],[Σεπ]],ΠραγματικάΈξοδαΜάρκετινγκ[#Headers],0))</f>
        <v>500</v>
      </c>
      <c r="L22" s="97">
        <f>INDEX(ΠρογραμματισμέναΈξοδαΜάρκετινγκ[],MATCH(INDEX(ΔιακυμάνσειςΕξόδωνΜάρκετινγκ[],ROW()-ROW(ΔιακυμάνσειςΕξόδωνΜάρκετινγκ[[#Headers],[Οκτ]]),1),INDEX(ΠρογραμματισμέναΈξοδαΜάρκετινγκ[],,1),0),MATCH(ΔιακυμάνσειςΕξόδωνΜάρκετινγκ[[#Headers],[Οκτ]],ΠρογραμματισμέναΈξοδαΜάρκετινγκ[#Headers],0))-INDEX(ΠραγματικάΈξοδαΜάρκετινγκ[],MATCH(INDEX(ΔιακυμάνσειςΕξόδωνΜάρκετινγκ[],ROW()-ROW(ΔιακυμάνσειςΕξόδωνΜάρκετινγκ[[#Headers],[Οκτ]]),1),INDEX(ΠρογραμματισμέναΈξοδαΜάρκετινγκ[],,1),0),MATCH(ΔιακυμάνσειςΕξόδωνΜάρκετινγκ[[#Headers],[Οκτ]],ΠραγματικάΈξοδαΜάρκετινγκ[#Headers],0))</f>
        <v>500</v>
      </c>
      <c r="M22" s="97">
        <f>INDEX(ΠρογραμματισμέναΈξοδαΜάρκετινγκ[],MATCH(INDEX(ΔιακυμάνσειςΕξόδωνΜάρκετινγκ[],ROW()-ROW(ΔιακυμάνσειςΕξόδωνΜάρκετινγκ[[#Headers],[Νοε]]),1),INDEX(ΠρογραμματισμέναΈξοδαΜάρκετινγκ[],,1),0),MATCH(ΔιακυμάνσειςΕξόδωνΜάρκετινγκ[[#Headers],[Νοε]],ΠρογραμματισμέναΈξοδαΜάρκετινγκ[#Headers],0))-INDEX(ΠραγματικάΈξοδαΜάρκετινγκ[],MATCH(INDEX(ΔιακυμάνσειςΕξόδωνΜάρκετινγκ[],ROW()-ROW(ΔιακυμάνσειςΕξόδωνΜάρκετινγκ[[#Headers],[Νοε]]),1),INDEX(ΠρογραμματισμέναΈξοδαΜάρκετινγκ[],,1),0),MATCH(ΔιακυμάνσειςΕξόδωνΜάρκετινγκ[[#Headers],[Νοε]],ΠραγματικάΈξοδαΜάρκετινγκ[#Headers],0))</f>
        <v>500</v>
      </c>
      <c r="N22" s="97">
        <f>INDEX(ΠρογραμματισμέναΈξοδαΜάρκετινγκ[],MATCH(INDEX(ΔιακυμάνσειςΕξόδωνΜάρκετινγκ[],ROW()-ROW(ΔιακυμάνσειςΕξόδωνΜάρκετινγκ[[#Headers],[Δεκ]]),1),INDEX(ΠρογραμματισμέναΈξοδαΜάρκετινγκ[],,1),0),MATCH(ΔιακυμάνσειςΕξόδωνΜάρκετινγκ[[#Headers],[Δεκ]],ΠρογραμματισμέναΈξοδαΜάρκετινγκ[#Headers],0))-INDEX(ΠραγματικάΈξοδαΜάρκετινγκ[],MATCH(INDEX(ΔιακυμάνσειςΕξόδωνΜάρκετινγκ[],ROW()-ROW(ΔιακυμάνσειςΕξόδωνΜάρκετινγκ[[#Headers],[Δεκ]]),1),INDEX(ΠρογραμματισμέναΈξοδαΜάρκετινγκ[],,1),0),MATCH(ΔιακυμάνσειςΕξόδωνΜάρκετινγκ[[#Headers],[Δεκ]],ΠραγματικάΈξοδαΜάρκετινγκ[#Headers],0))</f>
        <v>500</v>
      </c>
      <c r="O22" s="98">
        <f>SUM(ΔιακυμάνσειςΕξόδωνΜάρκετινγκ[[#This Row],[Ιαν]:[Δεκ]])</f>
        <v>3000</v>
      </c>
    </row>
    <row r="23" spans="1:15" ht="24.95" customHeight="1" thickBot="1" x14ac:dyDescent="0.35">
      <c r="A23" s="30"/>
      <c r="B23" s="54" t="s">
        <v>25</v>
      </c>
      <c r="C23" s="97">
        <f>INDEX(ΠρογραμματισμέναΈξοδαΜάρκετινγκ[],MATCH(INDEX(ΔιακυμάνσειςΕξόδωνΜάρκετινγκ[],ROW()-ROW(ΔιακυμάνσειςΕξόδωνΜάρκετινγκ[[#Headers],[Ιαν]]),1),INDEX(ΠρογραμματισμέναΈξοδαΜάρκετινγκ[],,1),0),MATCH(ΔιακυμάνσειςΕξόδωνΜάρκετινγκ[[#Headers],[Ιαν]],ΠρογραμματισμέναΈξοδαΜάρκετινγκ[#Headers],0))-INDEX(ΠραγματικάΈξοδαΜάρκετινγκ[],MATCH(INDEX(ΔιακυμάνσειςΕξόδωνΜάρκετινγκ[],ROW()-ROW(ΔιακυμάνσειςΕξόδωνΜάρκετινγκ[[#Headers],[Ιαν]]),1),INDEX(ΠρογραμματισμέναΈξοδαΜάρκετινγκ[],,1),0),MATCH(ΔιακυμάνσειςΕξόδωνΜάρκετινγκ[[#Headers],[Ιαν]],ΠραγματικάΈξοδαΜάρκετινγκ[#Headers],0))</f>
        <v>0</v>
      </c>
      <c r="D23" s="97">
        <f>INDEX(ΠρογραμματισμέναΈξοδαΜάρκετινγκ[],MATCH(INDEX(ΔιακυμάνσειςΕξόδωνΜάρκετινγκ[],ROW()-ROW(ΔιακυμάνσειςΕξόδωνΜάρκετινγκ[[#Headers],[Φεβ]]),1),INDEX(ΠρογραμματισμέναΈξοδαΜάρκετινγκ[],,1),0),MATCH(ΔιακυμάνσειςΕξόδωνΜάρκετινγκ[[#Headers],[Φεβ]],ΠρογραμματισμέναΈξοδαΜάρκετινγκ[#Headers],0))-INDEX(ΠραγματικάΈξοδαΜάρκετινγκ[],MATCH(INDEX(ΔιακυμάνσειςΕξόδωνΜάρκετινγκ[],ROW()-ROW(ΔιακυμάνσειςΕξόδωνΜάρκετινγκ[[#Headers],[Φεβ]]),1),INDEX(ΠρογραμματισμέναΈξοδαΜάρκετινγκ[],,1),0),MATCH(ΔιακυμάνσειςΕξόδωνΜάρκετινγκ[[#Headers],[Φεβ]],ΠραγματικάΈξοδαΜάρκετινγκ[#Headers],0))</f>
        <v>0</v>
      </c>
      <c r="E23" s="97">
        <f>INDEX(ΠρογραμματισμέναΈξοδαΜάρκετινγκ[],MATCH(INDEX(ΔιακυμάνσειςΕξόδωνΜάρκετινγκ[],ROW()-ROW(ΔιακυμάνσειςΕξόδωνΜάρκετινγκ[[#Headers],[Μάρ]]),1),INDEX(ΠρογραμματισμέναΈξοδαΜάρκετινγκ[],,1),0),MATCH(ΔιακυμάνσειςΕξόδωνΜάρκετινγκ[[#Headers],[Μάρ]],ΠρογραμματισμέναΈξοδαΜάρκετινγκ[#Headers],0))-INDEX(ΠραγματικάΈξοδαΜάρκετινγκ[],MATCH(INDEX(ΔιακυμάνσειςΕξόδωνΜάρκετινγκ[],ROW()-ROW(ΔιακυμάνσειςΕξόδωνΜάρκετινγκ[[#Headers],[Μάρ]]),1),INDEX(ΠρογραμματισμέναΈξοδαΜάρκετινγκ[],,1),0),MATCH(ΔιακυμάνσειςΕξόδωνΜάρκετινγκ[[#Headers],[Μάρ]],ΠραγματικάΈξοδαΜάρκετινγκ[#Headers],0))</f>
        <v>0</v>
      </c>
      <c r="F23" s="97">
        <f>INDEX(ΠρογραμματισμέναΈξοδαΜάρκετινγκ[],MATCH(INDEX(ΔιακυμάνσειςΕξόδωνΜάρκετινγκ[],ROW()-ROW(ΔιακυμάνσειςΕξόδωνΜάρκετινγκ[[#Headers],[Απρ]]),1),INDEX(ΠρογραμματισμέναΈξοδαΜάρκετινγκ[],,1),0),MATCH(ΔιακυμάνσειςΕξόδωνΜάρκετινγκ[[#Headers],[Απρ]],ΠρογραμματισμέναΈξοδαΜάρκετινγκ[#Headers],0))-INDEX(ΠραγματικάΈξοδαΜάρκετινγκ[],MATCH(INDEX(ΔιακυμάνσειςΕξόδωνΜάρκετινγκ[],ROW()-ROW(ΔιακυμάνσειςΕξόδωνΜάρκετινγκ[[#Headers],[Απρ]]),1),INDEX(ΠρογραμματισμέναΈξοδαΜάρκετινγκ[],,1),0),MATCH(ΔιακυμάνσειςΕξόδωνΜάρκετινγκ[[#Headers],[Απρ]],ΠραγματικάΈξοδαΜάρκετινγκ[#Headers],0))</f>
        <v>0</v>
      </c>
      <c r="G23" s="97">
        <f>INDEX(ΠρογραμματισμέναΈξοδαΜάρκετινγκ[],MATCH(INDEX(ΔιακυμάνσειςΕξόδωνΜάρκετινγκ[],ROW()-ROW(ΔιακυμάνσειςΕξόδωνΜάρκετινγκ[[#Headers],[Μάι]]),1),INDEX(ΠρογραμματισμέναΈξοδαΜάρκετινγκ[],,1),0),MATCH(ΔιακυμάνσειςΕξόδωνΜάρκετινγκ[[#Headers],[Μάι]],ΠρογραμματισμέναΈξοδαΜάρκετινγκ[#Headers],0))-INDEX(ΠραγματικάΈξοδαΜάρκετινγκ[],MATCH(INDEX(ΔιακυμάνσειςΕξόδωνΜάρκετινγκ[],ROW()-ROW(ΔιακυμάνσειςΕξόδωνΜάρκετινγκ[[#Headers],[Μάι]]),1),INDEX(ΠρογραμματισμέναΈξοδαΜάρκετινγκ[],,1),0),MATCH(ΔιακυμάνσειςΕξόδωνΜάρκετινγκ[[#Headers],[Μάι]],ΠραγματικάΈξοδαΜάρκετινγκ[#Headers],0))</f>
        <v>0</v>
      </c>
      <c r="H23" s="97">
        <f>INDEX(ΠρογραμματισμέναΈξοδαΜάρκετινγκ[],MATCH(INDEX(ΔιακυμάνσειςΕξόδωνΜάρκετινγκ[],ROW()-ROW(ΔιακυμάνσειςΕξόδωνΜάρκετινγκ[[#Headers],[Ιούν]]),1),INDEX(ΠρογραμματισμέναΈξοδαΜάρκετινγκ[],,1),0),MATCH(ΔιακυμάνσειςΕξόδωνΜάρκετινγκ[[#Headers],[Ιούν]],ΠρογραμματισμέναΈξοδαΜάρκετινγκ[#Headers],0))-INDEX(ΠραγματικάΈξοδαΜάρκετινγκ[],MATCH(INDEX(ΔιακυμάνσειςΕξόδωνΜάρκετινγκ[],ROW()-ROW(ΔιακυμάνσειςΕξόδωνΜάρκετινγκ[[#Headers],[Ιούν]]),1),INDEX(ΠρογραμματισμέναΈξοδαΜάρκετινγκ[],,1),0),MATCH(ΔιακυμάνσειςΕξόδωνΜάρκετινγκ[[#Headers],[Ιούν]],ΠραγματικάΈξοδαΜάρκετινγκ[#Headers],0))</f>
        <v>-500</v>
      </c>
      <c r="I23" s="97">
        <f>INDEX(ΠρογραμματισμέναΈξοδαΜάρκετινγκ[],MATCH(INDEX(ΔιακυμάνσειςΕξόδωνΜάρκετινγκ[],ROW()-ROW(ΔιακυμάνσειςΕξόδωνΜάρκετινγκ[[#Headers],[Ιούλ]]),1),INDEX(ΠρογραμματισμέναΈξοδαΜάρκετινγκ[],,1),0),MATCH(ΔιακυμάνσειςΕξόδωνΜάρκετινγκ[[#Headers],[Ιούλ]],ΠρογραμματισμέναΈξοδαΜάρκετινγκ[#Headers],0))-INDEX(ΠραγματικάΈξοδαΜάρκετινγκ[],MATCH(INDEX(ΔιακυμάνσειςΕξόδωνΜάρκετινγκ[],ROW()-ROW(ΔιακυμάνσειςΕξόδωνΜάρκετινγκ[[#Headers],[Ιούλ]]),1),INDEX(ΠρογραμματισμέναΈξοδαΜάρκετινγκ[],,1),0),MATCH(ΔιακυμάνσειςΕξόδωνΜάρκετινγκ[[#Headers],[Ιούλ]],ΠραγματικάΈξοδαΜάρκετινγκ[#Headers],0))</f>
        <v>200</v>
      </c>
      <c r="J23" s="97">
        <f>INDEX(ΠρογραμματισμέναΈξοδαΜάρκετινγκ[],MATCH(INDEX(ΔιακυμάνσειςΕξόδωνΜάρκετινγκ[],ROW()-ROW(ΔιακυμάνσειςΕξόδωνΜάρκετινγκ[[#Headers],[Αύγ]]),1),INDEX(ΠρογραμματισμέναΈξοδαΜάρκετινγκ[],,1),0),MATCH(ΔιακυμάνσειςΕξόδωνΜάρκετινγκ[[#Headers],[Αύγ]],ΠρογραμματισμέναΈξοδαΜάρκετινγκ[#Headers],0))-INDEX(ΠραγματικάΈξοδαΜάρκετινγκ[],MATCH(INDEX(ΔιακυμάνσειςΕξόδωνΜάρκετινγκ[],ROW()-ROW(ΔιακυμάνσειςΕξόδωνΜάρκετινγκ[[#Headers],[Αύγ]]),1),INDEX(ΠρογραμματισμέναΈξοδαΜάρκετινγκ[],,1),0),MATCH(ΔιακυμάνσειςΕξόδωνΜάρκετινγκ[[#Headers],[Αύγ]],ΠραγματικάΈξοδαΜάρκετινγκ[#Headers],0))</f>
        <v>200</v>
      </c>
      <c r="K23" s="97">
        <f>INDEX(ΠρογραμματισμέναΈξοδαΜάρκετινγκ[],MATCH(INDEX(ΔιακυμάνσειςΕξόδωνΜάρκετινγκ[],ROW()-ROW(ΔιακυμάνσειςΕξόδωνΜάρκετινγκ[[#Headers],[Σεπ]]),1),INDEX(ΠρογραμματισμέναΈξοδαΜάρκετινγκ[],,1),0),MATCH(ΔιακυμάνσειςΕξόδωνΜάρκετινγκ[[#Headers],[Σεπ]],ΠρογραμματισμέναΈξοδαΜάρκετινγκ[#Headers],0))-INDEX(ΠραγματικάΈξοδαΜάρκετινγκ[],MATCH(INDEX(ΔιακυμάνσειςΕξόδωνΜάρκετινγκ[],ROW()-ROW(ΔιακυμάνσειςΕξόδωνΜάρκετινγκ[[#Headers],[Σεπ]]),1),INDEX(ΠρογραμματισμέναΈξοδαΜάρκετινγκ[],,1),0),MATCH(ΔιακυμάνσειςΕξόδωνΜάρκετινγκ[[#Headers],[Σεπ]],ΠραγματικάΈξοδαΜάρκετινγκ[#Headers],0))</f>
        <v>200</v>
      </c>
      <c r="L23" s="97">
        <f>INDEX(ΠρογραμματισμέναΈξοδαΜάρκετινγκ[],MATCH(INDEX(ΔιακυμάνσειςΕξόδωνΜάρκετινγκ[],ROW()-ROW(ΔιακυμάνσειςΕξόδωνΜάρκετινγκ[[#Headers],[Οκτ]]),1),INDEX(ΠρογραμματισμέναΈξοδαΜάρκετινγκ[],,1),0),MATCH(ΔιακυμάνσειςΕξόδωνΜάρκετινγκ[[#Headers],[Οκτ]],ΠρογραμματισμέναΈξοδαΜάρκετινγκ[#Headers],0))-INDEX(ΠραγματικάΈξοδαΜάρκετινγκ[],MATCH(INDEX(ΔιακυμάνσειςΕξόδωνΜάρκετινγκ[],ROW()-ROW(ΔιακυμάνσειςΕξόδωνΜάρκετινγκ[[#Headers],[Οκτ]]),1),INDEX(ΠρογραμματισμέναΈξοδαΜάρκετινγκ[],,1),0),MATCH(ΔιακυμάνσειςΕξόδωνΜάρκετινγκ[[#Headers],[Οκτ]],ΠραγματικάΈξοδαΜάρκετινγκ[#Headers],0))</f>
        <v>200</v>
      </c>
      <c r="M23" s="97">
        <f>INDEX(ΠρογραμματισμέναΈξοδαΜάρκετινγκ[],MATCH(INDEX(ΔιακυμάνσειςΕξόδωνΜάρκετινγκ[],ROW()-ROW(ΔιακυμάνσειςΕξόδωνΜάρκετινγκ[[#Headers],[Νοε]]),1),INDEX(ΠρογραμματισμέναΈξοδαΜάρκετινγκ[],,1),0),MATCH(ΔιακυμάνσειςΕξόδωνΜάρκετινγκ[[#Headers],[Νοε]],ΠρογραμματισμέναΈξοδαΜάρκετινγκ[#Headers],0))-INDEX(ΠραγματικάΈξοδαΜάρκετινγκ[],MATCH(INDEX(ΔιακυμάνσειςΕξόδωνΜάρκετινγκ[],ROW()-ROW(ΔιακυμάνσειςΕξόδωνΜάρκετινγκ[[#Headers],[Νοε]]),1),INDEX(ΠρογραμματισμέναΈξοδαΜάρκετινγκ[],,1),0),MATCH(ΔιακυμάνσειςΕξόδωνΜάρκετινγκ[[#Headers],[Νοε]],ΠραγματικάΈξοδαΜάρκετινγκ[#Headers],0))</f>
        <v>200</v>
      </c>
      <c r="N23" s="97">
        <f>INDEX(ΠρογραμματισμέναΈξοδαΜάρκετινγκ[],MATCH(INDEX(ΔιακυμάνσειςΕξόδωνΜάρκετινγκ[],ROW()-ROW(ΔιακυμάνσειςΕξόδωνΜάρκετινγκ[[#Headers],[Δεκ]]),1),INDEX(ΠρογραμματισμέναΈξοδαΜάρκετινγκ[],,1),0),MATCH(ΔιακυμάνσειςΕξόδωνΜάρκετινγκ[[#Headers],[Δεκ]],ΠρογραμματισμέναΈξοδαΜάρκετινγκ[#Headers],0))-INDEX(ΠραγματικάΈξοδαΜάρκετινγκ[],MATCH(INDEX(ΔιακυμάνσειςΕξόδωνΜάρκετινγκ[],ROW()-ROW(ΔιακυμάνσειςΕξόδωνΜάρκετινγκ[[#Headers],[Δεκ]]),1),INDEX(ΠρογραμματισμέναΈξοδαΜάρκετινγκ[],,1),0),MATCH(ΔιακυμάνσειςΕξόδωνΜάρκετινγκ[[#Headers],[Δεκ]],ΠραγματικάΈξοδαΜάρκετινγκ[#Headers],0))</f>
        <v>1000</v>
      </c>
      <c r="O23" s="98">
        <f>SUM(ΔιακυμάνσειςΕξόδωνΜάρκετινγκ[[#This Row],[Ιαν]:[Δεκ]])</f>
        <v>1500</v>
      </c>
    </row>
    <row r="24" spans="1:15" ht="24.95" customHeight="1" thickBot="1" x14ac:dyDescent="0.35">
      <c r="A24" s="30"/>
      <c r="B24" s="54" t="s">
        <v>26</v>
      </c>
      <c r="C24" s="97">
        <f>INDEX(ΠρογραμματισμέναΈξοδαΜάρκετινγκ[],MATCH(INDEX(ΔιακυμάνσειςΕξόδωνΜάρκετινγκ[],ROW()-ROW(ΔιακυμάνσειςΕξόδωνΜάρκετινγκ[[#Headers],[Ιαν]]),1),INDEX(ΠρογραμματισμέναΈξοδαΜάρκετινγκ[],,1),0),MATCH(ΔιακυμάνσειςΕξόδωνΜάρκετινγκ[[#Headers],[Ιαν]],ΠρογραμματισμέναΈξοδαΜάρκετινγκ[#Headers],0))-INDEX(ΠραγματικάΈξοδαΜάρκετινγκ[],MATCH(INDEX(ΔιακυμάνσειςΕξόδωνΜάρκετινγκ[],ROW()-ROW(ΔιακυμάνσειςΕξόδωνΜάρκετινγκ[[#Headers],[Ιαν]]),1),INDEX(ΠρογραμματισμέναΈξοδαΜάρκετινγκ[],,1),0),MATCH(ΔιακυμάνσειςΕξόδωνΜάρκετινγκ[[#Headers],[Ιαν]],ΠραγματικάΈξοδαΜάρκετινγκ[#Headers],0))</f>
        <v>200</v>
      </c>
      <c r="D24" s="97">
        <f>INDEX(ΠρογραμματισμέναΈξοδαΜάρκετινγκ[],MATCH(INDEX(ΔιακυμάνσειςΕξόδωνΜάρκετινγκ[],ROW()-ROW(ΔιακυμάνσειςΕξόδωνΜάρκετινγκ[[#Headers],[Φεβ]]),1),INDEX(ΠρογραμματισμέναΈξοδαΜάρκετινγκ[],,1),0),MATCH(ΔιακυμάνσειςΕξόδωνΜάρκετινγκ[[#Headers],[Φεβ]],ΠρογραμματισμέναΈξοδαΜάρκετινγκ[#Headers],0))-INDEX(ΠραγματικάΈξοδαΜάρκετινγκ[],MATCH(INDEX(ΔιακυμάνσειςΕξόδωνΜάρκετινγκ[],ROW()-ROW(ΔιακυμάνσειςΕξόδωνΜάρκετινγκ[[#Headers],[Φεβ]]),1),INDEX(ΠρογραμματισμέναΈξοδαΜάρκετινγκ[],,1),0),MATCH(ΔιακυμάνσειςΕξόδωνΜάρκετινγκ[[#Headers],[Φεβ]],ΠραγματικάΈξοδαΜάρκετινγκ[#Headers],0))</f>
        <v>0</v>
      </c>
      <c r="E24" s="97">
        <f>INDEX(ΠρογραμματισμέναΈξοδαΜάρκετινγκ[],MATCH(INDEX(ΔιακυμάνσειςΕξόδωνΜάρκετινγκ[],ROW()-ROW(ΔιακυμάνσειςΕξόδωνΜάρκετινγκ[[#Headers],[Μάρ]]),1),INDEX(ΠρογραμματισμέναΈξοδαΜάρκετινγκ[],,1),0),MATCH(ΔιακυμάνσειςΕξόδωνΜάρκετινγκ[[#Headers],[Μάρ]],ΠρογραμματισμέναΈξοδαΜάρκετινγκ[#Headers],0))-INDEX(ΠραγματικάΈξοδαΜάρκετινγκ[],MATCH(INDEX(ΔιακυμάνσειςΕξόδωνΜάρκετινγκ[],ROW()-ROW(ΔιακυμάνσειςΕξόδωνΜάρκετινγκ[[#Headers],[Μάρ]]),1),INDEX(ΠρογραμματισμέναΈξοδαΜάρκετινγκ[],,1),0),MATCH(ΔιακυμάνσειςΕξόδωνΜάρκετινγκ[[#Headers],[Μάρ]],ΠραγματικάΈξοδαΜάρκετινγκ[#Headers],0))</f>
        <v>0</v>
      </c>
      <c r="F24" s="97">
        <f>INDEX(ΠρογραμματισμέναΈξοδαΜάρκετινγκ[],MATCH(INDEX(ΔιακυμάνσειςΕξόδωνΜάρκετινγκ[],ROW()-ROW(ΔιακυμάνσειςΕξόδωνΜάρκετινγκ[[#Headers],[Απρ]]),1),INDEX(ΠρογραμματισμέναΈξοδαΜάρκετινγκ[],,1),0),MATCH(ΔιακυμάνσειςΕξόδωνΜάρκετινγκ[[#Headers],[Απρ]],ΠρογραμματισμέναΈξοδαΜάρκετινγκ[#Headers],0))-INDEX(ΠραγματικάΈξοδαΜάρκετινγκ[],MATCH(INDEX(ΔιακυμάνσειςΕξόδωνΜάρκετινγκ[],ROW()-ROW(ΔιακυμάνσειςΕξόδωνΜάρκετινγκ[[#Headers],[Απρ]]),1),INDEX(ΠρογραμματισμέναΈξοδαΜάρκετινγκ[],,1),0),MATCH(ΔιακυμάνσειςΕξόδωνΜάρκετινγκ[[#Headers],[Απρ]],ΠραγματικάΈξοδαΜάρκετινγκ[#Headers],0))</f>
        <v>-500</v>
      </c>
      <c r="G24" s="97">
        <f>INDEX(ΠρογραμματισμέναΈξοδαΜάρκετινγκ[],MATCH(INDEX(ΔιακυμάνσειςΕξόδωνΜάρκετινγκ[],ROW()-ROW(ΔιακυμάνσειςΕξόδωνΜάρκετινγκ[[#Headers],[Μάι]]),1),INDEX(ΠρογραμματισμέναΈξοδαΜάρκετινγκ[],,1),0),MATCH(ΔιακυμάνσειςΕξόδωνΜάρκετινγκ[[#Headers],[Μάι]],ΠρογραμματισμέναΈξοδαΜάρκετινγκ[#Headers],0))-INDEX(ΠραγματικάΈξοδαΜάρκετινγκ[],MATCH(INDEX(ΔιακυμάνσειςΕξόδωνΜάρκετινγκ[],ROW()-ROW(ΔιακυμάνσειςΕξόδωνΜάρκετινγκ[[#Headers],[Μάι]]),1),INDEX(ΠρογραμματισμέναΈξοδαΜάρκετινγκ[],,1),0),MATCH(ΔιακυμάνσειςΕξόδωνΜάρκετινγκ[[#Headers],[Μάι]],ΠραγματικάΈξοδαΜάρκετινγκ[#Headers],0))</f>
        <v>0</v>
      </c>
      <c r="H24" s="97">
        <f>INDEX(ΠρογραμματισμέναΈξοδαΜάρκετινγκ[],MATCH(INDEX(ΔιακυμάνσειςΕξόδωνΜάρκετινγκ[],ROW()-ROW(ΔιακυμάνσειςΕξόδωνΜάρκετινγκ[[#Headers],[Ιούν]]),1),INDEX(ΠρογραμματισμέναΈξοδαΜάρκετινγκ[],,1),0),MATCH(ΔιακυμάνσειςΕξόδωνΜάρκετινγκ[[#Headers],[Ιούν]],ΠρογραμματισμέναΈξοδαΜάρκετινγκ[#Headers],0))-INDEX(ΠραγματικάΈξοδαΜάρκετινγκ[],MATCH(INDEX(ΔιακυμάνσειςΕξόδωνΜάρκετινγκ[],ROW()-ROW(ΔιακυμάνσειςΕξόδωνΜάρκετινγκ[[#Headers],[Ιούν]]),1),INDEX(ΠρογραμματισμέναΈξοδαΜάρκετινγκ[],,1),0),MATCH(ΔιακυμάνσειςΕξόδωνΜάρκετινγκ[[#Headers],[Ιούν]],ΠραγματικάΈξοδαΜάρκετινγκ[#Headers],0))</f>
        <v>0</v>
      </c>
      <c r="I24" s="97">
        <f>INDEX(ΠρογραμματισμέναΈξοδαΜάρκετινγκ[],MATCH(INDEX(ΔιακυμάνσειςΕξόδωνΜάρκετινγκ[],ROW()-ROW(ΔιακυμάνσειςΕξόδωνΜάρκετινγκ[[#Headers],[Ιούλ]]),1),INDEX(ΠρογραμματισμέναΈξοδαΜάρκετινγκ[],,1),0),MATCH(ΔιακυμάνσειςΕξόδωνΜάρκετινγκ[[#Headers],[Ιούλ]],ΠρογραμματισμέναΈξοδαΜάρκετινγκ[#Headers],0))-INDEX(ΠραγματικάΈξοδαΜάρκετινγκ[],MATCH(INDEX(ΔιακυμάνσειςΕξόδωνΜάρκετινγκ[],ROW()-ROW(ΔιακυμάνσειςΕξόδωνΜάρκετινγκ[[#Headers],[Ιούλ]]),1),INDEX(ΠρογραμματισμέναΈξοδαΜάρκετινγκ[],,1),0),MATCH(ΔιακυμάνσειςΕξόδωνΜάρκετινγκ[[#Headers],[Ιούλ]],ΠραγματικάΈξοδαΜάρκετινγκ[#Headers],0))</f>
        <v>5000</v>
      </c>
      <c r="J24" s="97">
        <f>INDEX(ΠρογραμματισμέναΈξοδαΜάρκετινγκ[],MATCH(INDEX(ΔιακυμάνσειςΕξόδωνΜάρκετινγκ[],ROW()-ROW(ΔιακυμάνσειςΕξόδωνΜάρκετινγκ[[#Headers],[Αύγ]]),1),INDEX(ΠρογραμματισμέναΈξοδαΜάρκετινγκ[],,1),0),MATCH(ΔιακυμάνσειςΕξόδωνΜάρκετινγκ[[#Headers],[Αύγ]],ΠρογραμματισμέναΈξοδαΜάρκετινγκ[#Headers],0))-INDEX(ΠραγματικάΈξοδαΜάρκετινγκ[],MATCH(INDEX(ΔιακυμάνσειςΕξόδωνΜάρκετινγκ[],ROW()-ROW(ΔιακυμάνσειςΕξόδωνΜάρκετινγκ[[#Headers],[Αύγ]]),1),INDEX(ΠρογραμματισμέναΈξοδαΜάρκετινγκ[],,1),0),MATCH(ΔιακυμάνσειςΕξόδωνΜάρκετινγκ[[#Headers],[Αύγ]],ΠραγματικάΈξοδαΜάρκετινγκ[#Headers],0))</f>
        <v>0</v>
      </c>
      <c r="K24" s="97">
        <f>INDEX(ΠρογραμματισμέναΈξοδαΜάρκετινγκ[],MATCH(INDEX(ΔιακυμάνσειςΕξόδωνΜάρκετινγκ[],ROW()-ROW(ΔιακυμάνσειςΕξόδωνΜάρκετινγκ[[#Headers],[Σεπ]]),1),INDEX(ΠρογραμματισμέναΈξοδαΜάρκετινγκ[],,1),0),MATCH(ΔιακυμάνσειςΕξόδωνΜάρκετινγκ[[#Headers],[Σεπ]],ΠρογραμματισμέναΈξοδαΜάρκετινγκ[#Headers],0))-INDEX(ΠραγματικάΈξοδαΜάρκετινγκ[],MATCH(INDEX(ΔιακυμάνσειςΕξόδωνΜάρκετινγκ[],ROW()-ROW(ΔιακυμάνσειςΕξόδωνΜάρκετινγκ[[#Headers],[Σεπ]]),1),INDEX(ΠρογραμματισμέναΈξοδαΜάρκετινγκ[],,1),0),MATCH(ΔιακυμάνσειςΕξόδωνΜάρκετινγκ[[#Headers],[Σεπ]],ΠραγματικάΈξοδαΜάρκετινγκ[#Headers],0))</f>
        <v>0</v>
      </c>
      <c r="L24" s="97">
        <f>INDEX(ΠρογραμματισμέναΈξοδαΜάρκετινγκ[],MATCH(INDEX(ΔιακυμάνσειςΕξόδωνΜάρκετινγκ[],ROW()-ROW(ΔιακυμάνσειςΕξόδωνΜάρκετινγκ[[#Headers],[Οκτ]]),1),INDEX(ΠρογραμματισμέναΈξοδαΜάρκετινγκ[],,1),0),MATCH(ΔιακυμάνσειςΕξόδωνΜάρκετινγκ[[#Headers],[Οκτ]],ΠρογραμματισμέναΈξοδαΜάρκετινγκ[#Headers],0))-INDEX(ΠραγματικάΈξοδαΜάρκετινγκ[],MATCH(INDEX(ΔιακυμάνσειςΕξόδωνΜάρκετινγκ[],ROW()-ROW(ΔιακυμάνσειςΕξόδωνΜάρκετινγκ[[#Headers],[Οκτ]]),1),INDEX(ΠρογραμματισμέναΈξοδαΜάρκετινγκ[],,1),0),MATCH(ΔιακυμάνσειςΕξόδωνΜάρκετινγκ[[#Headers],[Οκτ]],ΠραγματικάΈξοδαΜάρκετινγκ[#Headers],0))</f>
        <v>5000</v>
      </c>
      <c r="M24" s="97">
        <f>INDEX(ΠρογραμματισμέναΈξοδαΜάρκετινγκ[],MATCH(INDEX(ΔιακυμάνσειςΕξόδωνΜάρκετινγκ[],ROW()-ROW(ΔιακυμάνσειςΕξόδωνΜάρκετινγκ[[#Headers],[Νοε]]),1),INDEX(ΠρογραμματισμέναΈξοδαΜάρκετινγκ[],,1),0),MATCH(ΔιακυμάνσειςΕξόδωνΜάρκετινγκ[[#Headers],[Νοε]],ΠρογραμματισμέναΈξοδαΜάρκετινγκ[#Headers],0))-INDEX(ΠραγματικάΈξοδαΜάρκετινγκ[],MATCH(INDEX(ΔιακυμάνσειςΕξόδωνΜάρκετινγκ[],ROW()-ROW(ΔιακυμάνσειςΕξόδωνΜάρκετινγκ[[#Headers],[Νοε]]),1),INDEX(ΠρογραμματισμέναΈξοδαΜάρκετινγκ[],,1),0),MATCH(ΔιακυμάνσειςΕξόδωνΜάρκετινγκ[[#Headers],[Νοε]],ΠραγματικάΈξοδαΜάρκετινγκ[#Headers],0))</f>
        <v>0</v>
      </c>
      <c r="N24" s="97">
        <f>INDEX(ΠρογραμματισμέναΈξοδαΜάρκετινγκ[],MATCH(INDEX(ΔιακυμάνσειςΕξόδωνΜάρκετινγκ[],ROW()-ROW(ΔιακυμάνσειςΕξόδωνΜάρκετινγκ[[#Headers],[Δεκ]]),1),INDEX(ΠρογραμματισμέναΈξοδαΜάρκετινγκ[],,1),0),MATCH(ΔιακυμάνσειςΕξόδωνΜάρκετινγκ[[#Headers],[Δεκ]],ΠρογραμματισμέναΈξοδαΜάρκετινγκ[#Headers],0))-INDEX(ΠραγματικάΈξοδαΜάρκετινγκ[],MATCH(INDEX(ΔιακυμάνσειςΕξόδωνΜάρκετινγκ[],ROW()-ROW(ΔιακυμάνσειςΕξόδωνΜάρκετινγκ[[#Headers],[Δεκ]]),1),INDEX(ΠρογραμματισμέναΈξοδαΜάρκετινγκ[],,1),0),MATCH(ΔιακυμάνσειςΕξόδωνΜάρκετινγκ[[#Headers],[Δεκ]],ΠραγματικάΈξοδαΜάρκετινγκ[#Headers],0))</f>
        <v>0</v>
      </c>
      <c r="O24" s="98">
        <f>SUM(ΔιακυμάνσειςΕξόδωνΜάρκετινγκ[[#This Row],[Ιαν]:[Δεκ]])</f>
        <v>9700</v>
      </c>
    </row>
    <row r="25" spans="1:15" ht="24.95" customHeight="1" thickBot="1" x14ac:dyDescent="0.35">
      <c r="A25" s="30"/>
      <c r="B25" s="54" t="s">
        <v>27</v>
      </c>
      <c r="C25" s="97">
        <f>INDEX(ΠρογραμματισμέναΈξοδαΜάρκετινγκ[],MATCH(INDEX(ΔιακυμάνσειςΕξόδωνΜάρκετινγκ[],ROW()-ROW(ΔιακυμάνσειςΕξόδωνΜάρκετινγκ[[#Headers],[Ιαν]]),1),INDEX(ΠρογραμματισμέναΈξοδαΜάρκετινγκ[],,1),0),MATCH(ΔιακυμάνσειςΕξόδωνΜάρκετινγκ[[#Headers],[Ιαν]],ΠρογραμματισμέναΈξοδαΜάρκετινγκ[#Headers],0))-INDEX(ΠραγματικάΈξοδαΜάρκετινγκ[],MATCH(INDEX(ΔιακυμάνσειςΕξόδωνΜάρκετινγκ[],ROW()-ROW(ΔιακυμάνσειςΕξόδωνΜάρκετινγκ[[#Headers],[Ιαν]]),1),INDEX(ΠρογραμματισμέναΈξοδαΜάρκετινγκ[],,1),0),MATCH(ΔιακυμάνσειςΕξόδωνΜάρκετινγκ[[#Headers],[Ιαν]],ΠραγματικάΈξοδαΜάρκετινγκ[#Headers],0))</f>
        <v>100</v>
      </c>
      <c r="D25" s="97">
        <f>INDEX(ΠρογραμματισμέναΈξοδαΜάρκετινγκ[],MATCH(INDEX(ΔιακυμάνσειςΕξόδωνΜάρκετινγκ[],ROW()-ROW(ΔιακυμάνσειςΕξόδωνΜάρκετινγκ[[#Headers],[Φεβ]]),1),INDEX(ΠρογραμματισμέναΈξοδαΜάρκετινγκ[],,1),0),MATCH(ΔιακυμάνσειςΕξόδωνΜάρκετινγκ[[#Headers],[Φεβ]],ΠρογραμματισμέναΈξοδαΜάρκετινγκ[#Headers],0))-INDEX(ΠραγματικάΈξοδαΜάρκετινγκ[],MATCH(INDEX(ΔιακυμάνσειςΕξόδωνΜάρκετινγκ[],ROW()-ROW(ΔιακυμάνσειςΕξόδωνΜάρκετινγκ[[#Headers],[Φεβ]]),1),INDEX(ΠρογραμματισμέναΈξοδαΜάρκετινγκ[],,1),0),MATCH(ΔιακυμάνσειςΕξόδωνΜάρκετινγκ[[#Headers],[Φεβ]],ΠραγματικάΈξοδαΜάρκετινγκ[#Headers],0))</f>
        <v>-300</v>
      </c>
      <c r="E25" s="97">
        <f>INDEX(ΠρογραμματισμέναΈξοδαΜάρκετινγκ[],MATCH(INDEX(ΔιακυμάνσειςΕξόδωνΜάρκετινγκ[],ROW()-ROW(ΔιακυμάνσειςΕξόδωνΜάρκετινγκ[[#Headers],[Μάρ]]),1),INDEX(ΠρογραμματισμέναΈξοδαΜάρκετινγκ[],,1),0),MATCH(ΔιακυμάνσειςΕξόδωνΜάρκετινγκ[[#Headers],[Μάρ]],ΠρογραμματισμέναΈξοδαΜάρκετινγκ[#Headers],0))-INDEX(ΠραγματικάΈξοδαΜάρκετινγκ[],MATCH(INDEX(ΔιακυμάνσειςΕξόδωνΜάρκετινγκ[],ROW()-ROW(ΔιακυμάνσειςΕξόδωνΜάρκετινγκ[[#Headers],[Μάρ]]),1),INDEX(ΠρογραμματισμέναΈξοδαΜάρκετινγκ[],,1),0),MATCH(ΔιακυμάνσειςΕξόδωνΜάρκετινγκ[[#Headers],[Μάρ]],ΠραγματικάΈξοδαΜάρκετινγκ[#Headers],0))</f>
        <v>100</v>
      </c>
      <c r="F25" s="97">
        <f>INDEX(ΠρογραμματισμέναΈξοδαΜάρκετινγκ[],MATCH(INDEX(ΔιακυμάνσειςΕξόδωνΜάρκετινγκ[],ROW()-ROW(ΔιακυμάνσειςΕξόδωνΜάρκετινγκ[[#Headers],[Απρ]]),1),INDEX(ΠρογραμματισμέναΈξοδαΜάρκετινγκ[],,1),0),MATCH(ΔιακυμάνσειςΕξόδωνΜάρκετινγκ[[#Headers],[Απρ]],ΠρογραμματισμέναΈξοδαΜάρκετινγκ[#Headers],0))-INDEX(ΠραγματικάΈξοδαΜάρκετινγκ[],MATCH(INDEX(ΔιακυμάνσειςΕξόδωνΜάρκετινγκ[],ROW()-ROW(ΔιακυμάνσειςΕξόδωνΜάρκετινγκ[[#Headers],[Απρ]]),1),INDEX(ΠρογραμματισμέναΈξοδαΜάρκετινγκ[],,1),0),MATCH(ΔιακυμάνσειςΕξόδωνΜάρκετινγκ[[#Headers],[Απρ]],ΠραγματικάΈξοδαΜάρκετινγκ[#Headers],0))</f>
        <v>100</v>
      </c>
      <c r="G25" s="97">
        <f>INDEX(ΠρογραμματισμέναΈξοδαΜάρκετινγκ[],MATCH(INDEX(ΔιακυμάνσειςΕξόδωνΜάρκετινγκ[],ROW()-ROW(ΔιακυμάνσειςΕξόδωνΜάρκετινγκ[[#Headers],[Μάι]]),1),INDEX(ΠρογραμματισμέναΈξοδαΜάρκετινγκ[],,1),0),MATCH(ΔιακυμάνσειςΕξόδωνΜάρκετινγκ[[#Headers],[Μάι]],ΠρογραμματισμέναΈξοδαΜάρκετινγκ[#Headers],0))-INDEX(ΠραγματικάΈξοδαΜάρκετινγκ[],MATCH(INDEX(ΔιακυμάνσειςΕξόδωνΜάρκετινγκ[],ROW()-ROW(ΔιακυμάνσειςΕξόδωνΜάρκετινγκ[[#Headers],[Μάι]]),1),INDEX(ΠρογραμματισμέναΈξοδαΜάρκετινγκ[],,1),0),MATCH(ΔιακυμάνσειςΕξόδωνΜάρκετινγκ[[#Headers],[Μάι]],ΠραγματικάΈξοδαΜάρκετινγκ[#Headers],0))</f>
        <v>-400</v>
      </c>
      <c r="H25" s="97">
        <f>INDEX(ΠρογραμματισμέναΈξοδαΜάρκετινγκ[],MATCH(INDEX(ΔιακυμάνσειςΕξόδωνΜάρκετινγκ[],ROW()-ROW(ΔιακυμάνσειςΕξόδωνΜάρκετινγκ[[#Headers],[Ιούν]]),1),INDEX(ΠρογραμματισμέναΈξοδαΜάρκετινγκ[],,1),0),MATCH(ΔιακυμάνσειςΕξόδωνΜάρκετινγκ[[#Headers],[Ιούν]],ΠρογραμματισμέναΈξοδαΜάρκετινγκ[#Headers],0))-INDEX(ΠραγματικάΈξοδαΜάρκετινγκ[],MATCH(INDEX(ΔιακυμάνσειςΕξόδωνΜάρκετινγκ[],ROW()-ROW(ΔιακυμάνσειςΕξόδωνΜάρκετινγκ[[#Headers],[Ιούν]]),1),INDEX(ΠρογραμματισμέναΈξοδαΜάρκετινγκ[],,1),0),MATCH(ΔιακυμάνσειςΕξόδωνΜάρκετινγκ[[#Headers],[Ιούν]],ΠραγματικάΈξοδαΜάρκετινγκ[#Headers],0))</f>
        <v>20</v>
      </c>
      <c r="I25" s="97">
        <f>INDEX(ΠρογραμματισμέναΈξοδαΜάρκετινγκ[],MATCH(INDEX(ΔιακυμάνσειςΕξόδωνΜάρκετινγκ[],ROW()-ROW(ΔιακυμάνσειςΕξόδωνΜάρκετινγκ[[#Headers],[Ιούλ]]),1),INDEX(ΠρογραμματισμέναΈξοδαΜάρκετινγκ[],,1),0),MATCH(ΔιακυμάνσειςΕξόδωνΜάρκετινγκ[[#Headers],[Ιούλ]],ΠρογραμματισμέναΈξοδαΜάρκετινγκ[#Headers],0))-INDEX(ΠραγματικάΈξοδαΜάρκετινγκ[],MATCH(INDEX(ΔιακυμάνσειςΕξόδωνΜάρκετινγκ[],ROW()-ROW(ΔιακυμάνσειςΕξόδωνΜάρκετινγκ[[#Headers],[Ιούλ]]),1),INDEX(ΠρογραμματισμέναΈξοδαΜάρκετινγκ[],,1),0),MATCH(ΔιακυμάνσειςΕξόδωνΜάρκετινγκ[[#Headers],[Ιούλ]],ΠραγματικάΈξοδαΜάρκετινγκ[#Headers],0))</f>
        <v>200</v>
      </c>
      <c r="J25" s="97">
        <f>INDEX(ΠρογραμματισμέναΈξοδαΜάρκετινγκ[],MATCH(INDEX(ΔιακυμάνσειςΕξόδωνΜάρκετινγκ[],ROW()-ROW(ΔιακυμάνσειςΕξόδωνΜάρκετινγκ[[#Headers],[Αύγ]]),1),INDEX(ΠρογραμματισμέναΈξοδαΜάρκετινγκ[],,1),0),MATCH(ΔιακυμάνσειςΕξόδωνΜάρκετινγκ[[#Headers],[Αύγ]],ΠρογραμματισμέναΈξοδαΜάρκετινγκ[#Headers],0))-INDEX(ΠραγματικάΈξοδαΜάρκετινγκ[],MATCH(INDEX(ΔιακυμάνσειςΕξόδωνΜάρκετινγκ[],ROW()-ROW(ΔιακυμάνσειςΕξόδωνΜάρκετινγκ[[#Headers],[Αύγ]]),1),INDEX(ΠρογραμματισμέναΈξοδαΜάρκετινγκ[],,1),0),MATCH(ΔιακυμάνσειςΕξόδωνΜάρκετινγκ[[#Headers],[Αύγ]],ΠραγματικάΈξοδαΜάρκετινγκ[#Headers],0))</f>
        <v>200</v>
      </c>
      <c r="K25" s="97">
        <f>INDEX(ΠρογραμματισμέναΈξοδαΜάρκετινγκ[],MATCH(INDEX(ΔιακυμάνσειςΕξόδωνΜάρκετινγκ[],ROW()-ROW(ΔιακυμάνσειςΕξόδωνΜάρκετινγκ[[#Headers],[Σεπ]]),1),INDEX(ΠρογραμματισμέναΈξοδαΜάρκετινγκ[],,1),0),MATCH(ΔιακυμάνσειςΕξόδωνΜάρκετινγκ[[#Headers],[Σεπ]],ΠρογραμματισμέναΈξοδαΜάρκετινγκ[#Headers],0))-INDEX(ΠραγματικάΈξοδαΜάρκετινγκ[],MATCH(INDEX(ΔιακυμάνσειςΕξόδωνΜάρκετινγκ[],ROW()-ROW(ΔιακυμάνσειςΕξόδωνΜάρκετινγκ[[#Headers],[Σεπ]]),1),INDEX(ΠρογραμματισμέναΈξοδαΜάρκετινγκ[],,1),0),MATCH(ΔιακυμάνσειςΕξόδωνΜάρκετινγκ[[#Headers],[Σεπ]],ΠραγματικάΈξοδαΜάρκετινγκ[#Headers],0))</f>
        <v>200</v>
      </c>
      <c r="L25" s="97">
        <f>INDEX(ΠρογραμματισμέναΈξοδαΜάρκετινγκ[],MATCH(INDEX(ΔιακυμάνσειςΕξόδωνΜάρκετινγκ[],ROW()-ROW(ΔιακυμάνσειςΕξόδωνΜάρκετινγκ[[#Headers],[Οκτ]]),1),INDEX(ΠρογραμματισμέναΈξοδαΜάρκετινγκ[],,1),0),MATCH(ΔιακυμάνσειςΕξόδωνΜάρκετινγκ[[#Headers],[Οκτ]],ΠρογραμματισμέναΈξοδαΜάρκετινγκ[#Headers],0))-INDEX(ΠραγματικάΈξοδαΜάρκετινγκ[],MATCH(INDEX(ΔιακυμάνσειςΕξόδωνΜάρκετινγκ[],ROW()-ROW(ΔιακυμάνσειςΕξόδωνΜάρκετινγκ[[#Headers],[Οκτ]]),1),INDEX(ΠρογραμματισμέναΈξοδαΜάρκετινγκ[],,1),0),MATCH(ΔιακυμάνσειςΕξόδωνΜάρκετινγκ[[#Headers],[Οκτ]],ΠραγματικάΈξοδαΜάρκετινγκ[#Headers],0))</f>
        <v>200</v>
      </c>
      <c r="M25" s="97">
        <f>INDEX(ΠρογραμματισμέναΈξοδαΜάρκετινγκ[],MATCH(INDEX(ΔιακυμάνσειςΕξόδωνΜάρκετινγκ[],ROW()-ROW(ΔιακυμάνσειςΕξόδωνΜάρκετινγκ[[#Headers],[Νοε]]),1),INDEX(ΠρογραμματισμέναΈξοδαΜάρκετινγκ[],,1),0),MATCH(ΔιακυμάνσειςΕξόδωνΜάρκετινγκ[[#Headers],[Νοε]],ΠρογραμματισμέναΈξοδαΜάρκετινγκ[#Headers],0))-INDEX(ΠραγματικάΈξοδαΜάρκετινγκ[],MATCH(INDEX(ΔιακυμάνσειςΕξόδωνΜάρκετινγκ[],ROW()-ROW(ΔιακυμάνσειςΕξόδωνΜάρκετινγκ[[#Headers],[Νοε]]),1),INDEX(ΠρογραμματισμέναΈξοδαΜάρκετινγκ[],,1),0),MATCH(ΔιακυμάνσειςΕξόδωνΜάρκετινγκ[[#Headers],[Νοε]],ΠραγματικάΈξοδαΜάρκετινγκ[#Headers],0))</f>
        <v>200</v>
      </c>
      <c r="N25" s="97">
        <f>INDEX(ΠρογραμματισμέναΈξοδαΜάρκετινγκ[],MATCH(INDEX(ΔιακυμάνσειςΕξόδωνΜάρκετινγκ[],ROW()-ROW(ΔιακυμάνσειςΕξόδωνΜάρκετινγκ[[#Headers],[Δεκ]]),1),INDEX(ΠρογραμματισμέναΈξοδαΜάρκετινγκ[],,1),0),MATCH(ΔιακυμάνσειςΕξόδωνΜάρκετινγκ[[#Headers],[Δεκ]],ΠρογραμματισμέναΈξοδαΜάρκετινγκ[#Headers],0))-INDEX(ΠραγματικάΈξοδαΜάρκετινγκ[],MATCH(INDEX(ΔιακυμάνσειςΕξόδωνΜάρκετινγκ[],ROW()-ROW(ΔιακυμάνσειςΕξόδωνΜάρκετινγκ[[#Headers],[Δεκ]]),1),INDEX(ΠρογραμματισμέναΈξοδαΜάρκετινγκ[],,1),0),MATCH(ΔιακυμάνσειςΕξόδωνΜάρκετινγκ[[#Headers],[Δεκ]],ΠραγματικάΈξοδαΜάρκετινγκ[#Headers],0))</f>
        <v>200</v>
      </c>
      <c r="O25" s="98">
        <f>SUM(ΔιακυμάνσειςΕξόδωνΜάρκετινγκ[[#This Row],[Ιαν]:[Δεκ]])</f>
        <v>820</v>
      </c>
    </row>
    <row r="26" spans="1:15" ht="24.95" customHeight="1" thickBot="1" x14ac:dyDescent="0.35">
      <c r="A26" s="30"/>
      <c r="B26" s="54" t="s">
        <v>28</v>
      </c>
      <c r="C26" s="97">
        <f>INDEX(ΠρογραμματισμέναΈξοδαΜάρκετινγκ[],MATCH(INDEX(ΔιακυμάνσειςΕξόδωνΜάρκετινγκ[],ROW()-ROW(ΔιακυμάνσειςΕξόδωνΜάρκετινγκ[[#Headers],[Ιαν]]),1),INDEX(ΠρογραμματισμέναΈξοδαΜάρκετινγκ[],,1),0),MATCH(ΔιακυμάνσειςΕξόδωνΜάρκετινγκ[[#Headers],[Ιαν]],ΠρογραμματισμέναΈξοδαΜάρκετινγκ[#Headers],0))-INDEX(ΠραγματικάΈξοδαΜάρκετινγκ[],MATCH(INDEX(ΔιακυμάνσειςΕξόδωνΜάρκετινγκ[],ROW()-ROW(ΔιακυμάνσειςΕξόδωνΜάρκετινγκ[[#Headers],[Ιαν]]),1),INDEX(ΠρογραμματισμέναΈξοδαΜάρκετινγκ[],,1),0),MATCH(ΔιακυμάνσειςΕξόδωνΜάρκετινγκ[[#Headers],[Ιαν]],ΠραγματικάΈξοδαΜάρκετινγκ[#Headers],0))</f>
        <v>200</v>
      </c>
      <c r="D26" s="97">
        <f>INDEX(ΠρογραμματισμέναΈξοδαΜάρκετινγκ[],MATCH(INDEX(ΔιακυμάνσειςΕξόδωνΜάρκετινγκ[],ROW()-ROW(ΔιακυμάνσειςΕξόδωνΜάρκετινγκ[[#Headers],[Φεβ]]),1),INDEX(ΠρογραμματισμέναΈξοδαΜάρκετινγκ[],,1),0),MATCH(ΔιακυμάνσειςΕξόδωνΜάρκετινγκ[[#Headers],[Φεβ]],ΠρογραμματισμέναΈξοδαΜάρκετινγκ[#Headers],0))-INDEX(ΠραγματικάΈξοδαΜάρκετινγκ[],MATCH(INDEX(ΔιακυμάνσειςΕξόδωνΜάρκετινγκ[],ROW()-ROW(ΔιακυμάνσειςΕξόδωνΜάρκετινγκ[[#Headers],[Φεβ]]),1),INDEX(ΠρογραμματισμέναΈξοδαΜάρκετινγκ[],,1),0),MATCH(ΔιακυμάνσειςΕξόδωνΜάρκετινγκ[[#Headers],[Φεβ]],ΠραγματικάΈξοδαΜάρκετινγκ[#Headers],0))</f>
        <v>-200</v>
      </c>
      <c r="E26" s="97">
        <f>INDEX(ΠρογραμματισμέναΈξοδαΜάρκετινγκ[],MATCH(INDEX(ΔιακυμάνσειςΕξόδωνΜάρκετινγκ[],ROW()-ROW(ΔιακυμάνσειςΕξόδωνΜάρκετινγκ[[#Headers],[Μάρ]]),1),INDEX(ΠρογραμματισμέναΈξοδαΜάρκετινγκ[],,1),0),MATCH(ΔιακυμάνσειςΕξόδωνΜάρκετινγκ[[#Headers],[Μάρ]],ΠρογραμματισμέναΈξοδαΜάρκετινγκ[#Headers],0))-INDEX(ΠραγματικάΈξοδαΜάρκετινγκ[],MATCH(INDEX(ΔιακυμάνσειςΕξόδωνΜάρκετινγκ[],ROW()-ROW(ΔιακυμάνσειςΕξόδωνΜάρκετινγκ[[#Headers],[Μάρ]]),1),INDEX(ΠρογραμματισμέναΈξοδαΜάρκετινγκ[],,1),0),MATCH(ΔιακυμάνσειςΕξόδωνΜάρκετινγκ[[#Headers],[Μάρ]],ΠραγματικάΈξοδαΜάρκετινγκ[#Headers],0))</f>
        <v>-200</v>
      </c>
      <c r="F26" s="97">
        <f>INDEX(ΠρογραμματισμέναΈξοδαΜάρκετινγκ[],MATCH(INDEX(ΔιακυμάνσειςΕξόδωνΜάρκετινγκ[],ROW()-ROW(ΔιακυμάνσειςΕξόδωνΜάρκετινγκ[[#Headers],[Απρ]]),1),INDEX(ΠρογραμματισμέναΈξοδαΜάρκετινγκ[],,1),0),MATCH(ΔιακυμάνσειςΕξόδωνΜάρκετινγκ[[#Headers],[Απρ]],ΠρογραμματισμέναΈξοδαΜάρκετινγκ[#Headers],0))-INDEX(ΠραγματικάΈξοδαΜάρκετινγκ[],MATCH(INDEX(ΔιακυμάνσειςΕξόδωνΜάρκετινγκ[],ROW()-ROW(ΔιακυμάνσειςΕξόδωνΜάρκετινγκ[[#Headers],[Απρ]]),1),INDEX(ΠρογραμματισμέναΈξοδαΜάρκετινγκ[],,1),0),MATCH(ΔιακυμάνσειςΕξόδωνΜάρκετινγκ[[#Headers],[Απρ]],ΠραγματικάΈξοδαΜάρκετινγκ[#Headers],0))</f>
        <v>300</v>
      </c>
      <c r="G26" s="97">
        <f>INDEX(ΠρογραμματισμέναΈξοδαΜάρκετινγκ[],MATCH(INDEX(ΔιακυμάνσειςΕξόδωνΜάρκετινγκ[],ROW()-ROW(ΔιακυμάνσειςΕξόδωνΜάρκετινγκ[[#Headers],[Μάι]]),1),INDEX(ΠρογραμματισμέναΈξοδαΜάρκετινγκ[],,1),0),MATCH(ΔιακυμάνσειςΕξόδωνΜάρκετινγκ[[#Headers],[Μάι]],ΠρογραμματισμέναΈξοδαΜάρκετινγκ[#Headers],0))-INDEX(ΠραγματικάΈξοδαΜάρκετινγκ[],MATCH(INDEX(ΔιακυμάνσειςΕξόδωνΜάρκετινγκ[],ROW()-ROW(ΔιακυμάνσειςΕξόδωνΜάρκετινγκ[[#Headers],[Μάι]]),1),INDEX(ΠρογραμματισμέναΈξοδαΜάρκετινγκ[],,1),0),MATCH(ΔιακυμάνσειςΕξόδωνΜάρκετινγκ[[#Headers],[Μάι]],ΠραγματικάΈξοδαΜάρκετινγκ[#Headers],0))</f>
        <v>500</v>
      </c>
      <c r="H26" s="97">
        <f>INDEX(ΠρογραμματισμέναΈξοδαΜάρκετινγκ[],MATCH(INDEX(ΔιακυμάνσειςΕξόδωνΜάρκετινγκ[],ROW()-ROW(ΔιακυμάνσειςΕξόδωνΜάρκετινγκ[[#Headers],[Ιούν]]),1),INDEX(ΠρογραμματισμέναΈξοδαΜάρκετινγκ[],,1),0),MATCH(ΔιακυμάνσειςΕξόδωνΜάρκετινγκ[[#Headers],[Ιούν]],ΠρογραμματισμέναΈξοδαΜάρκετινγκ[#Headers],0))-INDEX(ΠραγματικάΈξοδαΜάρκετινγκ[],MATCH(INDEX(ΔιακυμάνσειςΕξόδωνΜάρκετινγκ[],ROW()-ROW(ΔιακυμάνσειςΕξόδωνΜάρκετινγκ[[#Headers],[Ιούν]]),1),INDEX(ΠρογραμματισμέναΈξοδαΜάρκετινγκ[],,1),0),MATCH(ΔιακυμάνσειςΕξόδωνΜάρκετινγκ[[#Headers],[Ιούν]],ΠραγματικάΈξοδαΜάρκετινγκ[#Headers],0))</f>
        <v>-300</v>
      </c>
      <c r="I26" s="97">
        <f>INDEX(ΠρογραμματισμέναΈξοδαΜάρκετινγκ[],MATCH(INDEX(ΔιακυμάνσειςΕξόδωνΜάρκετινγκ[],ROW()-ROW(ΔιακυμάνσειςΕξόδωνΜάρκετινγκ[[#Headers],[Ιούλ]]),1),INDEX(ΠρογραμματισμέναΈξοδαΜάρκετινγκ[],,1),0),MATCH(ΔιακυμάνσειςΕξόδωνΜάρκετινγκ[[#Headers],[Ιούλ]],ΠρογραμματισμέναΈξοδαΜάρκετινγκ[#Headers],0))-INDEX(ΠραγματικάΈξοδαΜάρκετινγκ[],MATCH(INDEX(ΔιακυμάνσειςΕξόδωνΜάρκετινγκ[],ROW()-ROW(ΔιακυμάνσειςΕξόδωνΜάρκετινγκ[[#Headers],[Ιούλ]]),1),INDEX(ΠρογραμματισμέναΈξοδαΜάρκετινγκ[],,1),0),MATCH(ΔιακυμάνσειςΕξόδωνΜάρκετινγκ[[#Headers],[Ιούλ]],ΠραγματικάΈξοδαΜάρκετινγκ[#Headers],0))</f>
        <v>2000</v>
      </c>
      <c r="J26" s="97">
        <f>INDEX(ΠρογραμματισμέναΈξοδαΜάρκετινγκ[],MATCH(INDEX(ΔιακυμάνσειςΕξόδωνΜάρκετινγκ[],ROW()-ROW(ΔιακυμάνσειςΕξόδωνΜάρκετινγκ[[#Headers],[Αύγ]]),1),INDEX(ΠρογραμματισμέναΈξοδαΜάρκετινγκ[],,1),0),MATCH(ΔιακυμάνσειςΕξόδωνΜάρκετινγκ[[#Headers],[Αύγ]],ΠρογραμματισμέναΈξοδαΜάρκετινγκ[#Headers],0))-INDEX(ΠραγματικάΈξοδαΜάρκετινγκ[],MATCH(INDEX(ΔιακυμάνσειςΕξόδωνΜάρκετινγκ[],ROW()-ROW(ΔιακυμάνσειςΕξόδωνΜάρκετινγκ[[#Headers],[Αύγ]]),1),INDEX(ΠρογραμματισμέναΈξοδαΜάρκετινγκ[],,1),0),MATCH(ΔιακυμάνσειςΕξόδωνΜάρκετινγκ[[#Headers],[Αύγ]],ΠραγματικάΈξοδαΜάρκετινγκ[#Headers],0))</f>
        <v>5000</v>
      </c>
      <c r="K26" s="97">
        <f>INDEX(ΠρογραμματισμέναΈξοδαΜάρκετινγκ[],MATCH(INDEX(ΔιακυμάνσειςΕξόδωνΜάρκετινγκ[],ROW()-ROW(ΔιακυμάνσειςΕξόδωνΜάρκετινγκ[[#Headers],[Σεπ]]),1),INDEX(ΠρογραμματισμέναΈξοδαΜάρκετινγκ[],,1),0),MATCH(ΔιακυμάνσειςΕξόδωνΜάρκετινγκ[[#Headers],[Σεπ]],ΠρογραμματισμέναΈξοδαΜάρκετινγκ[#Headers],0))-INDEX(ΠραγματικάΈξοδαΜάρκετινγκ[],MATCH(INDEX(ΔιακυμάνσειςΕξόδωνΜάρκετινγκ[],ROW()-ROW(ΔιακυμάνσειςΕξόδωνΜάρκετινγκ[[#Headers],[Σεπ]]),1),INDEX(ΠρογραμματισμέναΈξοδαΜάρκετινγκ[],,1),0),MATCH(ΔιακυμάνσειςΕξόδωνΜάρκετινγκ[[#Headers],[Σεπ]],ΠραγματικάΈξοδαΜάρκετινγκ[#Headers],0))</f>
        <v>2000</v>
      </c>
      <c r="L26" s="97">
        <f>INDEX(ΠρογραμματισμέναΈξοδαΜάρκετινγκ[],MATCH(INDEX(ΔιακυμάνσειςΕξόδωνΜάρκετινγκ[],ROW()-ROW(ΔιακυμάνσειςΕξόδωνΜάρκετινγκ[[#Headers],[Οκτ]]),1),INDEX(ΠρογραμματισμέναΈξοδαΜάρκετινγκ[],,1),0),MATCH(ΔιακυμάνσειςΕξόδωνΜάρκετινγκ[[#Headers],[Οκτ]],ΠρογραμματισμέναΈξοδαΜάρκετινγκ[#Headers],0))-INDEX(ΠραγματικάΈξοδαΜάρκετινγκ[],MATCH(INDEX(ΔιακυμάνσειςΕξόδωνΜάρκετινγκ[],ROW()-ROW(ΔιακυμάνσειςΕξόδωνΜάρκετινγκ[[#Headers],[Οκτ]]),1),INDEX(ΠρογραμματισμέναΈξοδαΜάρκετινγκ[],,1),0),MATCH(ΔιακυμάνσειςΕξόδωνΜάρκετινγκ[[#Headers],[Οκτ]],ΠραγματικάΈξοδαΜάρκετινγκ[#Headers],0))</f>
        <v>2000</v>
      </c>
      <c r="M26" s="97">
        <f>INDEX(ΠρογραμματισμέναΈξοδαΜάρκετινγκ[],MATCH(INDEX(ΔιακυμάνσειςΕξόδωνΜάρκετινγκ[],ROW()-ROW(ΔιακυμάνσειςΕξόδωνΜάρκετινγκ[[#Headers],[Νοε]]),1),INDEX(ΠρογραμματισμέναΈξοδαΜάρκετινγκ[],,1),0),MATCH(ΔιακυμάνσειςΕξόδωνΜάρκετινγκ[[#Headers],[Νοε]],ΠρογραμματισμέναΈξοδαΜάρκετινγκ[#Headers],0))-INDEX(ΠραγματικάΈξοδαΜάρκετινγκ[],MATCH(INDEX(ΔιακυμάνσειςΕξόδωνΜάρκετινγκ[],ROW()-ROW(ΔιακυμάνσειςΕξόδωνΜάρκετινγκ[[#Headers],[Νοε]]),1),INDEX(ΠρογραμματισμέναΈξοδαΜάρκετινγκ[],,1),0),MATCH(ΔιακυμάνσειςΕξόδωνΜάρκετινγκ[[#Headers],[Νοε]],ΠραγματικάΈξοδαΜάρκετινγκ[#Headers],0))</f>
        <v>2000</v>
      </c>
      <c r="N26" s="97">
        <f>INDEX(ΠρογραμματισμέναΈξοδαΜάρκετινγκ[],MATCH(INDEX(ΔιακυμάνσειςΕξόδωνΜάρκετινγκ[],ROW()-ROW(ΔιακυμάνσειςΕξόδωνΜάρκετινγκ[[#Headers],[Δεκ]]),1),INDEX(ΠρογραμματισμέναΈξοδαΜάρκετινγκ[],,1),0),MATCH(ΔιακυμάνσειςΕξόδωνΜάρκετινγκ[[#Headers],[Δεκ]],ΠρογραμματισμέναΈξοδαΜάρκετινγκ[#Headers],0))-INDEX(ΠραγματικάΈξοδαΜάρκετινγκ[],MATCH(INDEX(ΔιακυμάνσειςΕξόδωνΜάρκετινγκ[],ROW()-ROW(ΔιακυμάνσειςΕξόδωνΜάρκετινγκ[[#Headers],[Δεκ]]),1),INDEX(ΠρογραμματισμέναΈξοδαΜάρκετινγκ[],,1),0),MATCH(ΔιακυμάνσειςΕξόδωνΜάρκετινγκ[[#Headers],[Δεκ]],ΠραγματικάΈξοδαΜάρκετινγκ[#Headers],0))</f>
        <v>5000</v>
      </c>
      <c r="O26" s="98">
        <f>SUM(ΔιακυμάνσειςΕξόδωνΜάρκετινγκ[[#This Row],[Ιαν]:[Δεκ]])</f>
        <v>18300</v>
      </c>
    </row>
    <row r="27" spans="1:15" ht="24.95" customHeight="1" thickBot="1" x14ac:dyDescent="0.35">
      <c r="A27" s="30"/>
      <c r="B27" s="54" t="s">
        <v>29</v>
      </c>
      <c r="C27" s="97">
        <f>INDEX(ΠρογραμματισμέναΈξοδαΜάρκετινγκ[],MATCH(INDEX(ΔιακυμάνσειςΕξόδωνΜάρκετινγκ[],ROW()-ROW(ΔιακυμάνσειςΕξόδωνΜάρκετινγκ[[#Headers],[Ιαν]]),1),INDEX(ΠρογραμματισμέναΈξοδαΜάρκετινγκ[],,1),0),MATCH(ΔιακυμάνσειςΕξόδωνΜάρκετινγκ[[#Headers],[Ιαν]],ΠρογραμματισμέναΈξοδαΜάρκετινγκ[#Headers],0))-INDEX(ΠραγματικάΈξοδαΜάρκετινγκ[],MATCH(INDEX(ΔιακυμάνσειςΕξόδωνΜάρκετινγκ[],ROW()-ROW(ΔιακυμάνσειςΕξόδωνΜάρκετινγκ[[#Headers],[Ιαν]]),1),INDEX(ΠρογραμματισμέναΈξοδαΜάρκετινγκ[],,1),0),MATCH(ΔιακυμάνσειςΕξόδωνΜάρκετινγκ[[#Headers],[Ιαν]],ΠραγματικάΈξοδαΜάρκετινγκ[#Headers],0))</f>
        <v>55</v>
      </c>
      <c r="D27" s="97">
        <f>INDEX(ΠρογραμματισμέναΈξοδαΜάρκετινγκ[],MATCH(INDEX(ΔιακυμάνσειςΕξόδωνΜάρκετινγκ[],ROW()-ROW(ΔιακυμάνσειςΕξόδωνΜάρκετινγκ[[#Headers],[Φεβ]]),1),INDEX(ΠρογραμματισμέναΈξοδαΜάρκετινγκ[],,1),0),MATCH(ΔιακυμάνσειςΕξόδωνΜάρκετινγκ[[#Headers],[Φεβ]],ΠρογραμματισμέναΈξοδαΜάρκετινγκ[#Headers],0))-INDEX(ΠραγματικάΈξοδαΜάρκετινγκ[],MATCH(INDEX(ΔιακυμάνσειςΕξόδωνΜάρκετινγκ[],ROW()-ROW(ΔιακυμάνσειςΕξόδωνΜάρκετινγκ[[#Headers],[Φεβ]]),1),INDEX(ΠρογραμματισμέναΈξοδαΜάρκετινγκ[],,1),0),MATCH(ΔιακυμάνσειςΕξόδωνΜάρκετινγκ[[#Headers],[Φεβ]],ΠραγματικάΈξοδαΜάρκετινγκ[#Headers],0))</f>
        <v>44</v>
      </c>
      <c r="E27" s="97">
        <f>INDEX(ΠρογραμματισμέναΈξοδαΜάρκετινγκ[],MATCH(INDEX(ΔιακυμάνσειςΕξόδωνΜάρκετινγκ[],ROW()-ROW(ΔιακυμάνσειςΕξόδωνΜάρκετινγκ[[#Headers],[Μάρ]]),1),INDEX(ΠρογραμματισμέναΈξοδαΜάρκετινγκ[],,1),0),MATCH(ΔιακυμάνσειςΕξόδωνΜάρκετινγκ[[#Headers],[Μάρ]],ΠρογραμματισμέναΈξοδαΜάρκετινγκ[#Headers],0))-INDEX(ΠραγματικάΈξοδαΜάρκετινγκ[],MATCH(INDEX(ΔιακυμάνσειςΕξόδωνΜάρκετινγκ[],ROW()-ROW(ΔιακυμάνσειςΕξόδωνΜάρκετινγκ[[#Headers],[Μάρ]]),1),INDEX(ΠρογραμματισμέναΈξοδαΜάρκετινγκ[],,1),0),MATCH(ΔιακυμάνσειςΕξόδωνΜάρκετινγκ[[#Headers],[Μάρ]],ΠραγματικάΈξοδαΜάρκετινγκ[#Headers],0))</f>
        <v>77</v>
      </c>
      <c r="F27" s="97">
        <f>INDEX(ΠρογραμματισμέναΈξοδαΜάρκετινγκ[],MATCH(INDEX(ΔιακυμάνσειςΕξόδωνΜάρκετινγκ[],ROW()-ROW(ΔιακυμάνσειςΕξόδωνΜάρκετινγκ[[#Headers],[Απρ]]),1),INDEX(ΠρογραμματισμέναΈξοδαΜάρκετινγκ[],,1),0),MATCH(ΔιακυμάνσειςΕξόδωνΜάρκετινγκ[[#Headers],[Απρ]],ΠρογραμματισμέναΈξοδαΜάρκετινγκ[#Headers],0))-INDEX(ΠραγματικάΈξοδαΜάρκετινγκ[],MATCH(INDEX(ΔιακυμάνσειςΕξόδωνΜάρκετινγκ[],ROW()-ROW(ΔιακυμάνσειςΕξόδωνΜάρκετινγκ[[#Headers],[Απρ]]),1),INDEX(ΠρογραμματισμέναΈξοδαΜάρκετινγκ[],,1),0),MATCH(ΔιακυμάνσειςΕξόδωνΜάρκετινγκ[[#Headers],[Απρ]],ΠραγματικάΈξοδαΜάρκετινγκ[#Headers],0))</f>
        <v>-23</v>
      </c>
      <c r="G27" s="97">
        <f>INDEX(ΠρογραμματισμέναΈξοδαΜάρκετινγκ[],MATCH(INDEX(ΔιακυμάνσειςΕξόδωνΜάρκετινγκ[],ROW()-ROW(ΔιακυμάνσειςΕξόδωνΜάρκετινγκ[[#Headers],[Μάι]]),1),INDEX(ΠρογραμματισμέναΈξοδαΜάρκετινγκ[],,1),0),MATCH(ΔιακυμάνσειςΕξόδωνΜάρκετινγκ[[#Headers],[Μάι]],ΠρογραμματισμέναΈξοδαΜάρκετινγκ[#Headers],0))-INDEX(ΠραγματικάΈξοδαΜάρκετινγκ[],MATCH(INDEX(ΔιακυμάνσειςΕξόδωνΜάρκετινγκ[],ROW()-ROW(ΔιακυμάνσειςΕξόδωνΜάρκετινγκ[[#Headers],[Μάι]]),1),INDEX(ΠρογραμματισμέναΈξοδαΜάρκετινγκ[],,1),0),MATCH(ΔιακυμάνσειςΕξόδωνΜάρκετινγκ[[#Headers],[Μάι]],ΠραγματικάΈξοδαΜάρκετινγκ[#Headers],0))</f>
        <v>13</v>
      </c>
      <c r="H27" s="97">
        <f>INDEX(ΠρογραμματισμέναΈξοδαΜάρκετινγκ[],MATCH(INDEX(ΔιακυμάνσειςΕξόδωνΜάρκετινγκ[],ROW()-ROW(ΔιακυμάνσειςΕξόδωνΜάρκετινγκ[[#Headers],[Ιούν]]),1),INDEX(ΠρογραμματισμέναΈξοδαΜάρκετινγκ[],,1),0),MATCH(ΔιακυμάνσειςΕξόδωνΜάρκετινγκ[[#Headers],[Ιούν]],ΠρογραμματισμέναΈξοδαΜάρκετινγκ[#Headers],0))-INDEX(ΠραγματικάΈξοδαΜάρκετινγκ[],MATCH(INDEX(ΔιακυμάνσειςΕξόδωνΜάρκετινγκ[],ROW()-ROW(ΔιακυμάνσειςΕξόδωνΜάρκετινγκ[[#Headers],[Ιούν]]),1),INDEX(ΠρογραμματισμέναΈξοδαΜάρκετινγκ[],,1),0),MATCH(ΔιακυμάνσειςΕξόδωνΜάρκετινγκ[[#Headers],[Ιούν]],ΠραγματικάΈξοδαΜάρκετινγκ[#Headers],0))</f>
        <v>-45</v>
      </c>
      <c r="I27" s="97">
        <f>INDEX(ΠρογραμματισμέναΈξοδαΜάρκετινγκ[],MATCH(INDEX(ΔιακυμάνσειςΕξόδωνΜάρκετινγκ[],ROW()-ROW(ΔιακυμάνσειςΕξόδωνΜάρκετινγκ[[#Headers],[Ιούλ]]),1),INDEX(ΠρογραμματισμέναΈξοδαΜάρκετινγκ[],,1),0),MATCH(ΔιακυμάνσειςΕξόδωνΜάρκετινγκ[[#Headers],[Ιούλ]],ΠρογραμματισμέναΈξοδαΜάρκετινγκ[#Headers],0))-INDEX(ΠραγματικάΈξοδαΜάρκετινγκ[],MATCH(INDEX(ΔιακυμάνσειςΕξόδωνΜάρκετινγκ[],ROW()-ROW(ΔιακυμάνσειςΕξόδωνΜάρκετινγκ[[#Headers],[Ιούλ]]),1),INDEX(ΠρογραμματισμέναΈξοδαΜάρκετινγκ[],,1),0),MATCH(ΔιακυμάνσειςΕξόδωνΜάρκετινγκ[[#Headers],[Ιούλ]],ΠραγματικάΈξοδαΜάρκετινγκ[#Headers],0))</f>
        <v>200</v>
      </c>
      <c r="J27" s="97">
        <f>INDEX(ΠρογραμματισμέναΈξοδαΜάρκετινγκ[],MATCH(INDEX(ΔιακυμάνσειςΕξόδωνΜάρκετινγκ[],ROW()-ROW(ΔιακυμάνσειςΕξόδωνΜάρκετινγκ[[#Headers],[Αύγ]]),1),INDEX(ΠρογραμματισμέναΈξοδαΜάρκετινγκ[],,1),0),MATCH(ΔιακυμάνσειςΕξόδωνΜάρκετινγκ[[#Headers],[Αύγ]],ΠρογραμματισμέναΈξοδαΜάρκετινγκ[#Headers],0))-INDEX(ΠραγματικάΈξοδαΜάρκετινγκ[],MATCH(INDEX(ΔιακυμάνσειςΕξόδωνΜάρκετινγκ[],ROW()-ROW(ΔιακυμάνσειςΕξόδωνΜάρκετινγκ[[#Headers],[Αύγ]]),1),INDEX(ΠρογραμματισμέναΈξοδαΜάρκετινγκ[],,1),0),MATCH(ΔιακυμάνσειςΕξόδωνΜάρκετινγκ[[#Headers],[Αύγ]],ΠραγματικάΈξοδαΜάρκετινγκ[#Headers],0))</f>
        <v>200</v>
      </c>
      <c r="K27" s="97">
        <f>INDEX(ΠρογραμματισμέναΈξοδαΜάρκετινγκ[],MATCH(INDEX(ΔιακυμάνσειςΕξόδωνΜάρκετινγκ[],ROW()-ROW(ΔιακυμάνσειςΕξόδωνΜάρκετινγκ[[#Headers],[Σεπ]]),1),INDEX(ΠρογραμματισμέναΈξοδαΜάρκετινγκ[],,1),0),MATCH(ΔιακυμάνσειςΕξόδωνΜάρκετινγκ[[#Headers],[Σεπ]],ΠρογραμματισμέναΈξοδαΜάρκετινγκ[#Headers],0))-INDEX(ΠραγματικάΈξοδαΜάρκετινγκ[],MATCH(INDEX(ΔιακυμάνσειςΕξόδωνΜάρκετινγκ[],ROW()-ROW(ΔιακυμάνσειςΕξόδωνΜάρκετινγκ[[#Headers],[Σεπ]]),1),INDEX(ΠρογραμματισμέναΈξοδαΜάρκετινγκ[],,1),0),MATCH(ΔιακυμάνσειςΕξόδωνΜάρκετινγκ[[#Headers],[Σεπ]],ΠραγματικάΈξοδαΜάρκετινγκ[#Headers],0))</f>
        <v>200</v>
      </c>
      <c r="L27" s="97">
        <f>INDEX(ΠρογραμματισμέναΈξοδαΜάρκετινγκ[],MATCH(INDEX(ΔιακυμάνσειςΕξόδωνΜάρκετινγκ[],ROW()-ROW(ΔιακυμάνσειςΕξόδωνΜάρκετινγκ[[#Headers],[Οκτ]]),1),INDEX(ΠρογραμματισμέναΈξοδαΜάρκετινγκ[],,1),0),MATCH(ΔιακυμάνσειςΕξόδωνΜάρκετινγκ[[#Headers],[Οκτ]],ΠρογραμματισμέναΈξοδαΜάρκετινγκ[#Headers],0))-INDEX(ΠραγματικάΈξοδαΜάρκετινγκ[],MATCH(INDEX(ΔιακυμάνσειςΕξόδωνΜάρκετινγκ[],ROW()-ROW(ΔιακυμάνσειςΕξόδωνΜάρκετινγκ[[#Headers],[Οκτ]]),1),INDEX(ΠρογραμματισμέναΈξοδαΜάρκετινγκ[],,1),0),MATCH(ΔιακυμάνσειςΕξόδωνΜάρκετινγκ[[#Headers],[Οκτ]],ΠραγματικάΈξοδαΜάρκετινγκ[#Headers],0))</f>
        <v>200</v>
      </c>
      <c r="M27" s="97">
        <f>INDEX(ΠρογραμματισμέναΈξοδαΜάρκετινγκ[],MATCH(INDEX(ΔιακυμάνσειςΕξόδωνΜάρκετινγκ[],ROW()-ROW(ΔιακυμάνσειςΕξόδωνΜάρκετινγκ[[#Headers],[Νοε]]),1),INDEX(ΠρογραμματισμέναΈξοδαΜάρκετινγκ[],,1),0),MATCH(ΔιακυμάνσειςΕξόδωνΜάρκετινγκ[[#Headers],[Νοε]],ΠρογραμματισμέναΈξοδαΜάρκετινγκ[#Headers],0))-INDEX(ΠραγματικάΈξοδαΜάρκετινγκ[],MATCH(INDEX(ΔιακυμάνσειςΕξόδωνΜάρκετινγκ[],ROW()-ROW(ΔιακυμάνσειςΕξόδωνΜάρκετινγκ[[#Headers],[Νοε]]),1),INDEX(ΠρογραμματισμέναΈξοδαΜάρκετινγκ[],,1),0),MATCH(ΔιακυμάνσειςΕξόδωνΜάρκετινγκ[[#Headers],[Νοε]],ΠραγματικάΈξοδαΜάρκετινγκ[#Headers],0))</f>
        <v>200</v>
      </c>
      <c r="N27" s="97">
        <f>INDEX(ΠρογραμματισμέναΈξοδαΜάρκετινγκ[],MATCH(INDEX(ΔιακυμάνσειςΕξόδωνΜάρκετινγκ[],ROW()-ROW(ΔιακυμάνσειςΕξόδωνΜάρκετινγκ[[#Headers],[Δεκ]]),1),INDEX(ΠρογραμματισμέναΈξοδαΜάρκετινγκ[],,1),0),MATCH(ΔιακυμάνσειςΕξόδωνΜάρκετινγκ[[#Headers],[Δεκ]],ΠρογραμματισμέναΈξοδαΜάρκετινγκ[#Headers],0))-INDEX(ΠραγματικάΈξοδαΜάρκετινγκ[],MATCH(INDEX(ΔιακυμάνσειςΕξόδωνΜάρκετινγκ[],ROW()-ROW(ΔιακυμάνσειςΕξόδωνΜάρκετινγκ[[#Headers],[Δεκ]]),1),INDEX(ΠρογραμματισμέναΈξοδαΜάρκετινγκ[],,1),0),MATCH(ΔιακυμάνσειςΕξόδωνΜάρκετινγκ[[#Headers],[Δεκ]],ΠραγματικάΈξοδαΜάρκετινγκ[#Headers],0))</f>
        <v>200</v>
      </c>
      <c r="O27" s="98">
        <f>SUM(ΔιακυμάνσειςΕξόδωνΜάρκετινγκ[[#This Row],[Ιαν]:[Δεκ]])</f>
        <v>1321</v>
      </c>
    </row>
    <row r="28" spans="1:15" ht="24.95" customHeight="1" x14ac:dyDescent="0.3">
      <c r="A28" s="30"/>
      <c r="B28" s="62" t="s">
        <v>13</v>
      </c>
      <c r="C28" s="106">
        <f>SUBTOTAL(109,ΔιακυμάνσειςΕξόδωνΜάρκετινγκ[Ιαν])</f>
        <v>555</v>
      </c>
      <c r="D28" s="106">
        <f>SUBTOTAL(109,ΔιακυμάνσειςΕξόδωνΜάρκετινγκ[Φεβ])</f>
        <v>-456</v>
      </c>
      <c r="E28" s="106">
        <f>SUBTOTAL(109,ΔιακυμάνσειςΕξόδωνΜάρκετινγκ[Μάρ])</f>
        <v>-23</v>
      </c>
      <c r="F28" s="106">
        <f>SUBTOTAL(109,ΔιακυμάνσειςΕξόδωνΜάρκετινγκ[Απρ])</f>
        <v>-123</v>
      </c>
      <c r="G28" s="106">
        <f>SUBTOTAL(109,ΔιακυμάνσειςΕξόδωνΜάρκετινγκ[Μάι])</f>
        <v>113</v>
      </c>
      <c r="H28" s="106">
        <f>SUBTOTAL(109,ΔιακυμάνσειςΕξόδωνΜάρκετινγκ[Ιούν])</f>
        <v>-825</v>
      </c>
      <c r="I28" s="106">
        <f>SUBTOTAL(109,ΔιακυμάνσειςΕξόδωνΜάρκετινγκ[Ιούλ])</f>
        <v>8100</v>
      </c>
      <c r="J28" s="106">
        <f>SUBTOTAL(109,ΔιακυμάνσειςΕξόδωνΜάρκετινγκ[Αύγ])</f>
        <v>6100</v>
      </c>
      <c r="K28" s="106">
        <f>SUBTOTAL(109,ΔιακυμάνσειςΕξόδωνΜάρκετινγκ[Σεπ])</f>
        <v>3100</v>
      </c>
      <c r="L28" s="106">
        <f>SUBTOTAL(109,ΔιακυμάνσειςΕξόδωνΜάρκετινγκ[Οκτ])</f>
        <v>8100</v>
      </c>
      <c r="M28" s="106">
        <f>SUBTOTAL(109,ΔιακυμάνσειςΕξόδωνΜάρκετινγκ[Νοε])</f>
        <v>3100</v>
      </c>
      <c r="N28" s="106">
        <f>SUBTOTAL(109,ΔιακυμάνσειςΕξόδωνΜάρκετινγκ[Δεκ])</f>
        <v>6900</v>
      </c>
      <c r="O28" s="107">
        <f>SUBTOTAL(109,ΔιακυμάνσειςΕξόδωνΜάρκετινγκ[ΕΤΟΣ])</f>
        <v>34641</v>
      </c>
    </row>
    <row r="29" spans="1:15" ht="21" customHeight="1" x14ac:dyDescent="0.3">
      <c r="A29" s="30"/>
      <c r="B29" s="70"/>
      <c r="C29" s="70"/>
      <c r="D29" s="93"/>
      <c r="E29" s="93"/>
      <c r="F29" s="93"/>
      <c r="G29" s="93"/>
      <c r="H29" s="93"/>
      <c r="I29" s="93"/>
      <c r="J29" s="93"/>
      <c r="K29" s="93"/>
      <c r="L29" s="93"/>
      <c r="M29" s="93"/>
      <c r="N29" s="93"/>
      <c r="O29" s="86"/>
    </row>
    <row r="30" spans="1:15" ht="24.95" customHeight="1" thickBot="1" x14ac:dyDescent="0.35">
      <c r="A30" s="30"/>
      <c r="B30" s="50" t="s">
        <v>30</v>
      </c>
      <c r="C30" s="94" t="s">
        <v>37</v>
      </c>
      <c r="D30" s="94" t="s">
        <v>39</v>
      </c>
      <c r="E30" s="94" t="s">
        <v>41</v>
      </c>
      <c r="F30" s="94" t="s">
        <v>43</v>
      </c>
      <c r="G30" s="94" t="s">
        <v>45</v>
      </c>
      <c r="H30" s="94" t="s">
        <v>47</v>
      </c>
      <c r="I30" s="94" t="s">
        <v>49</v>
      </c>
      <c r="J30" s="94" t="s">
        <v>51</v>
      </c>
      <c r="K30" s="94" t="s">
        <v>55</v>
      </c>
      <c r="L30" s="94" t="s">
        <v>57</v>
      </c>
      <c r="M30" s="94" t="s">
        <v>60</v>
      </c>
      <c r="N30" s="94" t="s">
        <v>62</v>
      </c>
      <c r="O30" s="95" t="s">
        <v>63</v>
      </c>
    </row>
    <row r="31" spans="1:15" ht="24.95" customHeight="1" thickBot="1" x14ac:dyDescent="0.35">
      <c r="A31" s="30"/>
      <c r="B31" s="54" t="s">
        <v>31</v>
      </c>
      <c r="C31"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Ιαν]]),1),INDEX(ΠρογραμματισμέναΈξοδαΕκπαίδευσηςΚαιΜετακινήσεων[],,1),0),MATCH(ΔιακυμάνσειςΕξόδωνΕκπαίδευσηςΚαιΜετακινήσεων[[#Headers],[Ιαν]],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Ιαν]]),1),INDEX(ΠρογραμματισμέναΈξοδαΕκπαίδευσηςΚαιΜετακινήσεων[],,1),0),MATCH(ΔιακυμάνσειςΕξόδωνΕκπαίδευσηςΚαιΜετακινήσεων[[#Headers],[Ιαν]],ΠραγματικάΈξοδαΕκπαίδευσηςΚαιΜετακινήσεων[#Headers],0))</f>
        <v>400</v>
      </c>
      <c r="D31"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Φεβ]]),1),INDEX(ΠρογραμματισμέναΈξοδαΕκπαίδευσηςΚαιΜετακινήσεων[],,1),0),MATCH(ΔιακυμάνσειςΕξόδωνΕκπαίδευσηςΚαιΜετακινήσεων[[#Headers],[Φεβ]],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Φεβ]]),1),INDEX(ΠρογραμματισμέναΈξοδαΕκπαίδευσηςΚαιΜετακινήσεων[],,1),0),MATCH(ΔιακυμάνσειςΕξόδωνΕκπαίδευσηςΚαιΜετακινήσεων[[#Headers],[Φεβ]],ΠραγματικάΈξοδαΕκπαίδευσηςΚαιΜετακινήσεων[#Headers],0))</f>
        <v>-400</v>
      </c>
      <c r="E31"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Μάρ]]),1),INDEX(ΠρογραμματισμέναΈξοδαΕκπαίδευσηςΚαιΜετακινήσεων[],,1),0),MATCH(ΔιακυμάνσειςΕξόδωνΕκπαίδευσηςΚαιΜετακινήσεων[[#Headers],[Μάρ]],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Μάρ]]),1),INDEX(ΠρογραμματισμέναΈξοδαΕκπαίδευσηςΚαιΜετακινήσεων[],,1),0),MATCH(ΔιακυμάνσειςΕξόδωνΕκπαίδευσηςΚαιΜετακινήσεων[[#Headers],[Μάρ]],ΠραγματικάΈξοδαΕκπαίδευσηςΚαιΜετακινήσεων[#Headers],0))</f>
        <v>600</v>
      </c>
      <c r="F31"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Απρ]]),1),INDEX(ΠρογραμματισμέναΈξοδαΕκπαίδευσηςΚαιΜετακινήσεων[],,1),0),MATCH(ΔιακυμάνσειςΕξόδωνΕκπαίδευσηςΚαιΜετακινήσεων[[#Headers],[Απρ]],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Απρ]]),1),INDEX(ΠρογραμματισμέναΈξοδαΕκπαίδευσηςΚαιΜετακινήσεων[],,1),0),MATCH(ΔιακυμάνσειςΕξόδωνΕκπαίδευσηςΚαιΜετακινήσεων[[#Headers],[Απρ]],ΠραγματικάΈξοδαΕκπαίδευσηςΚαιΜετακινήσεων[#Headers],0))</f>
        <v>400</v>
      </c>
      <c r="G31"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Μάι]]),1),INDEX(ΠρογραμματισμέναΈξοδαΕκπαίδευσηςΚαιΜετακινήσεων[],,1),0),MATCH(ΔιακυμάνσειςΕξόδωνΕκπαίδευσηςΚαιΜετακινήσεων[[#Headers],[Μάι]],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Μάι]]),1),INDEX(ΠρογραμματισμέναΈξοδαΕκπαίδευσηςΚαιΜετακινήσεων[],,1),0),MATCH(ΔιακυμάνσειςΕξόδωνΕκπαίδευσηςΚαιΜετακινήσεων[[#Headers],[Μάι]],ΠραγματικάΈξοδαΕκπαίδευσηςΚαιΜετακινήσεων[#Headers],0))</f>
        <v>800</v>
      </c>
      <c r="H31"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Ιούν]]),1),INDEX(ΠρογραμματισμέναΈξοδαΕκπαίδευσηςΚαιΜετακινήσεων[],,1),0),MATCH(ΔιακυμάνσειςΕξόδωνΕκπαίδευσηςΚαιΜετακινήσεων[[#Headers],[Ιούν]],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Ιούν]]),1),INDEX(ΠρογραμματισμέναΈξοδαΕκπαίδευσηςΚαιΜετακινήσεων[],,1),0),MATCH(ΔιακυμάνσειςΕξόδωνΕκπαίδευσηςΚαιΜετακινήσεων[[#Headers],[Ιούν]],ΠραγματικάΈξοδαΕκπαίδευσηςΚαιΜετακινήσεων[#Headers],0))</f>
        <v>-800</v>
      </c>
      <c r="I31"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Ιούλ]]),1),INDEX(ΠρογραμματισμέναΈξοδαΕκπαίδευσηςΚαιΜετακινήσεων[],,1),0),MATCH(ΔιακυμάνσειςΕξόδωνΕκπαίδευσηςΚαιΜετακινήσεων[[#Headers],[Ιούλ]],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Ιούλ]]),1),INDEX(ΠρογραμματισμέναΈξοδαΕκπαίδευσηςΚαιΜετακινήσεων[],,1),0),MATCH(ΔιακυμάνσειςΕξόδωνΕκπαίδευσηςΚαιΜετακινήσεων[[#Headers],[Ιούλ]],ΠραγματικάΈξοδαΕκπαίδευσηςΚαιΜετακινήσεων[#Headers],0))</f>
        <v>2000</v>
      </c>
      <c r="J31"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Αύγ]]),1),INDEX(ΠρογραμματισμέναΈξοδαΕκπαίδευσηςΚαιΜετακινήσεων[],,1),0),MATCH(ΔιακυμάνσειςΕξόδωνΕκπαίδευσηςΚαιΜετακινήσεων[[#Headers],[Αύγ]],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Αύγ]]),1),INDEX(ΠρογραμματισμέναΈξοδαΕκπαίδευσηςΚαιΜετακινήσεων[],,1),0),MATCH(ΔιακυμάνσειςΕξόδωνΕκπαίδευσηςΚαιΜετακινήσεων[[#Headers],[Αύγ]],ΠραγματικάΈξοδαΕκπαίδευσηςΚαιΜετακινήσεων[#Headers],0))</f>
        <v>2000</v>
      </c>
      <c r="K31"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Σεπ]]),1),INDEX(ΠρογραμματισμέναΈξοδαΕκπαίδευσηςΚαιΜετακινήσεων[],,1),0),MATCH(ΔιακυμάνσειςΕξόδωνΕκπαίδευσηςΚαιΜετακινήσεων[[#Headers],[Σεπ]],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Σεπ]]),1),INDEX(ΠρογραμματισμέναΈξοδαΕκπαίδευσηςΚαιΜετακινήσεων[],,1),0),MATCH(ΔιακυμάνσειςΕξόδωνΕκπαίδευσηςΚαιΜετακινήσεων[[#Headers],[Σεπ]],ΠραγματικάΈξοδαΕκπαίδευσηςΚαιΜετακινήσεων[#Headers],0))</f>
        <v>2000</v>
      </c>
      <c r="L31"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Οκτ]]),1),INDEX(ΠρογραμματισμέναΈξοδαΕκπαίδευσηςΚαιΜετακινήσεων[],,1),0),MATCH(ΔιακυμάνσειςΕξόδωνΕκπαίδευσηςΚαιΜετακινήσεων[[#Headers],[Οκτ]],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Οκτ]]),1),INDEX(ΠρογραμματισμέναΈξοδαΕκπαίδευσηςΚαιΜετακινήσεων[],,1),0),MATCH(ΔιακυμάνσειςΕξόδωνΕκπαίδευσηςΚαιΜετακινήσεων[[#Headers],[Οκτ]],ΠραγματικάΈξοδαΕκπαίδευσηςΚαιΜετακινήσεων[#Headers],0))</f>
        <v>2000</v>
      </c>
      <c r="M31"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Νοε]]),1),INDEX(ΠρογραμματισμέναΈξοδαΕκπαίδευσηςΚαιΜετακινήσεων[],,1),0),MATCH(ΔιακυμάνσειςΕξόδωνΕκπαίδευσηςΚαιΜετακινήσεων[[#Headers],[Νοε]],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Νοε]]),1),INDEX(ΠρογραμματισμέναΈξοδαΕκπαίδευσηςΚαιΜετακινήσεων[],,1),0),MATCH(ΔιακυμάνσειςΕξόδωνΕκπαίδευσηςΚαιΜετακινήσεων[[#Headers],[Νοε]],ΠραγματικάΈξοδαΕκπαίδευσηςΚαιΜετακινήσεων[#Headers],0))</f>
        <v>2000</v>
      </c>
      <c r="N31"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Δεκ]]),1),INDEX(ΠρογραμματισμέναΈξοδαΕκπαίδευσηςΚαιΜετακινήσεων[],,1),0),MATCH(ΔιακυμάνσειςΕξόδωνΕκπαίδευσηςΚαιΜετακινήσεων[[#Headers],[Δεκ]],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Δεκ]]),1),INDEX(ΠρογραμματισμέναΈξοδαΕκπαίδευσηςΚαιΜετακινήσεων[],,1),0),MATCH(ΔιακυμάνσειςΕξόδωνΕκπαίδευσηςΚαιΜετακινήσεων[[#Headers],[Δεκ]],ΠραγματικάΈξοδαΕκπαίδευσηςΚαιΜετακινήσεων[#Headers],0))</f>
        <v>2000</v>
      </c>
      <c r="O31" s="98">
        <f>SUM(ΔιακυμάνσειςΕξόδωνΕκπαίδευσηςΚαιΜετακινήσεων[[#This Row],[Ιαν]:[Δεκ]])</f>
        <v>13000</v>
      </c>
    </row>
    <row r="32" spans="1:15" ht="24.95" customHeight="1" thickBot="1" x14ac:dyDescent="0.35">
      <c r="A32" s="30"/>
      <c r="B32" s="54" t="s">
        <v>32</v>
      </c>
      <c r="C32"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Ιαν]]),1),INDEX(ΠρογραμματισμέναΈξοδαΕκπαίδευσηςΚαιΜετακινήσεων[],,1),0),MATCH(ΔιακυμάνσειςΕξόδωνΕκπαίδευσηςΚαιΜετακινήσεων[[#Headers],[Ιαν]],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Ιαν]]),1),INDEX(ΠρογραμματισμέναΈξοδαΕκπαίδευσηςΚαιΜετακινήσεων[],,1),0),MATCH(ΔιακυμάνσειςΕξόδωνΕκπαίδευσηςΚαιΜετακινήσεων[[#Headers],[Ιαν]],ΠραγματικάΈξοδαΕκπαίδευσηςΚαιΜετακινήσεων[#Headers],0))</f>
        <v>800</v>
      </c>
      <c r="D32"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Φεβ]]),1),INDEX(ΠρογραμματισμέναΈξοδαΕκπαίδευσηςΚαιΜετακινήσεων[],,1),0),MATCH(ΔιακυμάνσειςΕξόδωνΕκπαίδευσηςΚαιΜετακινήσεων[[#Headers],[Φεβ]],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Φεβ]]),1),INDEX(ΠρογραμματισμέναΈξοδαΕκπαίδευσηςΚαιΜετακινήσεων[],,1),0),MATCH(ΔιακυμάνσειςΕξόδωνΕκπαίδευσηςΚαιΜετακινήσεων[[#Headers],[Φεβ]],ΠραγματικάΈξοδαΕκπαίδευσηςΚαιΜετακινήσεων[#Headers],0))</f>
        <v>-200</v>
      </c>
      <c r="E32"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Μάρ]]),1),INDEX(ΠρογραμματισμέναΈξοδαΕκπαίδευσηςΚαιΜετακινήσεων[],,1),0),MATCH(ΔιακυμάνσειςΕξόδωνΕκπαίδευσηςΚαιΜετακινήσεων[[#Headers],[Μάρ]],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Μάρ]]),1),INDEX(ΠρογραμματισμέναΈξοδαΕκπαίδευσηςΚαιΜετακινήσεων[],,1),0),MATCH(ΔιακυμάνσειςΕξόδωνΕκπαίδευσηςΚαιΜετακινήσεων[[#Headers],[Μάρ]],ΠραγματικάΈξοδαΕκπαίδευσηςΚαιΜετακινήσεων[#Headers],0))</f>
        <v>600</v>
      </c>
      <c r="F32"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Απρ]]),1),INDEX(ΠρογραμματισμέναΈξοδαΕκπαίδευσηςΚαιΜετακινήσεων[],,1),0),MATCH(ΔιακυμάνσειςΕξόδωνΕκπαίδευσηςΚαιΜετακινήσεων[[#Headers],[Απρ]],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Απρ]]),1),INDEX(ΠρογραμματισμέναΈξοδαΕκπαίδευσηςΚαιΜετακινήσεων[],,1),0),MATCH(ΔιακυμάνσειςΕξόδωνΕκπαίδευσηςΚαιΜετακινήσεων[[#Headers],[Απρ]],ΠραγματικάΈξοδαΕκπαίδευσηςΚαιΜετακινήσεων[#Headers],0))</f>
        <v>800</v>
      </c>
      <c r="G32"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Μάι]]),1),INDEX(ΠρογραμματισμέναΈξοδαΕκπαίδευσηςΚαιΜετακινήσεων[],,1),0),MATCH(ΔιακυμάνσειςΕξόδωνΕκπαίδευσηςΚαιΜετακινήσεων[[#Headers],[Μάι]],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Μάι]]),1),INDEX(ΠρογραμματισμέναΈξοδαΕκπαίδευσηςΚαιΜετακινήσεων[],,1),0),MATCH(ΔιακυμάνσειςΕξόδωνΕκπαίδευσηςΚαιΜετακινήσεων[[#Headers],[Μάι]],ΠραγματικάΈξοδαΕκπαίδευσηςΚαιΜετακινήσεων[#Headers],0))</f>
        <v>1200</v>
      </c>
      <c r="H32"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Ιούν]]),1),INDEX(ΠρογραμματισμέναΈξοδαΕκπαίδευσηςΚαιΜετακινήσεων[],,1),0),MATCH(ΔιακυμάνσειςΕξόδωνΕκπαίδευσηςΚαιΜετακινήσεων[[#Headers],[Ιούν]],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Ιούν]]),1),INDEX(ΠρογραμματισμέναΈξοδαΕκπαίδευσηςΚαιΜετακινήσεων[],,1),0),MATCH(ΔιακυμάνσειςΕξόδωνΕκπαίδευσηςΚαιΜετακινήσεων[[#Headers],[Ιούν]],ΠραγματικάΈξοδαΕκπαίδευσηςΚαιΜετακινήσεων[#Headers],0))</f>
        <v>-1500</v>
      </c>
      <c r="I32"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Ιούλ]]),1),INDEX(ΠρογραμματισμέναΈξοδαΕκπαίδευσηςΚαιΜετακινήσεων[],,1),0),MATCH(ΔιακυμάνσειςΕξόδωνΕκπαίδευσηςΚαιΜετακινήσεων[[#Headers],[Ιούλ]],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Ιούλ]]),1),INDEX(ΠρογραμματισμέναΈξοδαΕκπαίδευσηςΚαιΜετακινήσεων[],,1),0),MATCH(ΔιακυμάνσειςΕξόδωνΕκπαίδευσηςΚαιΜετακινήσεων[[#Headers],[Ιούλ]],ΠραγματικάΈξοδαΕκπαίδευσηςΚαιΜετακινήσεων[#Headers],0))</f>
        <v>2000</v>
      </c>
      <c r="J32"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Αύγ]]),1),INDEX(ΠρογραμματισμέναΈξοδαΕκπαίδευσηςΚαιΜετακινήσεων[],,1),0),MATCH(ΔιακυμάνσειςΕξόδωνΕκπαίδευσηςΚαιΜετακινήσεων[[#Headers],[Αύγ]],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Αύγ]]),1),INDEX(ΠρογραμματισμέναΈξοδαΕκπαίδευσηςΚαιΜετακινήσεων[],,1),0),MATCH(ΔιακυμάνσειςΕξόδωνΕκπαίδευσηςΚαιΜετακινήσεων[[#Headers],[Αύγ]],ΠραγματικάΈξοδαΕκπαίδευσηςΚαιΜετακινήσεων[#Headers],0))</f>
        <v>2000</v>
      </c>
      <c r="K32"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Σεπ]]),1),INDEX(ΠρογραμματισμέναΈξοδαΕκπαίδευσηςΚαιΜετακινήσεων[],,1),0),MATCH(ΔιακυμάνσειςΕξόδωνΕκπαίδευσηςΚαιΜετακινήσεων[[#Headers],[Σεπ]],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Σεπ]]),1),INDEX(ΠρογραμματισμέναΈξοδαΕκπαίδευσηςΚαιΜετακινήσεων[],,1),0),MATCH(ΔιακυμάνσειςΕξόδωνΕκπαίδευσηςΚαιΜετακινήσεων[[#Headers],[Σεπ]],ΠραγματικάΈξοδαΕκπαίδευσηςΚαιΜετακινήσεων[#Headers],0))</f>
        <v>2000</v>
      </c>
      <c r="L32"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Οκτ]]),1),INDEX(ΠρογραμματισμέναΈξοδαΕκπαίδευσηςΚαιΜετακινήσεων[],,1),0),MATCH(ΔιακυμάνσειςΕξόδωνΕκπαίδευσηςΚαιΜετακινήσεων[[#Headers],[Οκτ]],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Οκτ]]),1),INDEX(ΠρογραμματισμέναΈξοδαΕκπαίδευσηςΚαιΜετακινήσεων[],,1),0),MATCH(ΔιακυμάνσειςΕξόδωνΕκπαίδευσηςΚαιΜετακινήσεων[[#Headers],[Οκτ]],ΠραγματικάΈξοδαΕκπαίδευσηςΚαιΜετακινήσεων[#Headers],0))</f>
        <v>2000</v>
      </c>
      <c r="M32"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Νοε]]),1),INDEX(ΠρογραμματισμέναΈξοδαΕκπαίδευσηςΚαιΜετακινήσεων[],,1),0),MATCH(ΔιακυμάνσειςΕξόδωνΕκπαίδευσηςΚαιΜετακινήσεων[[#Headers],[Νοε]],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Νοε]]),1),INDEX(ΠρογραμματισμέναΈξοδαΕκπαίδευσηςΚαιΜετακινήσεων[],,1),0),MATCH(ΔιακυμάνσειςΕξόδωνΕκπαίδευσηςΚαιΜετακινήσεων[[#Headers],[Νοε]],ΠραγματικάΈξοδαΕκπαίδευσηςΚαιΜετακινήσεων[#Headers],0))</f>
        <v>2000</v>
      </c>
      <c r="N32" s="97">
        <f>INDEX(ΠρογραμματισμέναΈξοδαΕκπαίδευσηςΚαιΜετακινήσεων[],MATCH(INDEX(ΔιακυμάνσειςΕξόδωνΕκπαίδευσηςΚαιΜετακινήσεων[],ROW()-ROW(ΔιακυμάνσειςΕξόδωνΕκπαίδευσηςΚαιΜετακινήσεων[[#Headers],[Δεκ]]),1),INDEX(ΠρογραμματισμέναΈξοδαΕκπαίδευσηςΚαιΜετακινήσεων[],,1),0),MATCH(ΔιακυμάνσειςΕξόδωνΕκπαίδευσηςΚαιΜετακινήσεων[[#Headers],[Δεκ]],ΠρογραμματισμέναΈξοδαΕκπαίδευσηςΚαιΜετακινήσεων[#Headers],0))-INDEX(ΠραγματικάΈξοδαΕκπαίδευσηςΚαιΜετακινήσεων[],MATCH(INDEX(ΔιακυμάνσειςΕξόδωνΕκπαίδευσηςΚαιΜετακινήσεων[],ROW()-ROW(ΔιακυμάνσειςΕξόδωνΕκπαίδευσηςΚαιΜετακινήσεων[[#Headers],[Δεκ]]),1),INDEX(ΠρογραμματισμέναΈξοδαΕκπαίδευσηςΚαιΜετακινήσεων[],,1),0),MATCH(ΔιακυμάνσειςΕξόδωνΕκπαίδευσηςΚαιΜετακινήσεων[[#Headers],[Δεκ]],ΠραγματικάΈξοδαΕκπαίδευσηςΚαιΜετακινήσεων[#Headers],0))</f>
        <v>2000</v>
      </c>
      <c r="O32" s="98">
        <f>SUM(ΔιακυμάνσειςΕξόδωνΕκπαίδευσηςΚαιΜετακινήσεων[[#This Row],[Ιαν]:[Δεκ]])</f>
        <v>13700</v>
      </c>
    </row>
    <row r="33" spans="1:15" ht="24.95" customHeight="1" x14ac:dyDescent="0.3">
      <c r="A33" s="30"/>
      <c r="B33" s="64" t="s">
        <v>13</v>
      </c>
      <c r="C33" s="106">
        <f>SUBTOTAL(109,ΔιακυμάνσειςΕξόδωνΕκπαίδευσηςΚαιΜετακινήσεων[Ιαν])</f>
        <v>1200</v>
      </c>
      <c r="D33" s="106">
        <f>SUBTOTAL(109,ΔιακυμάνσειςΕξόδωνΕκπαίδευσηςΚαιΜετακινήσεων[Φεβ])</f>
        <v>-600</v>
      </c>
      <c r="E33" s="106">
        <f>SUBTOTAL(109,ΔιακυμάνσειςΕξόδωνΕκπαίδευσηςΚαιΜετακινήσεων[Μάρ])</f>
        <v>1200</v>
      </c>
      <c r="F33" s="106">
        <f>SUBTOTAL(109,ΔιακυμάνσειςΕξόδωνΕκπαίδευσηςΚαιΜετακινήσεων[Απρ])</f>
        <v>1200</v>
      </c>
      <c r="G33" s="106">
        <f>SUBTOTAL(109,ΔιακυμάνσειςΕξόδωνΕκπαίδευσηςΚαιΜετακινήσεων[Μάι])</f>
        <v>2000</v>
      </c>
      <c r="H33" s="106">
        <f>SUBTOTAL(109,ΔιακυμάνσειςΕξόδωνΕκπαίδευσηςΚαιΜετακινήσεων[Ιούν])</f>
        <v>-2300</v>
      </c>
      <c r="I33" s="106">
        <f>SUBTOTAL(109,ΔιακυμάνσειςΕξόδωνΕκπαίδευσηςΚαιΜετακινήσεων[Ιούλ])</f>
        <v>4000</v>
      </c>
      <c r="J33" s="106">
        <f>SUBTOTAL(109,ΔιακυμάνσειςΕξόδωνΕκπαίδευσηςΚαιΜετακινήσεων[Αύγ])</f>
        <v>4000</v>
      </c>
      <c r="K33" s="106">
        <f>SUBTOTAL(109,ΔιακυμάνσειςΕξόδωνΕκπαίδευσηςΚαιΜετακινήσεων[Σεπ])</f>
        <v>4000</v>
      </c>
      <c r="L33" s="106">
        <f>SUBTOTAL(109,ΔιακυμάνσειςΕξόδωνΕκπαίδευσηςΚαιΜετακινήσεων[Οκτ])</f>
        <v>4000</v>
      </c>
      <c r="M33" s="106">
        <f>SUBTOTAL(109,ΔιακυμάνσειςΕξόδωνΕκπαίδευσηςΚαιΜετακινήσεων[Νοε])</f>
        <v>4000</v>
      </c>
      <c r="N33" s="106">
        <f>SUBTOTAL(109,ΔιακυμάνσειςΕξόδωνΕκπαίδευσηςΚαιΜετακινήσεων[Δεκ])</f>
        <v>4000</v>
      </c>
      <c r="O33" s="107">
        <f>SUBTOTAL(109,ΔιακυμάνσειςΕξόδωνΕκπαίδευσηςΚαιΜετακινήσεων[ΕΤΟΣ])</f>
        <v>26700</v>
      </c>
    </row>
    <row r="34" spans="1:15" ht="21" customHeight="1" x14ac:dyDescent="0.3">
      <c r="A34" s="30"/>
      <c r="B34" s="70"/>
      <c r="C34" s="70"/>
      <c r="D34" s="86"/>
      <c r="E34" s="86"/>
      <c r="F34" s="86"/>
      <c r="G34" s="86"/>
      <c r="H34" s="86"/>
      <c r="I34" s="86"/>
      <c r="J34" s="86"/>
      <c r="K34" s="86"/>
      <c r="L34" s="86"/>
      <c r="M34" s="86"/>
      <c r="N34" s="86"/>
      <c r="O34" s="86"/>
    </row>
    <row r="35" spans="1:15" ht="24.95" customHeight="1" thickBot="1" x14ac:dyDescent="0.35">
      <c r="A35" s="38"/>
      <c r="B35" s="9" t="s">
        <v>33</v>
      </c>
      <c r="C35" s="26" t="s">
        <v>37</v>
      </c>
      <c r="D35" s="26" t="s">
        <v>39</v>
      </c>
      <c r="E35" s="26" t="s">
        <v>41</v>
      </c>
      <c r="F35" s="26" t="s">
        <v>43</v>
      </c>
      <c r="G35" s="26" t="s">
        <v>45</v>
      </c>
      <c r="H35" s="26" t="s">
        <v>47</v>
      </c>
      <c r="I35" s="26" t="s">
        <v>49</v>
      </c>
      <c r="J35" s="26" t="s">
        <v>51</v>
      </c>
      <c r="K35" s="26" t="s">
        <v>55</v>
      </c>
      <c r="L35" s="26" t="s">
        <v>57</v>
      </c>
      <c r="M35" s="26" t="s">
        <v>60</v>
      </c>
      <c r="N35" s="26" t="s">
        <v>62</v>
      </c>
      <c r="O35" s="26" t="s">
        <v>64</v>
      </c>
    </row>
    <row r="36" spans="1:15" ht="24.95" customHeight="1" thickBot="1" x14ac:dyDescent="0.35">
      <c r="A36" s="30"/>
      <c r="B36" s="10" t="s">
        <v>67</v>
      </c>
      <c r="C36" s="117">
        <f>ΔιακυμάνσειςΕξόδωνΕκπαίδευσηςΚαιΜετακινήσεων[[#Totals],[Ιαν]]+ΔιακυμάνσειςΕξόδωνΜάρκετινγκ[[#Totals],[Ιαν]]+ΔιακυμάνσειςΕξόδωνΓραφείου[[#Totals],[Ιαν]]+ΔιακυμάνσειςΕξόδωνΥπαλλήλων[[#Totals],[Ιαν]]</f>
        <v>1738</v>
      </c>
      <c r="D36" s="117">
        <f>ΔιακυμάνσειςΕξόδωνΕκπαίδευσηςΚαιΜετακινήσεων[[#Totals],[Φεβ]]+ΔιακυμάνσειςΕξόδωνΜάρκετινγκ[[#Totals],[Φεβ]]+ΔιακυμάνσειςΕξόδωνΓραφείου[[#Totals],[Φεβ]]+ΔιακυμάνσειςΕξόδωνΥπαλλήλων[[#Totals],[Φεβ]]</f>
        <v>-984</v>
      </c>
      <c r="E36" s="117">
        <f>ΔιακυμάνσειςΕξόδωνΕκπαίδευσηςΚαιΜετακινήσεων[[#Totals],[Μάρ]]+ΔιακυμάνσειςΕξόδωνΜάρκετινγκ[[#Totals],[Μάρ]]+ΔιακυμάνσειςΕξόδωνΓραφείου[[#Totals],[Μάρ]]+ΔιακυμάνσειςΕξόδωνΥπαλλήλων[[#Totals],[Μάρ]]</f>
        <v>1255</v>
      </c>
      <c r="F36" s="117">
        <f>ΔιακυμάνσειςΕξόδωνΕκπαίδευσηςΚαιΜετακινήσεων[[#Totals],[Απρ]]+ΔιακυμάνσειςΕξόδωνΜάρκετινγκ[[#Totals],[Απρ]]+ΔιακυμάνσειςΕξόδωνΓραφείου[[#Totals],[Απρ]]+ΔιακυμάνσειςΕξόδωνΥπαλλήλων[[#Totals],[Απρ]]</f>
        <v>301</v>
      </c>
      <c r="G36" s="117">
        <f>ΔιακυμάνσειςΕξόδωνΕκπαίδευσηςΚαιΜετακινήσεων[[#Totals],[Μάι]]+ΔιακυμάνσειςΕξόδωνΜάρκετινγκ[[#Totals],[Μάι]]+ΔιακυμάνσειςΕξόδωνΓραφείου[[#Totals],[Μάι]]+ΔιακυμάνσειςΕξόδωνΥπαλλήλων[[#Totals],[Μάι]]</f>
        <v>1440</v>
      </c>
      <c r="H36" s="117">
        <f>ΔιακυμάνσειςΕξόδωνΕκπαίδευσηςΚαιΜετακινήσεων[[#Totals],[Ιούν]]+ΔιακυμάνσειςΕξόδωνΜάρκετινγκ[[#Totals],[Ιούν]]+ΔιακυμάνσειςΕξόδωνΓραφείου[[#Totals],[Ιούν]]+ΔιακυμάνσειςΕξόδωνΥπαλλήλων[[#Totals],[Ιούν]]</f>
        <v>-3744</v>
      </c>
      <c r="I36" s="117">
        <f>ΔιακυμάνσειςΕξόδωνΕκπαίδευσηςΚαιΜετακινήσεων[[#Totals],[Ιούλ]]+ΔιακυμάνσειςΕξόδωνΜάρκετινγκ[[#Totals],[Ιούλ]]+ΔιακυμάνσειςΕξόδωνΓραφείου[[#Totals],[Ιούλ]]+ΔιακυμάνσειςΕξόδωνΥπαλλήλων[[#Totals],[Ιούλ]]</f>
        <v>134695</v>
      </c>
      <c r="J36" s="117">
        <f>ΔιακυμάνσειςΕξόδωνΕκπαίδευσηςΚαιΜετακινήσεων[[#Totals],[Αύγ]]+ΔιακυμάνσειςΕξόδωνΜάρκετινγκ[[#Totals],[Αύγ]]+ΔιακυμάνσειςΕξόδωνΓραφείου[[#Totals],[Αύγ]]+ΔιακυμάνσειςΕξόδωνΥπαλλήλων[[#Totals],[Αύγ]]</f>
        <v>138918</v>
      </c>
      <c r="K36" s="117">
        <f>ΔιακυμάνσειςΕξόδωνΕκπαίδευσηςΚαιΜετακινήσεων[[#Totals],[Σεπ]]+ΔιακυμάνσειςΕξόδωνΜάρκετινγκ[[#Totals],[Σεπ]]+ΔιακυμάνσειςΕξόδωνΓραφείου[[#Totals],[Σεπ]]+ΔιακυμάνσειςΕξόδωνΥπαλλήλων[[#Totals],[Σεπ]]</f>
        <v>135918</v>
      </c>
      <c r="L36" s="117">
        <f>ΔιακυμάνσειςΕξόδωνΕκπαίδευσηςΚαιΜετακινήσεων[[#Totals],[Οκτ]]+ΔιακυμάνσειςΕξόδωνΜάρκετινγκ[[#Totals],[Οκτ]]+ΔιακυμάνσειςΕξόδωνΓραφείου[[#Totals],[Οκτ]]+ΔιακυμάνσειςΕξόδωνΥπαλλήλων[[#Totals],[Οκτ]]</f>
        <v>140918</v>
      </c>
      <c r="M36" s="117">
        <f>ΔιακυμάνσειςΕξόδωνΥπαλλήλων[[#Totals],[Νοέ]]+ΔιακυμάνσειςΕξόδωνΕκπαίδευσηςΚαιΜετακινήσεων[[#Totals],[Νοε]]+ΔιακυμάνσειςΕξόδωνΜάρκετινγκ[[#Totals],[Νοε]]+ΔιακυμάνσειςΕξόδωνΓραφείου[[#Totals],[Νοε]]</f>
        <v>136218</v>
      </c>
      <c r="N36" s="117">
        <f>ΔιακυμάνσειςΕξόδωνΕκπαίδευσηςΚαιΜετακινήσεων[[#Totals],[Δεκ]]+ΔιακυμάνσειςΕξόδωνΜάρκετινγκ[[#Totals],[Δεκ]]+ΔιακυμάνσειςΕξόδωνΓραφείου[[#Totals],[Δεκ]]+ΔιακυμάνσειςΕξόδωνΥπαλλήλων[[#Totals],[Δεκ]]</f>
        <v>140018</v>
      </c>
      <c r="O36" s="117">
        <f>ΔιακυμάνσειςΕξόδωνΕκπαίδευσηςΚαιΜετακινήσεων[[#Totals],[ΕΤΟΣ]]+ΔιακυμάνσειςΕξόδωνΜάρκετινγκ[[#Totals],[ΕΤΟΣ]]+ΔιακυμάνσειςΕξόδωνΓραφείου[[#Totals],[ΕΤΟΣ]]+ΔιακυμάνσειςΕξόδωνΥπαλλήλων[[#Totals],[ΕΤΟΣ]]</f>
        <v>826691</v>
      </c>
    </row>
    <row r="37" spans="1:15" ht="24.95" customHeight="1" thickBot="1" x14ac:dyDescent="0.35">
      <c r="A37" s="30"/>
      <c r="B37" s="10" t="s">
        <v>68</v>
      </c>
      <c r="C37" s="118">
        <f>SUM($C$36:C36)</f>
        <v>1738</v>
      </c>
      <c r="D37" s="118">
        <f>SUM($C$36:D36)</f>
        <v>754</v>
      </c>
      <c r="E37" s="118">
        <f>SUM($C$36:E36)</f>
        <v>2009</v>
      </c>
      <c r="F37" s="118">
        <f>SUM($C$36:F36)</f>
        <v>2310</v>
      </c>
      <c r="G37" s="118">
        <f>SUM($C$36:G36)</f>
        <v>3750</v>
      </c>
      <c r="H37" s="118">
        <f>SUM($C$36:H36)</f>
        <v>6</v>
      </c>
      <c r="I37" s="118">
        <f>SUM($C$36:I36)</f>
        <v>134701</v>
      </c>
      <c r="J37" s="118">
        <f>SUM($C$36:J36)</f>
        <v>273619</v>
      </c>
      <c r="K37" s="118">
        <f>SUM($C$36:K36)</f>
        <v>409537</v>
      </c>
      <c r="L37" s="118">
        <f>SUM($C$36:L36)</f>
        <v>550455</v>
      </c>
      <c r="M37" s="118">
        <f>SUM($C$36:M36)</f>
        <v>686673</v>
      </c>
      <c r="N37" s="118">
        <f>SUM($C$36:N36)</f>
        <v>826691</v>
      </c>
      <c r="O37" s="118"/>
    </row>
    <row r="38" spans="1:15" ht="21" customHeight="1" x14ac:dyDescent="0.3">
      <c r="A38" s="30"/>
      <c r="D38" s="11"/>
    </row>
  </sheetData>
  <mergeCells count="2">
    <mergeCell ref="K2:M2"/>
    <mergeCell ref="K3:M3"/>
  </mergeCells>
  <conditionalFormatting sqref="C6:O8">
    <cfRule type="cellIs" dxfId="160" priority="5" operator="lessThan">
      <formula>0</formula>
    </cfRule>
  </conditionalFormatting>
  <conditionalFormatting sqref="C11:O19">
    <cfRule type="cellIs" dxfId="159" priority="4" operator="lessThan">
      <formula>0</formula>
    </cfRule>
  </conditionalFormatting>
  <conditionalFormatting sqref="C22:O28">
    <cfRule type="cellIs" dxfId="158" priority="3" operator="lessThan">
      <formula>0</formula>
    </cfRule>
  </conditionalFormatting>
  <conditionalFormatting sqref="C31:O33">
    <cfRule type="cellIs" dxfId="157" priority="2" operator="lessThan">
      <formula>0</formula>
    </cfRule>
  </conditionalFormatting>
  <conditionalFormatting sqref="C36:O37">
    <cfRule type="cellIs" dxfId="156" priority="1" operator="lessThan">
      <formula>0</formula>
    </cfRule>
  </conditionalFormatting>
  <dataValidations count="10">
    <dataValidation allowBlank="1" showInputMessage="1" showErrorMessage="1" prompt="Σε αυτό το κελί βρίσκεται το σύμβολο κράτησης θέσης λογότυπου." sqref="N2" xr:uid="{37781601-5DCB-461E-AE37-039617AC3765}"/>
    <dataValidation allowBlank="1" showInputMessage="1" showErrorMessage="1" prompt="Η ετικέτα Διακύμανσης εξόδων βρίσκεται στο κελί στα δεξιά, οι μήνες στα κελιά C4 έως N4 και η ετικέτα του Έτους στο κελί Ο4." sqref="A4" xr:uid="{30EF6476-989C-4E19-8BDE-66AFC1B5F398}"/>
    <dataValidation allowBlank="1" showInputMessage="1" showErrorMessage="1" prompt="Η διακύμανση στα έξοδα υπαλλήλων υπολογίζεται αυτόματα στον πίνακα Διακυμάνσεων εξόδων υπαλλήλων που ξεκινά στο κελί στα δεξιά. Η επόμενη οδηγία βρίσκεται στο κελί Α10." sqref="A5" xr:uid="{839F8F2D-41ED-4FCE-836B-A98A823A57CC}"/>
    <dataValidation allowBlank="1" showInputMessage="1" showErrorMessage="1" prompt="Η διακύμανση στα έξοδα γραφείου υπολογίζεται αυτόματα στον πίνακα Διακυμάνσεων εξόδων γραφείου που ξεκινά στο κελί στα δεξιά. Η επόμενη οδηγία βρίσκεται στο κελί Α21." sqref="A10" xr:uid="{27073073-4E55-44AA-82CF-0E84E7DE56D1}"/>
    <dataValidation allowBlank="1" showInputMessage="1" showErrorMessage="1" prompt="Η διακύμανση στα έξοδα μάρκετινγκ υπολογίζεται αυτόματα στον πίνακα Διακυμάνσεων εξόδων μάρκετινγκ που ξεκινά στο κελί στα δεξιά. Η επόμενη οδηγία βρίσκεται στο κελί Α30." sqref="A21" xr:uid="{DE322E29-78F0-4CAC-A794-538FBE82A952}"/>
    <dataValidation allowBlank="1" showInputMessage="1" showErrorMessage="1" prompt="Η διακύμανση στα έξοδα εκπαίδευσης και μετακινήσεων υπολογίζεται αυτόματα στον πίνακα Διακυμάνσεων εξόδων εκπαίδευσης και μετακινήσεων που ξεκινά στο κελί στα δεξιά. Η επόμενη οδηγία βρίσκεται στο κελί Α35." sqref="A30" xr:uid="{E7DC2698-49F1-46FA-BC02-81CE67BF794B}"/>
    <dataValidation allowBlank="1" showInputMessage="1" showErrorMessage="1" prompt="Οι διακυμάνσεις εξόδων υπολογίζονται αυτόματα στον πίνακα Συνολικών διακυμάνσεων που ξεκινά στο κελί στα δεξιά." sqref="A35" xr:uid="{96167FAC-0878-4372-B9C2-FE529C7ABF6D}"/>
    <dataValidation allowBlank="1" showInputMessage="1" showErrorMessage="1" prompt="Εισαγάγετε τα προγραμματισμένα έξοδα υπαλλήλων, γραφείου, μάρκετινγκ, εκπαίδευσης ή μετακίνησης σε αντίστοιχους πίνακες. Τα σύνολα υπολογίζονται αυτόματα. Οδηγίες χρήσης του φύλλου εργασίας βρίσκονται σε αυτήν τη στήλη. Ξεκινήστε με το βέλος προς τα κάτω." sqref="A1" xr:uid="{C935014E-97FD-4DC5-8990-FFCC7A693081}"/>
    <dataValidation allowBlank="1" showInputMessage="1" showErrorMessage="1" prompt="Η επωνυμία της εταιρείας ενημερώνεται αυτόματα στο κελί στα δεξιά. Ο τίτλος αυτού του φύλλου εργασίας βρίσκεται στο κελί Κ2. Εισαγάγετε το λογότυπο στο κελί N2." sqref="A2" xr:uid="{ACC2090E-7A1F-4581-8E9B-5F88818E0C50}"/>
    <dataValidation allowBlank="1" showInputMessage="1" showErrorMessage="1" prompt="Στο κελί K3 βρίσκεται συμβουλή." sqref="A3" xr:uid="{6033F748-E9D5-4DE6-B824-555D5C6CA4CF}"/>
  </dataValidations>
  <pageMargins left="0.7" right="0.7" top="0.75" bottom="0.75" header="0.3" footer="0.3"/>
  <pageSetup paperSize="9" fitToHeight="0" orientation="portrait" r:id="rId1"/>
  <ignoredErrors>
    <ignoredError sqref="B2" emptyCellReference="1"/>
    <ignoredError sqref="C37:O37 C36:M36 N36:O36" calculatedColumn="1"/>
  </ignoredErrors>
  <drawing r:id="rId2"/>
  <tableParts count="5">
    <tablePart r:id="rId3"/>
    <tablePart r:id="rId4"/>
    <tablePart r:id="rId5"/>
    <tablePart r:id="rId6"/>
    <tablePart r:id="rId7"/>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autoPageBreaks="0"/>
  </sheetPr>
  <dimension ref="A1:P39"/>
  <sheetViews>
    <sheetView showGridLines="0" zoomScaleNormal="100" workbookViewId="0"/>
  </sheetViews>
  <sheetFormatPr defaultColWidth="9.140625" defaultRowHeight="18.75" x14ac:dyDescent="0.3"/>
  <cols>
    <col min="1" max="1" width="4.7109375" style="35" customWidth="1"/>
    <col min="2" max="2" width="26.28515625" style="2" customWidth="1"/>
    <col min="3" max="3" width="28" style="2" bestFit="1" customWidth="1"/>
    <col min="4" max="4" width="24.28515625" style="2" customWidth="1"/>
    <col min="5" max="5" width="23.28515625" style="2" customWidth="1"/>
    <col min="6" max="6" width="24.5703125" style="2" customWidth="1"/>
    <col min="7" max="7" width="4.7109375" style="1" customWidth="1"/>
    <col min="8" max="8" width="9" customWidth="1"/>
    <col min="9" max="16384" width="9.140625" style="2"/>
  </cols>
  <sheetData>
    <row r="1" spans="1:16" s="1" customFormat="1" ht="24" customHeight="1" x14ac:dyDescent="0.3">
      <c r="A1" s="32"/>
      <c r="B1" s="7"/>
      <c r="C1" s="7"/>
      <c r="D1" s="7"/>
      <c r="E1" s="4"/>
      <c r="F1" s="4"/>
      <c r="G1" s="53" t="s">
        <v>65</v>
      </c>
      <c r="I1"/>
      <c r="J1"/>
      <c r="K1"/>
      <c r="L1"/>
      <c r="M1"/>
      <c r="N1"/>
      <c r="O1"/>
      <c r="P1" t="s">
        <v>65</v>
      </c>
    </row>
    <row r="2" spans="1:16" s="1" customFormat="1" ht="45" customHeight="1" x14ac:dyDescent="0.35">
      <c r="A2" s="32"/>
      <c r="B2" s="72" t="str">
        <f>'ΠΡΟΓΡΑΜΜΑΤΙΣΜΕΝΑ ΕΞΟΔΑ'!B2:D3</f>
        <v>Επωνυμία εταιρείας</v>
      </c>
      <c r="C2" s="72"/>
      <c r="D2" s="72"/>
      <c r="E2" s="12"/>
      <c r="F2" s="74"/>
      <c r="G2" s="74"/>
      <c r="I2"/>
      <c r="J2"/>
      <c r="K2"/>
      <c r="L2"/>
      <c r="M2"/>
      <c r="N2"/>
      <c r="O2"/>
      <c r="P2"/>
    </row>
    <row r="3" spans="1:16" s="1" customFormat="1" ht="30" customHeight="1" x14ac:dyDescent="0.3">
      <c r="A3" s="32"/>
      <c r="B3" s="72"/>
      <c r="C3" s="72"/>
      <c r="D3" s="72"/>
      <c r="E3" s="126" t="str">
        <f>τίτλος_φύλλου_εργασίας</f>
        <v>Λεπτομερείς εκτιμήσεις εξόδων</v>
      </c>
      <c r="F3" s="126"/>
      <c r="G3" s="126"/>
      <c r="I3"/>
      <c r="J3"/>
      <c r="K3"/>
      <c r="L3"/>
      <c r="M3"/>
      <c r="N3"/>
      <c r="O3"/>
      <c r="P3"/>
    </row>
    <row r="4" spans="1:16" customFormat="1" ht="18.75" customHeight="1" x14ac:dyDescent="0.2">
      <c r="A4" s="24"/>
    </row>
    <row r="5" spans="1:16" ht="24.95" customHeight="1" thickBot="1" x14ac:dyDescent="0.35">
      <c r="A5" s="33"/>
      <c r="B5" s="13" t="s">
        <v>70</v>
      </c>
      <c r="C5" s="14" t="s">
        <v>71</v>
      </c>
      <c r="D5" s="15" t="s">
        <v>72</v>
      </c>
      <c r="E5" s="13" t="s">
        <v>73</v>
      </c>
      <c r="F5" s="16" t="s">
        <v>74</v>
      </c>
      <c r="G5" s="8"/>
      <c r="I5"/>
      <c r="J5"/>
      <c r="K5"/>
      <c r="L5"/>
      <c r="M5"/>
      <c r="N5"/>
      <c r="O5"/>
      <c r="P5"/>
    </row>
    <row r="6" spans="1:16" ht="24.95" customHeight="1" thickBot="1" x14ac:dyDescent="0.35">
      <c r="A6" s="34"/>
      <c r="B6" s="65" t="s">
        <v>10</v>
      </c>
      <c r="C6" s="119">
        <f>ΠρογραμματισμέναΈξοδαΥπαλλήλων[[#Totals],[ΕΤΟΣ]]</f>
        <v>1355090</v>
      </c>
      <c r="D6" s="119">
        <f>ΠραγματικάΈξοδαΥπαλλήλων[[#Totals],[ΕΤΟΣ]]</f>
        <v>659130</v>
      </c>
      <c r="E6" s="119">
        <f>C6-D6</f>
        <v>695960</v>
      </c>
      <c r="F6" s="18">
        <f>E6/C6</f>
        <v>0.5135895032802249</v>
      </c>
    </row>
    <row r="7" spans="1:16" ht="24.95" customHeight="1" thickBot="1" x14ac:dyDescent="0.35">
      <c r="A7" s="33"/>
      <c r="B7" s="65" t="str">
        <f>'ΠΡΟΓΡΑΜΜΑΤΙΣΜΕΝΑ ΕΞΟΔΑ'!B10</f>
        <v>Έξοδα γραφείου</v>
      </c>
      <c r="C7" s="119">
        <f>ΠρογραμματισμέναΈξοδαΓραφείου[[#Totals],[ΕΤΟΣ]]</f>
        <v>138740</v>
      </c>
      <c r="D7" s="119">
        <f>ΠραγματικάΈξοδαΓραφείου[[#Totals],[ΕΤΟΣ]]</f>
        <v>69350</v>
      </c>
      <c r="E7" s="119">
        <f>C7-D7</f>
        <v>69390</v>
      </c>
      <c r="F7" s="18">
        <f>E7/C7</f>
        <v>0.50014415453366012</v>
      </c>
    </row>
    <row r="8" spans="1:16" ht="24.95" customHeight="1" thickBot="1" x14ac:dyDescent="0.35">
      <c r="A8" s="33"/>
      <c r="B8" s="17" t="str">
        <f>'ΠΡΟΓΡΑΜΜΑΤΙΣΜΕΝΑ ΕΞΟΔΑ'!B21</f>
        <v>Έξοδα μάρκετινγκ</v>
      </c>
      <c r="C8" s="119">
        <f>ΠρογραμματισμέναΈξοδαΜάρκετινγκ[[#Totals],[ΕΤΟΣ]]</f>
        <v>67800</v>
      </c>
      <c r="D8" s="119">
        <f>ΠραγματικάΈξοδαΜάρκετινγκ[[#Totals],[ΕΤΟΣ]]</f>
        <v>33159</v>
      </c>
      <c r="E8" s="119">
        <f>C8-D8</f>
        <v>34641</v>
      </c>
      <c r="F8" s="18">
        <f>E8/C8</f>
        <v>0.51092920353982296</v>
      </c>
    </row>
    <row r="9" spans="1:16" ht="24.95" customHeight="1" thickBot="1" x14ac:dyDescent="0.35">
      <c r="A9" s="33"/>
      <c r="B9" s="17" t="str">
        <f>'ΠΡΟΓΡΑΜΜΑΤΙΣΜΕΝΑ ΕΞΟΔΑ'!B30</f>
        <v>Εκπαίδευση/Ταξίδια</v>
      </c>
      <c r="C9" s="119">
        <f>ΠρογραμματισμέναΈξοδαΕκπαίδευσηςΚαιΜετακινήσεων[[#Totals],[ΕΤΟΣ]]</f>
        <v>48000</v>
      </c>
      <c r="D9" s="119">
        <f>ΠραγματικάΈξοδαΕκπαίδευσηςΚαιΜετακινήσεων[[#Totals],[ΕΤΟΣ]]</f>
        <v>21300</v>
      </c>
      <c r="E9" s="119">
        <f>C9-D9</f>
        <v>26700</v>
      </c>
      <c r="F9" s="18">
        <f>E9/C9</f>
        <v>0.55625000000000002</v>
      </c>
    </row>
    <row r="10" spans="1:16" ht="24.95" customHeight="1" x14ac:dyDescent="0.3">
      <c r="A10" s="33"/>
      <c r="B10" s="36" t="str">
        <f>'ΠΡΟΓΡΑΜΜΑΤΙΣΜΕΝΑ ΕΞΟΔΑ'!B35</f>
        <v>ΣΥΝΟΛΑ</v>
      </c>
      <c r="C10" s="120">
        <f>'ΠΡΟΓΡΑΜΜΑΤΙΣΜΕΝΑ ΕΞΟΔΑ'!O36</f>
        <v>1609630</v>
      </c>
      <c r="D10" s="120">
        <f>'ΠΡΑΓΜΑΤΙΚΑ ΕΞΟΔΑ'!O36</f>
        <v>782939</v>
      </c>
      <c r="E10" s="120">
        <f>C10-D10</f>
        <v>826691</v>
      </c>
      <c r="F10" s="37">
        <f>E10/C10</f>
        <v>0.51359070096854553</v>
      </c>
    </row>
    <row r="11" spans="1:16" x14ac:dyDescent="0.3">
      <c r="A11" s="33"/>
      <c r="B11" s="67"/>
      <c r="C11" s="75"/>
      <c r="D11" s="75"/>
      <c r="E11" s="75"/>
      <c r="F11" s="3"/>
    </row>
    <row r="12" spans="1:16" ht="300" customHeight="1" x14ac:dyDescent="0.3">
      <c r="A12" s="33"/>
      <c r="B12" s="127"/>
      <c r="C12" s="127"/>
      <c r="D12" s="127"/>
      <c r="E12" s="127"/>
      <c r="F12" s="127"/>
      <c r="G12"/>
    </row>
    <row r="13" spans="1:16" ht="18.75" customHeight="1" x14ac:dyDescent="0.3">
      <c r="A13" s="33"/>
      <c r="B13" s="68"/>
    </row>
    <row r="14" spans="1:16" x14ac:dyDescent="0.3">
      <c r="A14" s="33"/>
      <c r="B14" s="68"/>
      <c r="C14" s="71"/>
      <c r="D14" s="71"/>
      <c r="E14" s="71"/>
      <c r="F14" s="71"/>
    </row>
    <row r="15" spans="1:16" x14ac:dyDescent="0.3">
      <c r="A15" s="33"/>
      <c r="B15" s="68"/>
      <c r="C15" s="71"/>
      <c r="D15" s="71"/>
      <c r="E15" s="71"/>
      <c r="F15" s="71"/>
    </row>
    <row r="16" spans="1:16" x14ac:dyDescent="0.3">
      <c r="A16" s="33"/>
      <c r="B16" s="68"/>
      <c r="C16" s="71"/>
      <c r="D16" s="71"/>
      <c r="E16" s="71"/>
      <c r="F16" s="71"/>
    </row>
    <row r="17" spans="1:6" x14ac:dyDescent="0.3">
      <c r="A17" s="33"/>
      <c r="B17" s="68"/>
      <c r="C17" s="71"/>
      <c r="D17" s="71"/>
      <c r="E17" s="71"/>
      <c r="F17" s="71"/>
    </row>
    <row r="18" spans="1:6" x14ac:dyDescent="0.3">
      <c r="A18" s="33"/>
      <c r="B18" s="68"/>
      <c r="C18" s="71"/>
      <c r="D18" s="71"/>
      <c r="E18" s="71"/>
      <c r="F18" s="71"/>
    </row>
    <row r="19" spans="1:6" x14ac:dyDescent="0.3">
      <c r="A19" s="33"/>
      <c r="B19" s="71"/>
      <c r="C19" s="71"/>
      <c r="D19" s="71"/>
      <c r="E19" s="71"/>
      <c r="F19" s="71"/>
    </row>
    <row r="20" spans="1:6" x14ac:dyDescent="0.3">
      <c r="A20" s="33"/>
      <c r="B20" s="71"/>
      <c r="C20" s="71"/>
      <c r="D20" s="71"/>
      <c r="E20" s="71"/>
      <c r="F20" s="71"/>
    </row>
    <row r="21" spans="1:6" x14ac:dyDescent="0.3">
      <c r="A21" s="33"/>
      <c r="B21" s="71"/>
      <c r="C21" s="71"/>
      <c r="D21" s="71"/>
      <c r="E21" s="71"/>
      <c r="F21" s="71"/>
    </row>
    <row r="22" spans="1:6" x14ac:dyDescent="0.3">
      <c r="A22" s="33"/>
      <c r="B22" s="68"/>
      <c r="C22" s="71"/>
      <c r="D22" s="71"/>
      <c r="E22" s="71"/>
      <c r="F22" s="71"/>
    </row>
    <row r="23" spans="1:6" x14ac:dyDescent="0.3">
      <c r="A23" s="33"/>
      <c r="B23" s="68"/>
      <c r="C23" s="71"/>
      <c r="D23" s="71"/>
      <c r="E23" s="71"/>
      <c r="F23" s="71"/>
    </row>
    <row r="24" spans="1:6" x14ac:dyDescent="0.3">
      <c r="A24" s="33"/>
      <c r="B24" s="68"/>
      <c r="C24" s="71"/>
      <c r="D24" s="71"/>
      <c r="E24" s="71"/>
      <c r="F24" s="71"/>
    </row>
    <row r="25" spans="1:6" x14ac:dyDescent="0.3">
      <c r="A25" s="33"/>
      <c r="B25" s="68"/>
      <c r="C25" s="71"/>
      <c r="D25" s="71"/>
      <c r="E25" s="71"/>
      <c r="F25" s="71"/>
    </row>
    <row r="26" spans="1:6" x14ac:dyDescent="0.3">
      <c r="A26" s="33"/>
      <c r="B26" s="68"/>
      <c r="C26" s="71"/>
      <c r="D26" s="71"/>
      <c r="E26" s="71"/>
      <c r="F26" s="71"/>
    </row>
    <row r="27" spans="1:6" x14ac:dyDescent="0.3">
      <c r="A27" s="33"/>
      <c r="B27" s="68"/>
      <c r="C27" s="71"/>
      <c r="D27" s="71"/>
      <c r="E27" s="71"/>
      <c r="F27" s="71"/>
    </row>
    <row r="28" spans="1:6" x14ac:dyDescent="0.3">
      <c r="A28" s="33"/>
      <c r="B28" s="71"/>
      <c r="C28" s="71"/>
      <c r="D28" s="71"/>
      <c r="E28" s="71"/>
      <c r="F28" s="71"/>
    </row>
    <row r="29" spans="1:6" x14ac:dyDescent="0.3">
      <c r="A29" s="33"/>
      <c r="B29" s="71"/>
      <c r="C29" s="71"/>
      <c r="D29" s="71"/>
      <c r="E29" s="71"/>
      <c r="F29" s="71"/>
    </row>
    <row r="30" spans="1:6" x14ac:dyDescent="0.3">
      <c r="A30" s="33"/>
      <c r="B30" s="71"/>
      <c r="C30" s="71"/>
      <c r="D30" s="71"/>
      <c r="E30" s="71"/>
      <c r="F30" s="71"/>
    </row>
    <row r="31" spans="1:6" x14ac:dyDescent="0.3">
      <c r="A31" s="33"/>
      <c r="B31" s="68"/>
      <c r="C31" s="71"/>
      <c r="D31" s="71"/>
      <c r="E31" s="71"/>
      <c r="F31" s="71"/>
    </row>
    <row r="32" spans="1:6" x14ac:dyDescent="0.3">
      <c r="A32" s="33"/>
      <c r="B32" s="68"/>
      <c r="C32" s="71"/>
      <c r="D32" s="71"/>
      <c r="E32" s="71"/>
      <c r="F32" s="71"/>
    </row>
    <row r="33" spans="1:6" x14ac:dyDescent="0.3">
      <c r="A33" s="33"/>
      <c r="B33" s="71"/>
      <c r="C33" s="71"/>
      <c r="D33" s="71"/>
      <c r="E33" s="71"/>
      <c r="F33" s="71"/>
    </row>
    <row r="34" spans="1:6" x14ac:dyDescent="0.3">
      <c r="A34" s="33"/>
      <c r="B34" s="71"/>
      <c r="C34" s="71"/>
      <c r="D34" s="71"/>
      <c r="E34" s="71"/>
      <c r="F34" s="71"/>
    </row>
    <row r="35" spans="1:6" x14ac:dyDescent="0.3">
      <c r="A35" s="33"/>
      <c r="B35" s="71"/>
      <c r="C35" s="71"/>
      <c r="D35" s="71"/>
      <c r="E35" s="71"/>
      <c r="F35" s="71"/>
    </row>
    <row r="36" spans="1:6" x14ac:dyDescent="0.3">
      <c r="A36" s="33"/>
      <c r="B36" s="73"/>
      <c r="C36" s="71"/>
      <c r="D36" s="71"/>
      <c r="E36" s="71"/>
      <c r="F36" s="71"/>
    </row>
    <row r="37" spans="1:6" x14ac:dyDescent="0.3">
      <c r="A37" s="33"/>
      <c r="B37" s="73"/>
      <c r="C37" s="71"/>
      <c r="D37" s="71"/>
      <c r="E37" s="71"/>
      <c r="F37" s="71"/>
    </row>
    <row r="38" spans="1:6" x14ac:dyDescent="0.3">
      <c r="A38" s="33"/>
    </row>
    <row r="39" spans="1:6" x14ac:dyDescent="0.3">
      <c r="A39" s="33"/>
    </row>
  </sheetData>
  <mergeCells count="2">
    <mergeCell ref="E3:G3"/>
    <mergeCell ref="B12:F12"/>
  </mergeCells>
  <dataValidations count="8">
    <dataValidation allowBlank="1" showInputMessage="1" showErrorMessage="1" prompt="Σε αυτό το κελί βρίσκεται το γράφημα πίτας που εμφανίζει τα προγραμματισμένα έξοδα σε διάφορες κατηγορίες." sqref="B12:F12" xr:uid="{B2131E0D-FC0E-41E0-A823-1146E5092945}"/>
    <dataValidation allowBlank="1" showInputMessage="1" showErrorMessage="1" prompt="Τα ετήσια προγραμματισμένα και πραγματικά έξοδα, οι διακυμάνσεις εξόδων και το ποσοστό διακύμανσης ενημερώνονται αυτόματα για κάθε κατηγορία εξόδων. Οδηγίες χρήσης του φύλλου εργασίας βρίσκονται σε αυτήν τη στήλη. Ξεκινήστε με το βέλος προς τα κάτω." sqref="A1" xr:uid="{2B6B986C-CF09-4535-B287-5D9961D543F9}"/>
    <dataValidation allowBlank="1" showInputMessage="1" showErrorMessage="1" prompt="Η επωνυμία της εταιρείας ενημερώνεται αυτόματα στο κελί στα δεξιά. Εισαγάγετε το λογότυπο στο κελί F2." sqref="A2" xr:uid="{54F690A8-E3B2-49FE-B037-4CB57E2B08A1}"/>
    <dataValidation allowBlank="1" showInputMessage="1" showErrorMessage="1" prompt="Ο τίτλος αυτού του φύλλου εργασίας βρίσκεται στο κελί E3. Η επόμενη οδηγία βρίσκεται στο κελί A5." sqref="A3" xr:uid="{FED07153-5704-491F-BD0F-28D4A0F15619}"/>
    <dataValidation allowBlank="1" showInputMessage="1" showErrorMessage="1" prompt="Τα προγραμματισμένα έξοδα, τα πραγματικά έξοδα, η διακύμανση εξόδων και το ποσοστό διακύμανσης υπολογίζονται αυτόματα στον πίνακα Ανάλυσης που ξεκινά στο κελί στα δεξιά. Η επόμενη οδηγία βρίσκεται στο κελί A12." sqref="A5" xr:uid="{17A4F301-0551-4056-B357-1FCC3532C5BE}"/>
    <dataValidation allowBlank="1" showInputMessage="1" showErrorMessage="1" prompt="Το γράφημα πίτας προγραμματισμένων εξόδων βρίσκεται στο κελί στα δεξιά και το γράφημα πίτας πραγματικών εξόδων στο κελί D12. Η επόμενη οδηγία βρίσκεται στο κελί A14." sqref="A12" xr:uid="{FE13E92D-A1BA-4BB9-9C16-0CDEB5285C6E}"/>
    <dataValidation allowBlank="1" showInputMessage="1" showErrorMessage="1" prompt="Το γράφημα που εμφανίζει τα προγραμματισμένα έξοδα, τα πραγματικά έξοδα και τη διακύμανση στα μηνιαία έξοδα βρίσκεται στο κελί στα δεξιά." sqref="A14" xr:uid="{A5F374DB-643C-44A4-B534-F79A39786B80}"/>
    <dataValidation allowBlank="1" showInputMessage="1" showErrorMessage="1" prompt="Σε αυτό το κελί βρίσκεται το σύμβολο κράτησης θέσης λογότυπου." sqref="F2:G2" xr:uid="{831A4984-168B-4337-BAEA-80B7246F2962}"/>
  </dataValidations>
  <pageMargins left="0.7" right="0.7" top="0.75" bottom="0.75" header="0.3" footer="0.3"/>
  <pageSetup paperSize="9" orientation="portrait" r:id="rId1"/>
  <ignoredErrors>
    <ignoredError sqref="B2" emptyCellReference="1"/>
  </ignoredErrors>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69CB1A22-CE44-4532-A0DB-84194B783BC7}">
  <ds:schemaRefs>
    <ds:schemaRef ds:uri="http://schemas.microsoft.com/sharepoint/v3/contenttype/forms"/>
  </ds:schemaRefs>
</ds:datastoreItem>
</file>

<file path=customXml/itemProps22.xml><?xml version="1.0" encoding="utf-8"?>
<ds:datastoreItem xmlns:ds="http://schemas.openxmlformats.org/officeDocument/2006/customXml" ds:itemID="{153F0F1A-F818-48F9-BE67-B9DBEFF91A6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7C5DBCFF-B01D-443B-958D-5BBBD3E2EA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TM04035489</ap:Template>
  <ap:DocSecurity>0</ap:DocSecurity>
  <ap:ScaleCrop>false</ap:ScaleCrop>
  <ap:HeadingPairs>
    <vt:vector baseType="variant" size="4">
      <vt:variant>
        <vt:lpstr>Worksheets</vt:lpstr>
      </vt:variant>
      <vt:variant>
        <vt:i4>5</vt:i4>
      </vt:variant>
      <vt:variant>
        <vt:lpstr>Named Ranges</vt:lpstr>
      </vt:variant>
      <vt:variant>
        <vt:i4>1</vt:i4>
      </vt:variant>
    </vt:vector>
  </ap:HeadingPairs>
  <ap:TitlesOfParts>
    <vt:vector baseType="lpstr" size="6">
      <vt:lpstr>ΕΝΑΡΞΗ</vt:lpstr>
      <vt:lpstr>ΠΡΟΓΡΑΜΜΑΤΙΣΜΕΝΑ ΕΞΟΔΑ</vt:lpstr>
      <vt:lpstr>ΠΡΑΓΜΑΤΙΚΑ ΕΞΟΔΑ</vt:lpstr>
      <vt:lpstr>ΔΙΑΚΥΜΑΝΣΕΙΣ ΕΞΟΔΩΝ</vt:lpstr>
      <vt:lpstr>ΑΝΑΛΥΣΗ ΕΞΟΔΩΝ</vt:lpstr>
      <vt:lpstr>τίτλος_φύλλου_εργασίας</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2022-02-14T06:36:37Z</dcterms:created>
  <dcterms:modified xsi:type="dcterms:W3CDTF">2022-05-25T08:55:19Z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