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61.xml" ContentType="application/vnd.openxmlformats-officedocument.spreadsheetml.table+xml"/>
  <Override PartName="/xl/tables/table102.xml" ContentType="application/vnd.openxmlformats-officedocument.spreadsheetml.table+xml"/>
  <Override PartName="/xl/drawings/drawing21.xml" ContentType="application/vnd.openxmlformats-officedocument.drawing+xml"/>
  <Override PartName="/xl/tables/table93.xml" ContentType="application/vnd.openxmlformats-officedocument.spreadsheetml.table+xml"/>
  <Override PartName="/xl/tables/table84.xml" ContentType="application/vnd.openxmlformats-officedocument.spreadsheetml.table+xml"/>
  <Override PartName="/xl/tables/table75.xml" ContentType="application/vnd.openxmlformats-officedocument.spreadsheetml.tab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6.xml" ContentType="application/vnd.openxmlformats-officedocument.spreadsheetml.table+xml"/>
  <Override PartName="/xl/tables/table57.xml" ContentType="application/vnd.openxmlformats-officedocument.spreadsheetml.table+xml"/>
  <Override PartName="/xl/drawings/drawing12.xml" ContentType="application/vnd.openxmlformats-officedocument.drawing+xml"/>
  <Override PartName="/xl/tables/table48.xml" ContentType="application/vnd.openxmlformats-officedocument.spreadsheetml.table+xml"/>
  <Override PartName="/xl/tables/table39.xml" ContentType="application/vnd.openxmlformats-officedocument.spreadsheetml.table+xml"/>
  <Override PartName="/xl/tables/table210.xml" ContentType="application/vnd.openxmlformats-officedocument.spreadsheetml.tab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54.xml" ContentType="application/vnd.openxmlformats-officedocument.spreadsheetml.worksheet+xml"/>
  <Override PartName="/xl/tables/table1611.xml" ContentType="application/vnd.openxmlformats-officedocument.spreadsheetml.table+xml"/>
  <Override PartName="/xl/drawings/drawing43.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customXml/item13.xml" ContentType="application/xml"/>
  <Override PartName="/customXml/itemProps13.xml" ContentType="application/vnd.openxmlformats-officedocument.customXmlProperties+xml"/>
  <Override PartName="/xl/worksheets/sheet45.xml" ContentType="application/vnd.openxmlformats-officedocument.spreadsheetml.worksheet+xml"/>
  <Override PartName="/xl/tables/table1112.xml" ContentType="application/vnd.openxmlformats-officedocument.spreadsheetml.table+xml"/>
  <Override PartName="/xl/tables/table1513.xml" ContentType="application/vnd.openxmlformats-officedocument.spreadsheetml.table+xml"/>
  <Override PartName="/xl/drawings/drawing34.xml" ContentType="application/vnd.openxmlformats-officedocument.drawing+xml"/>
  <Override PartName="/xl/tables/table1414.xml" ContentType="application/vnd.openxmlformats-officedocument.spreadsheetml.table+xml"/>
  <Override PartName="/xl/tables/table1315.xml" ContentType="application/vnd.openxmlformats-officedocument.spreadsheetml.table+xml"/>
  <Override PartName="/xl/tables/table1216.xml" ContentType="application/vnd.openxmlformats-officedocument.spreadsheetml.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xr:revisionPtr revIDLastSave="0" documentId="13_ncr:1_{E7A5C534-3CC2-4FE3-82C9-160630BC4346}" xr6:coauthVersionLast="47" xr6:coauthVersionMax="48" xr10:uidLastSave="{00000000-0000-0000-0000-000000000000}"/>
  <bookViews>
    <workbookView xWindow="-120" yWindow="-120" windowWidth="29040" windowHeight="17640" tabRatio="756" xr2:uid="{00000000-000D-0000-FFFF-FFFF00000000}"/>
  </bookViews>
  <sheets>
    <sheet name="ΕΝΑΡΞΗ" sheetId="6" r:id="rId1"/>
    <sheet name="ΠΡΟΓΡΑΜΜΑΤΙΣΜΕΝΑ ΕΞΟΔΑ" sheetId="2" r:id="rId2"/>
    <sheet name="ΠΡΑΓΜΑΤΙΚΑ ΕΞΟΔΑ" sheetId="3" r:id="rId3"/>
    <sheet name="ΔΙΑΚΥΜΑΝΣΕΙΣ ΕΞΟΔΩΝ" sheetId="4" r:id="rId4"/>
    <sheet name="ΑΝΑΛΥΣΗ ΕΞΟΔΩΝ" sheetId="5" r:id="rId5"/>
  </sheets>
  <definedNames>
    <definedName name="τίτλος_φύλλου_εργασίας">'ΠΡΟΓΡΑΜΜΑΤΙΣΜΕΝΑ ΕΞΟΔΑ'!$K$2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4" l="1"/>
  <c r="M7" i="4"/>
  <c r="M6" i="4"/>
  <c r="M36" i="3"/>
  <c r="M36" i="2"/>
  <c r="K2" i="3"/>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8" i="4"/>
  <c r="C7" i="4"/>
  <c r="C8" i="4" l="1"/>
  <c r="C36" i="4" s="1"/>
  <c r="C8" i="2"/>
  <c r="C36" i="2" s="1"/>
  <c r="I7" i="4"/>
  <c r="I8" i="4" l="1"/>
  <c r="I36" i="4" s="1"/>
  <c r="O7" i="4"/>
  <c r="I8" i="2"/>
  <c r="I36" i="2" s="1"/>
  <c r="O33" i="3"/>
  <c r="O28" i="3"/>
  <c r="D8" i="5" s="1"/>
  <c r="O19" i="3"/>
  <c r="D7" i="5" s="1"/>
  <c r="C9" i="5"/>
  <c r="O28" i="2"/>
  <c r="C8" i="5" s="1"/>
  <c r="O19" i="2"/>
  <c r="C7" i="5" s="1"/>
  <c r="O7" i="3"/>
  <c r="O8" i="3" s="1"/>
  <c r="D6" i="5" s="1"/>
  <c r="O33" i="4"/>
  <c r="O7" i="2"/>
  <c r="O8" i="2" s="1"/>
  <c r="C6" i="5" s="1"/>
  <c r="E37" i="2" l="1"/>
  <c r="D37" i="2"/>
  <c r="J37" i="2"/>
  <c r="O8" i="4"/>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<sst xmlns="http://schemas.openxmlformats.org/spreadsheetml/2006/main" count="348" uniqueCount="75">
  <si>
    <t>ΠΛΗΡΟΦΟΡΙΕΣ ΓΙΑ ΑΥΤΟ ΤΟ ΠΡΟΤΥΠΟ</t>
  </si>
  <si>
    <t>Χρησιμοποιήστε αυτό το βιβλίο εργασίας προϋπολογισμού επαγγελματικών εξόδων για να παρακολουθείτε τα προγραμματισμένα και τα πραγματικά έξοδα και τις αντίστοιχες διακυμάνσεις.</t>
  </si>
  <si>
    <t>Συμπληρώστε την επωνυμία της εταιρείας και προσθέστε το λογότυπο.</t>
  </si>
  <si>
    <t>Εισαγάγετε λεπτομέρειες στο φύλλο εργασίας "Προγραμματισμένα έξοδα" και στο φύλλο εργασίας "Πραγματικά έξοδα".</t>
  </si>
  <si>
    <t>Οι πίνακες ενημερώνονται αυτόματα στο φύλλο εργασίας "Διακυμάνσεις εξόδων" και τα γραφήματα στο φύλλο εργασίας "Ανάλυση εξόδων"</t>
  </si>
  <si>
    <t>Σημείωση: </t>
  </si>
  <si>
    <t>Στη στήλη A σε κάθε φύλλο εργασίας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</si>
  <si>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σχετικά με τους πίνακες, πατήστε το πλήκτρο SHIFT και στη συνέχεια το F10 μέσα σε έναν πίνακα, επιλέξτε ΠΙΝΑΚΑΣ και κατόπιν επιλέξτε ΕΝΑΛΛΑΚΤΙΚΟ ΚΕΙΜΕΝΟ</t>
  </si>
  <si>
    <t>Επωνυμία εταιρείας</t>
  </si>
  <si>
    <t>ΠΡΟΓΡΑΜΜΑΤΙΣΜΕΝΑ ΕΞΟΔΑ</t>
  </si>
  <si>
    <t>Έξοδα υπαλλήλων</t>
  </si>
  <si>
    <t>Μισθοί</t>
  </si>
  <si>
    <t>Επιδόματα</t>
  </si>
  <si>
    <t>Μερικό άθροισμα</t>
  </si>
  <si>
    <t>Έξοδα γραφείου</t>
  </si>
  <si>
    <t>Μίσθωση γραφείου</t>
  </si>
  <si>
    <t>Αέριο</t>
  </si>
  <si>
    <t>Ηλεκτρικό</t>
  </si>
  <si>
    <t>Νερό</t>
  </si>
  <si>
    <t>Τηλέφωνο</t>
  </si>
  <si>
    <t>Πρόσβαση στο Internet</t>
  </si>
  <si>
    <t>Προμήθειες γραφείου</t>
  </si>
  <si>
    <t>Ασφάλεια</t>
  </si>
  <si>
    <t>Έξοδα μάρκετινγκ</t>
  </si>
  <si>
    <t>Φιλοξενία τοποθεσίας Web</t>
  </si>
  <si>
    <t>Ενημερώσεις τοποθεσίας Web</t>
  </si>
  <si>
    <t>Προετοιμασία εντύπων</t>
  </si>
  <si>
    <t>Εκτύπωση εντύπων</t>
  </si>
  <si>
    <t>Εκδηλώσεις μάρκετινγκ</t>
  </si>
  <si>
    <t>Διάφορα έξοδα</t>
  </si>
  <si>
    <t>Εκπαίδευση/Ταξίδια</t>
  </si>
  <si>
    <t>Εκπαιδευτικά μαθήματα</t>
  </si>
  <si>
    <t>Έξοδα μετακινήσεων που σχετίζονται με εκπαίδευση</t>
  </si>
  <si>
    <t>ΣΥΝΟΛΑ</t>
  </si>
  <si>
    <t>Μηνιαία προγραμματισμένα έξοδα</t>
  </si>
  <si>
    <t>ΣΥΝΟΛΙΚΑ προγραμματισμένα έξοδα</t>
  </si>
  <si>
    <t>ΙΑΝ</t>
  </si>
  <si>
    <t>Ιαν</t>
  </si>
  <si>
    <t>ΦΕΒ</t>
  </si>
  <si>
    <t>Φεβ</t>
  </si>
  <si>
    <t>ΜΑΡ</t>
  </si>
  <si>
    <t>Μάρ</t>
  </si>
  <si>
    <t>ΑΠΡ</t>
  </si>
  <si>
    <t>Απρ</t>
  </si>
  <si>
    <t>ΜΑΪΟΣ</t>
  </si>
  <si>
    <t>Μάι</t>
  </si>
  <si>
    <t>ΙΟΥΝ</t>
  </si>
  <si>
    <t>Ιούν</t>
  </si>
  <si>
    <t>ΙΟΥΛ</t>
  </si>
  <si>
    <t>Ιούλ</t>
  </si>
  <si>
    <t>ΑΥΓ</t>
  </si>
  <si>
    <t>Αύγ</t>
  </si>
  <si>
    <t>Λεπτομερείς εκτιμήσεις εξόδων</t>
  </si>
  <si>
    <t>Τα σκιασμένα κελιά είναι υπολογισμοί.</t>
  </si>
  <si>
    <t>ΣΕΠ</t>
  </si>
  <si>
    <t>Σεπ</t>
  </si>
  <si>
    <t>ΟΚΤ</t>
  </si>
  <si>
    <t>Οκτ</t>
  </si>
  <si>
    <t>ΝΟΕ</t>
  </si>
  <si>
    <t>Νοέ</t>
  </si>
  <si>
    <t>Νοε</t>
  </si>
  <si>
    <t>ΔΕΚ</t>
  </si>
  <si>
    <t>Δεκ</t>
  </si>
  <si>
    <t>ΕΤΟΣ</t>
  </si>
  <si>
    <t>Έτος</t>
  </si>
  <si>
    <t xml:space="preserve"> </t>
  </si>
  <si>
    <t>ΠΡΑΓΜΑΤΙΚΑ ΕΞΟΔΑ</t>
  </si>
  <si>
    <t>Μηνιαία πραγματικά έξοδα</t>
  </si>
  <si>
    <t>ΣΥΝΟΛΙΚΑ πραγματικά έξοδα</t>
  </si>
  <si>
    <t>ΔΙΑΚΥΜΑΝΣΕΙΣ ΕΞΟΔΩΝ</t>
  </si>
  <si>
    <t>Κατηγορία εξόδων</t>
  </si>
  <si>
    <t>Προγραμματισμένα έξοδα</t>
  </si>
  <si>
    <t>Πραγματικά έξοδα</t>
  </si>
  <si>
    <t>Διακυμάνσεις εξόδων</t>
  </si>
  <si>
    <t>Ποσοστό διακύμανσης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</si>
</sst>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00\ &quot;€&quot;;[Red]\-#,##0.00\ &quot;€&quot;"/>
    <numFmt numFmtId="165" formatCode="_-* #,##0\ &quot;€&quot;_-;\-* #,##0\ &quot;€&quot;_-;_-* &quot;-&quot;\ &quot;€&quot;_-;_-@_-"/>
    <numFmt numFmtId="166" formatCode="_-* #,##0.00\ &quot;€&quot;_-;\-* #,##0.00\ &quot;€&quot;_-;_-* &quot;-&quot;??\ &quot;€&quot;_-;_-@_-"/>
    <numFmt numFmtId="167" formatCode="#,##0.00\ &quot;€&quot;;[Red]#,##0.00\ &quot;€&quot;"/>
    <numFmt numFmtId="168" formatCode="#,##0_ ;\-#,##0\ "/>
  </numFmts>
  <fonts count="54"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b/>
      <sz val="14"/>
      <color theme="0"/>
      <name val="Franklin Gothic Book"/>
      <family val="2"/>
      <scheme val="maj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b/>
      <sz val="14"/>
      <color theme="2"/>
      <name val="Franklin Gothic Book"/>
      <family val="2"/>
      <scheme val="major"/>
    </font>
    <font>
      <sz val="14"/>
      <color theme="3"/>
      <name val="Microsoft Sans Serif"/>
      <family val="2"/>
      <scheme val="minor"/>
    </font>
    <font>
      <b/>
      <sz val="13"/>
      <color theme="3"/>
      <name val="Franklin Gothic Book"/>
      <family val="2"/>
      <scheme val="maj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0"/>
      <color theme="3" tint="-0.499984740745262"/>
      <name val="Franklin Gothic Book"/>
      <family val="2"/>
      <scheme val="major"/>
    </font>
    <font>
      <b/>
      <sz val="14"/>
      <color theme="3"/>
      <name val="Microsoft Sans Serif"/>
      <family val="2"/>
      <scheme val="minor"/>
    </font>
    <font>
      <b/>
      <sz val="14"/>
      <color theme="3" tint="-0.499984740745262"/>
      <name val="Franklin Gothic Book"/>
      <family val="2"/>
      <scheme val="maj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8"/>
      <color theme="3"/>
      <name val="Franklin Gothic Book"/>
      <family val="2"/>
      <scheme val="maj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8" fillId="0" borderId="0" applyNumberFormat="0" applyFill="0" applyProtection="0">
      <alignment vertical="center"/>
    </xf>
    <xf numFmtId="0" fontId="17" fillId="4" borderId="0" applyNumberFormat="0" applyProtection="0">
      <alignment vertical="center"/>
    </xf>
    <xf numFmtId="0" fontId="10" fillId="2" borderId="0" applyNumberFormat="0" applyProtection="0">
      <alignment vertical="center"/>
    </xf>
    <xf numFmtId="0" fontId="9" fillId="3" borderId="1" applyNumberFormat="0" applyProtection="0">
      <alignment horizontal="left" vertical="center" indent="1"/>
    </xf>
    <xf numFmtId="0" fontId="12" fillId="0" borderId="0" applyNumberForma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166" fontId="41" fillId="0" borderId="0" applyFont="0" applyFill="0" applyBorder="0" applyAlignment="0" applyProtection="0"/>
    <xf numFmtId="165" fontId="41"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0" applyNumberFormat="0" applyBorder="0" applyAlignment="0" applyProtection="0"/>
    <xf numFmtId="0" fontId="46" fillId="17" borderId="33" applyNumberFormat="0" applyAlignment="0" applyProtection="0"/>
    <xf numFmtId="0" fontId="47" fillId="18" borderId="34" applyNumberFormat="0" applyAlignment="0" applyProtection="0"/>
    <xf numFmtId="0" fontId="48" fillId="18" borderId="33" applyNumberFormat="0" applyAlignment="0" applyProtection="0"/>
    <xf numFmtId="0" fontId="49" fillId="0" borderId="35" applyNumberFormat="0" applyFill="0" applyAlignment="0" applyProtection="0"/>
    <xf numFmtId="0" fontId="50" fillId="19" borderId="36" applyNumberFormat="0" applyAlignment="0" applyProtection="0"/>
    <xf numFmtId="0" fontId="51" fillId="0" borderId="0" applyNumberFormat="0" applyFill="0" applyBorder="0" applyAlignment="0" applyProtection="0"/>
    <xf numFmtId="0" fontId="41" fillId="20" borderId="37" applyNumberFormat="0" applyFont="0" applyAlignment="0" applyProtection="0"/>
    <xf numFmtId="0" fontId="52" fillId="0" borderId="38" applyNumberFormat="0" applyFill="0" applyAlignment="0" applyProtection="0"/>
    <xf numFmtId="0" fontId="5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30">
    <xf numFmtId="0" fontId="0" fillId="10" borderId="0" xfId="0"/>
    <xf numFmtId="0" fontId="2" fillId="10" borderId="0" xfId="0" applyFont="1"/>
    <xf numFmtId="0" fontId="4" fillId="10" borderId="0" xfId="0" applyFont="1"/>
    <xf numFmtId="9" fontId="0" fillId="10" borderId="0" xfId="0" applyNumberFormat="1" applyAlignment="1">
      <alignment horizontal="right"/>
    </xf>
    <xf numFmtId="0" fontId="2" fillId="4" borderId="0" xfId="0" applyFont="1" applyFill="1" applyAlignment="1">
      <alignment horizontal="left" vertical="top" indent="1"/>
    </xf>
    <xf numFmtId="0" fontId="3" fillId="4" borderId="0" xfId="0" applyFont="1" applyFill="1" applyAlignment="1">
      <alignment horizontal="left" vertical="top" indent="1"/>
    </xf>
    <xf numFmtId="0" fontId="5" fillId="4" borderId="0" xfId="0" applyFont="1" applyFill="1" applyAlignment="1">
      <alignment horizontal="left" vertical="top" indent="1"/>
    </xf>
    <xf numFmtId="0" fontId="2" fillId="8" borderId="0" xfId="0" applyFont="1" applyFill="1" applyAlignment="1">
      <alignment horizontal="left" vertical="top" indent="1"/>
    </xf>
    <xf numFmtId="0" fontId="22" fillId="10" borderId="0" xfId="0" applyFont="1"/>
    <xf numFmtId="0" fontId="21" fillId="9" borderId="0" xfId="3" applyFont="1" applyFill="1" applyAlignment="1">
      <alignment horizontal="left" vertical="center" indent="1"/>
    </xf>
    <xf numFmtId="0" fontId="16" fillId="4" borderId="5" xfId="0" applyFont="1" applyFill="1" applyBorder="1" applyAlignment="1">
      <alignment horizontal="left" vertical="center" indent="1"/>
    </xf>
    <xf numFmtId="0" fontId="4" fillId="10" borderId="4" xfId="0" applyFont="1" applyBorder="1"/>
    <xf numFmtId="0" fontId="17" fillId="4" borderId="0" xfId="2" applyAlignment="1"/>
    <xf numFmtId="0" fontId="10" fillId="6" borderId="0" xfId="3" applyFill="1" applyAlignment="1">
      <alignment horizontal="left" vertical="center" indent="2"/>
    </xf>
    <xf numFmtId="0" fontId="10" fillId="5" borderId="0" xfId="3" applyFill="1" applyAlignment="1">
      <alignment horizontal="left" vertical="center" indent="2"/>
    </xf>
    <xf numFmtId="0" fontId="10" fillId="7" borderId="0" xfId="3" applyFill="1" applyAlignment="1">
      <alignment horizontal="left" vertical="center" indent="2"/>
    </xf>
    <xf numFmtId="0" fontId="10" fillId="4" borderId="0" xfId="3" applyFill="1" applyAlignment="1">
      <alignment horizontal="left" vertical="center" indent="2"/>
    </xf>
    <xf numFmtId="0" fontId="0" fillId="11" borderId="2" xfId="0" applyFill="1" applyBorder="1" applyAlignment="1">
      <alignment horizontal="left" vertical="center" indent="2"/>
    </xf>
    <xf numFmtId="9" fontId="0" fillId="11" borderId="2" xfId="0" applyNumberFormat="1" applyFill="1" applyBorder="1" applyAlignment="1">
      <alignment horizontal="right" vertical="center" indent="2"/>
    </xf>
    <xf numFmtId="0" fontId="23" fillId="12" borderId="0" xfId="3" applyFont="1" applyFill="1" applyAlignment="1">
      <alignment horizontal="left"/>
    </xf>
    <xf numFmtId="0" fontId="23" fillId="12" borderId="0" xfId="3" applyFont="1" applyFill="1" applyAlignment="1">
      <alignment horizontal="center"/>
    </xf>
    <xf numFmtId="0" fontId="11" fillId="9" borderId="3" xfId="3" applyFont="1" applyFill="1" applyBorder="1" applyAlignment="1">
      <alignment horizontal="left" vertical="center" indent="1"/>
    </xf>
    <xf numFmtId="0" fontId="16" fillId="4" borderId="7" xfId="0" applyFont="1" applyFill="1" applyBorder="1" applyAlignment="1">
      <alignment horizontal="left" vertical="center" indent="1"/>
    </xf>
    <xf numFmtId="0" fontId="28" fillId="9" borderId="3" xfId="3" applyFont="1" applyFill="1" applyBorder="1">
      <alignment vertical="center"/>
    </xf>
    <xf numFmtId="0" fontId="20" fillId="10" borderId="0" xfId="0" applyFont="1" applyAlignment="1">
      <alignment wrapText="1"/>
    </xf>
    <xf numFmtId="0" fontId="21" fillId="9" borderId="3" xfId="3" applyFont="1" applyFill="1" applyBorder="1" applyAlignment="1">
      <alignment horizontal="left" vertical="center" indent="1"/>
    </xf>
    <xf numFmtId="0" fontId="30" fillId="9" borderId="0" xfId="3" applyFont="1" applyFill="1">
      <alignment vertical="center"/>
    </xf>
    <xf numFmtId="0" fontId="0" fillId="10" borderId="0" xfId="0" applyAlignment="1">
      <alignment vertical="center"/>
    </xf>
    <xf numFmtId="0" fontId="32" fillId="8" borderId="0" xfId="2" applyFont="1" applyFill="1" applyAlignment="1">
      <alignment horizontal="center" vertical="center"/>
    </xf>
    <xf numFmtId="0" fontId="33" fillId="8" borderId="0" xfId="0" applyFont="1" applyFill="1" applyAlignment="1">
      <alignment horizontal="left" vertical="top" indent="1"/>
    </xf>
    <xf numFmtId="0" fontId="34" fillId="10" borderId="0" xfId="0" applyFont="1"/>
    <xf numFmtId="0" fontId="33" fillId="8" borderId="0" xfId="0" applyFont="1" applyFill="1" applyAlignment="1">
      <alignment horizontal="left" vertical="top" wrapText="1" indent="1"/>
    </xf>
    <xf numFmtId="0" fontId="33" fillId="8" borderId="0" xfId="0" applyFont="1" applyFill="1" applyAlignment="1">
      <alignment horizontal="left" vertical="top" wrapText="1"/>
    </xf>
    <xf numFmtId="0" fontId="34" fillId="10" borderId="0" xfId="0" applyFont="1" applyAlignment="1">
      <alignment wrapText="1"/>
    </xf>
    <xf numFmtId="0" fontId="35" fillId="10" borderId="0" xfId="0" applyFont="1" applyAlignment="1">
      <alignment vertical="center" wrapText="1"/>
    </xf>
    <xf numFmtId="0" fontId="2" fillId="10" borderId="0" xfId="0" applyFont="1" applyAlignment="1">
      <alignment wrapText="1"/>
    </xf>
    <xf numFmtId="0" fontId="0" fillId="11" borderId="5" xfId="0" applyFill="1" applyBorder="1" applyAlignment="1">
      <alignment horizontal="left" vertical="center" indent="2"/>
    </xf>
    <xf numFmtId="9" fontId="0" fillId="11" borderId="5" xfId="0" applyNumberFormat="1" applyFill="1" applyBorder="1" applyAlignment="1">
      <alignment horizontal="right" vertical="center" indent="2"/>
    </xf>
    <xf numFmtId="0" fontId="34" fillId="10" borderId="6" xfId="0" applyFont="1" applyBorder="1"/>
    <xf numFmtId="0" fontId="36" fillId="10" borderId="0" xfId="0" applyFont="1" applyAlignment="1">
      <alignment vertical="center" wrapText="1"/>
    </xf>
    <xf numFmtId="0" fontId="36" fillId="10" borderId="0" xfId="0" applyFont="1" applyAlignment="1">
      <alignment wrapText="1"/>
    </xf>
    <xf numFmtId="0" fontId="37" fillId="10" borderId="0" xfId="0" applyFont="1" applyAlignment="1">
      <alignment vertical="center" wrapText="1"/>
    </xf>
    <xf numFmtId="0" fontId="24" fillId="6" borderId="9" xfId="4" applyFont="1" applyFill="1" applyBorder="1">
      <alignment horizontal="left" vertical="center" indent="1"/>
    </xf>
    <xf numFmtId="0" fontId="16" fillId="4" borderId="10" xfId="0"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24" fillId="5" borderId="14" xfId="4" applyFont="1" applyFill="1" applyBorder="1">
      <alignment horizontal="left" vertical="center" indent="1"/>
    </xf>
    <xf numFmtId="0" fontId="24" fillId="5" borderId="9" xfId="4" applyFont="1" applyFill="1" applyBorder="1">
      <alignment horizontal="left" vertical="center" indent="1"/>
    </xf>
    <xf numFmtId="0" fontId="24" fillId="5" borderId="25" xfId="4" applyFont="1" applyFill="1" applyBorder="1">
      <alignment horizontal="left" vertical="center" indent="1"/>
    </xf>
    <xf numFmtId="0" fontId="24" fillId="7" borderId="14" xfId="4" applyFont="1" applyFill="1" applyBorder="1">
      <alignment horizontal="left" vertical="center" indent="1"/>
    </xf>
    <xf numFmtId="0" fontId="24" fillId="6" borderId="14" xfId="4" applyFont="1" applyFill="1" applyBorder="1">
      <alignment horizontal="left" vertical="center" indent="1"/>
    </xf>
    <xf numFmtId="0" fontId="20" fillId="12" borderId="16" xfId="4" applyFont="1" applyFill="1" applyBorder="1" applyAlignment="1">
      <alignment horizontal="center" vertical="center"/>
    </xf>
    <xf numFmtId="0" fontId="6" fillId="11" borderId="30" xfId="0" applyFont="1" applyFill="1" applyBorder="1" applyAlignment="1">
      <alignment horizontal="left" vertical="center" indent="2"/>
    </xf>
    <xf numFmtId="0" fontId="40" fillId="4" borderId="0" xfId="0" applyFont="1" applyFill="1" applyAlignment="1">
      <alignment horizontal="left" vertical="top" indent="1"/>
    </xf>
    <xf numFmtId="0" fontId="16" fillId="4" borderId="17" xfId="0" applyFont="1" applyFill="1" applyBorder="1" applyAlignment="1">
      <alignment horizontal="left" vertical="center" indent="1"/>
    </xf>
    <xf numFmtId="0" fontId="27" fillId="11" borderId="19" xfId="0" applyFont="1" applyFill="1" applyBorder="1" applyAlignment="1">
      <alignment horizontal="left" vertical="center" indent="1"/>
    </xf>
    <xf numFmtId="0" fontId="27" fillId="11" borderId="11" xfId="0" applyFont="1" applyFill="1" applyBorder="1" applyAlignment="1">
      <alignment horizontal="left" vertical="center" indent="1"/>
    </xf>
    <xf numFmtId="0" fontId="27" fillId="11" borderId="19" xfId="0" applyFont="1" applyFill="1" applyBorder="1" applyAlignment="1">
      <alignment horizontal="left" vertical="center" indent="2"/>
    </xf>
    <xf numFmtId="0" fontId="24" fillId="7" borderId="9" xfId="4" applyFont="1" applyFill="1" applyBorder="1">
      <alignment horizontal="left" vertical="center" indent="1"/>
    </xf>
    <xf numFmtId="0" fontId="16" fillId="4" borderId="4" xfId="0" applyFont="1" applyFill="1" applyBorder="1" applyAlignment="1">
      <alignment horizontal="left" vertical="center" indent="1"/>
    </xf>
    <xf numFmtId="0" fontId="30" fillId="9" borderId="32" xfId="3" applyFont="1" applyFill="1" applyBorder="1">
      <alignment vertical="center"/>
    </xf>
    <xf numFmtId="0" fontId="19" fillId="11" borderId="19" xfId="0" applyFont="1" applyFill="1" applyBorder="1" applyAlignment="1">
      <alignment horizontal="left" vertical="center" indent="1"/>
    </xf>
    <xf numFmtId="0" fontId="18" fillId="11" borderId="19" xfId="0" applyFont="1" applyFill="1" applyBorder="1" applyAlignment="1">
      <alignment horizontal="left" vertical="center" indent="2"/>
    </xf>
    <xf numFmtId="0" fontId="6" fillId="11" borderId="19" xfId="0" applyFont="1" applyFill="1" applyBorder="1" applyAlignment="1">
      <alignment horizontal="left" vertical="center" indent="1"/>
    </xf>
    <xf numFmtId="0" fontId="19" fillId="11" borderId="19" xfId="0" applyFont="1" applyFill="1" applyBorder="1" applyAlignment="1">
      <alignment horizontal="left" vertical="center" indent="2"/>
    </xf>
    <xf numFmtId="0" fontId="0" fillId="11" borderId="2" xfId="0" applyFill="1" applyBorder="1" applyAlignment="1">
      <alignment horizontal="left" vertical="center" indent="1"/>
    </xf>
    <xf numFmtId="0" fontId="16" fillId="4" borderId="26" xfId="0" applyFont="1" applyFill="1" applyBorder="1" applyAlignment="1">
      <alignment horizontal="left" vertical="center" indent="1"/>
    </xf>
    <xf numFmtId="0" fontId="0" fillId="10" borderId="0" xfId="0" applyAlignment="1">
      <alignment horizontal="left" indent="1"/>
    </xf>
    <xf numFmtId="0" fontId="4" fillId="10" borderId="0" xfId="0" applyFont="1" applyAlignment="1">
      <alignment horizontal="left"/>
    </xf>
    <xf numFmtId="0" fontId="29" fillId="4" borderId="0" xfId="0" applyFont="1" applyFill="1" applyAlignment="1">
      <alignment horizontal="center" vertical="top"/>
    </xf>
    <xf numFmtId="0" fontId="6" fillId="10" borderId="0" xfId="0" applyFont="1" applyAlignment="1">
      <alignment horizontal="center"/>
    </xf>
    <xf numFmtId="0" fontId="4" fillId="10" borderId="0" xfId="0" applyFont="1" applyAlignment="1">
      <alignment horizontal="center"/>
    </xf>
    <xf numFmtId="0" fontId="13" fillId="8" borderId="0" xfId="1" applyFont="1" applyFill="1" applyAlignment="1">
      <alignment horizontal="left" vertical="top" indent="1"/>
    </xf>
    <xf numFmtId="0" fontId="4" fillId="10" borderId="0" xfId="0" applyFont="1" applyAlignment="1">
      <alignment horizontal="left" indent="1"/>
    </xf>
    <xf numFmtId="0" fontId="39" fillId="4" borderId="0" xfId="2" applyFont="1" applyAlignment="1">
      <alignment horizontal="center" wrapText="1"/>
    </xf>
    <xf numFmtId="167" fontId="0" fillId="10" borderId="0" xfId="0" applyNumberFormat="1" applyAlignment="1">
      <alignment horizontal="right"/>
    </xf>
    <xf numFmtId="0" fontId="23" fillId="12" borderId="0" xfId="3" applyNumberFormat="1" applyFont="1" applyFill="1" applyAlignment="1">
      <alignment horizontal="center"/>
    </xf>
    <xf numFmtId="0" fontId="20" fillId="12" borderId="14" xfId="4" applyNumberFormat="1" applyFont="1" applyFill="1" applyBorder="1" applyAlignment="1">
      <alignment horizontal="center" vertical="center"/>
    </xf>
    <xf numFmtId="0" fontId="20" fillId="12" borderId="15" xfId="4" applyNumberFormat="1" applyFont="1" applyFill="1" applyBorder="1" applyAlignment="1">
      <alignment horizontal="center" vertical="center"/>
    </xf>
    <xf numFmtId="164" fontId="14" fillId="13" borderId="17" xfId="0" applyNumberFormat="1" applyFont="1" applyFill="1" applyBorder="1" applyAlignment="1">
      <alignment horizontal="right" vertical="center"/>
    </xf>
    <xf numFmtId="164" fontId="14" fillId="13" borderId="13" xfId="0" applyNumberFormat="1" applyFont="1" applyFill="1" applyBorder="1" applyAlignment="1">
      <alignment horizontal="right" vertical="center"/>
    </xf>
    <xf numFmtId="164" fontId="14" fillId="11" borderId="18" xfId="0" applyNumberFormat="1" applyFont="1" applyFill="1" applyBorder="1" applyAlignment="1">
      <alignment horizontal="right" vertical="center"/>
    </xf>
    <xf numFmtId="164" fontId="14" fillId="11" borderId="19" xfId="0" applyNumberFormat="1" applyFont="1" applyFill="1" applyBorder="1" applyAlignment="1">
      <alignment horizontal="right" vertical="center"/>
    </xf>
    <xf numFmtId="164" fontId="14" fillId="11" borderId="20" xfId="0" applyNumberFormat="1" applyFont="1" applyFill="1" applyBorder="1" applyAlignment="1">
      <alignment horizontal="right" vertical="center"/>
    </xf>
    <xf numFmtId="164" fontId="14" fillId="11" borderId="21" xfId="0" applyNumberFormat="1" applyFont="1" applyFill="1" applyBorder="1" applyAlignment="1">
      <alignment horizontal="right" vertical="center"/>
    </xf>
    <xf numFmtId="168" fontId="4" fillId="10" borderId="0" xfId="0" applyNumberFormat="1" applyFont="1" applyAlignment="1">
      <alignment horizontal="right"/>
    </xf>
    <xf numFmtId="168" fontId="6" fillId="10" borderId="0" xfId="0" applyNumberFormat="1" applyFont="1" applyAlignment="1">
      <alignment horizontal="right"/>
    </xf>
    <xf numFmtId="0" fontId="20" fillId="12" borderId="22" xfId="4" applyNumberFormat="1" applyFont="1" applyFill="1" applyBorder="1">
      <alignment horizontal="left" vertical="center" indent="1"/>
    </xf>
    <xf numFmtId="0" fontId="20" fillId="12" borderId="23" xfId="4" applyNumberFormat="1" applyFont="1" applyFill="1" applyBorder="1">
      <alignment horizontal="left" vertical="center" indent="1"/>
    </xf>
    <xf numFmtId="0" fontId="20" fillId="12" borderId="24" xfId="4" applyNumberFormat="1" applyFont="1" applyFill="1" applyBorder="1">
      <alignment horizontal="left" vertical="center" indent="1"/>
    </xf>
    <xf numFmtId="164" fontId="14" fillId="11" borderId="27" xfId="0" applyNumberFormat="1" applyFont="1" applyFill="1" applyBorder="1" applyAlignment="1">
      <alignment horizontal="right" vertical="center"/>
    </xf>
    <xf numFmtId="164" fontId="14" fillId="11" borderId="28" xfId="0" applyNumberFormat="1" applyFont="1" applyFill="1" applyBorder="1" applyAlignment="1">
      <alignment horizontal="right" vertical="center"/>
    </xf>
    <xf numFmtId="164" fontId="14" fillId="11" borderId="29" xfId="0" applyNumberFormat="1" applyFont="1" applyFill="1" applyBorder="1" applyAlignment="1">
      <alignment horizontal="right" vertical="center"/>
    </xf>
    <xf numFmtId="168" fontId="7" fillId="10" borderId="0" xfId="0" applyNumberFormat="1" applyFont="1" applyAlignment="1">
      <alignment horizontal="right"/>
    </xf>
    <xf numFmtId="0" fontId="20" fillId="12" borderId="15" xfId="4" applyNumberFormat="1" applyFont="1" applyFill="1" applyBorder="1">
      <alignment horizontal="left" vertical="center" indent="1"/>
    </xf>
    <xf numFmtId="0" fontId="20" fillId="12" borderId="16" xfId="4" applyNumberFormat="1" applyFont="1" applyFill="1" applyBorder="1">
      <alignment horizontal="left" vertical="center" indent="1"/>
    </xf>
    <xf numFmtId="164" fontId="0" fillId="13" borderId="17" xfId="0" applyNumberFormat="1" applyFill="1" applyBorder="1" applyAlignment="1">
      <alignment horizontal="right" vertical="center"/>
    </xf>
    <xf numFmtId="164" fontId="0" fillId="13" borderId="13" xfId="0" applyNumberFormat="1" applyFill="1" applyBorder="1" applyAlignment="1">
      <alignment horizontal="right" vertical="center"/>
    </xf>
    <xf numFmtId="164" fontId="0" fillId="11" borderId="18" xfId="0" applyNumberFormat="1" applyFill="1" applyBorder="1" applyAlignment="1">
      <alignment horizontal="right" vertical="center"/>
    </xf>
    <xf numFmtId="164" fontId="0" fillId="11" borderId="19" xfId="0" applyNumberFormat="1" applyFill="1" applyBorder="1" applyAlignment="1">
      <alignment horizontal="right" vertical="center"/>
    </xf>
    <xf numFmtId="164" fontId="0" fillId="11" borderId="20" xfId="0" applyNumberFormat="1" applyFill="1" applyBorder="1" applyAlignment="1">
      <alignment horizontal="right" vertical="center"/>
    </xf>
    <xf numFmtId="164" fontId="0" fillId="11" borderId="21" xfId="0" applyNumberFormat="1" applyFill="1" applyBorder="1" applyAlignment="1">
      <alignment horizontal="right" vertical="center"/>
    </xf>
    <xf numFmtId="164" fontId="15" fillId="11" borderId="5" xfId="0" applyNumberFormat="1" applyFont="1" applyFill="1" applyBorder="1" applyAlignment="1">
      <alignment horizontal="right" vertical="center"/>
    </xf>
    <xf numFmtId="164" fontId="15" fillId="11" borderId="2" xfId="0" applyNumberFormat="1" applyFont="1" applyFill="1" applyBorder="1" applyAlignment="1">
      <alignment horizontal="right" vertical="center"/>
    </xf>
    <xf numFmtId="0" fontId="20" fillId="12" borderId="14" xfId="4" applyNumberFormat="1" applyFont="1" applyFill="1" applyBorder="1">
      <alignment horizontal="left" vertical="center" indent="1"/>
    </xf>
    <xf numFmtId="164" fontId="0" fillId="11" borderId="19" xfId="0" applyNumberFormat="1" applyFill="1" applyBorder="1" applyAlignment="1">
      <alignment vertical="center"/>
    </xf>
    <xf numFmtId="164" fontId="0" fillId="11" borderId="20" xfId="0" applyNumberFormat="1" applyFill="1" applyBorder="1" applyAlignment="1">
      <alignment vertical="center"/>
    </xf>
    <xf numFmtId="164" fontId="0" fillId="11" borderId="21" xfId="0" applyNumberFormat="1" applyFill="1" applyBorder="1" applyAlignment="1">
      <alignment vertical="center"/>
    </xf>
    <xf numFmtId="164" fontId="25" fillId="11" borderId="20" xfId="0" applyNumberFormat="1" applyFont="1" applyFill="1" applyBorder="1" applyAlignment="1">
      <alignment horizontal="right" vertical="center"/>
    </xf>
    <xf numFmtId="164" fontId="15" fillId="11" borderId="31" xfId="0" applyNumberFormat="1" applyFont="1" applyFill="1" applyBorder="1" applyAlignment="1">
      <alignment horizontal="right"/>
    </xf>
    <xf numFmtId="164" fontId="15" fillId="11" borderId="2" xfId="0" applyNumberFormat="1" applyFont="1" applyFill="1" applyBorder="1" applyAlignment="1">
      <alignment horizontal="right"/>
    </xf>
    <xf numFmtId="164" fontId="15" fillId="11" borderId="6" xfId="0" applyNumberFormat="1" applyFont="1" applyFill="1" applyBorder="1" applyAlignment="1">
      <alignment horizontal="right"/>
    </xf>
    <xf numFmtId="164" fontId="15" fillId="11" borderId="8" xfId="0" applyNumberFormat="1" applyFont="1" applyFill="1" applyBorder="1" applyAlignment="1">
      <alignment horizontal="right"/>
    </xf>
    <xf numFmtId="164" fontId="15" fillId="11" borderId="5" xfId="0" applyNumberFormat="1" applyFont="1" applyFill="1" applyBorder="1" applyAlignment="1">
      <alignment horizontal="right"/>
    </xf>
    <xf numFmtId="0" fontId="20" fillId="12" borderId="15" xfId="4" applyNumberFormat="1" applyFont="1" applyFill="1" applyBorder="1" applyAlignment="1">
      <alignment horizontal="left"/>
    </xf>
    <xf numFmtId="0" fontId="20" fillId="12" borderId="16" xfId="4" applyNumberFormat="1" applyFont="1" applyFill="1" applyBorder="1" applyAlignment="1">
      <alignment horizontal="left"/>
    </xf>
    <xf numFmtId="164" fontId="14" fillId="11" borderId="20" xfId="0" applyNumberFormat="1" applyFont="1" applyFill="1" applyBorder="1" applyAlignment="1">
      <alignment vertical="center"/>
    </xf>
    <xf numFmtId="164" fontId="26" fillId="11" borderId="2" xfId="0" applyNumberFormat="1" applyFont="1" applyFill="1" applyBorder="1" applyAlignment="1">
      <alignment horizontal="right"/>
    </xf>
    <xf numFmtId="164" fontId="26" fillId="11" borderId="8" xfId="0" applyNumberFormat="1" applyFont="1" applyFill="1" applyBorder="1" applyAlignment="1">
      <alignment horizontal="right"/>
    </xf>
    <xf numFmtId="164" fontId="0" fillId="11" borderId="2" xfId="0" applyNumberFormat="1" applyFill="1" applyBorder="1" applyAlignment="1">
      <alignment horizontal="right" vertical="center" indent="2"/>
    </xf>
    <xf numFmtId="164" fontId="0" fillId="11" borderId="5" xfId="0" applyNumberFormat="1" applyFill="1" applyBorder="1" applyAlignment="1">
      <alignment horizontal="right" vertical="center" indent="2"/>
    </xf>
    <xf numFmtId="0" fontId="20" fillId="10" borderId="0" xfId="0" applyFont="1" applyAlignment="1">
      <alignment wrapText="1"/>
    </xf>
    <xf numFmtId="0" fontId="20" fillId="10" borderId="0" xfId="0" applyFont="1"/>
    <xf numFmtId="0" fontId="17" fillId="4" borderId="0" xfId="2" applyAlignment="1">
      <alignment horizontal="left" indent="1"/>
    </xf>
    <xf numFmtId="0" fontId="12" fillId="4" borderId="0" xfId="5" applyFill="1" applyAlignment="1">
      <alignment horizontal="left" vertical="top" indent="1"/>
    </xf>
    <xf numFmtId="0" fontId="38" fillId="4" borderId="0" xfId="5" applyFont="1" applyFill="1" applyAlignment="1">
      <alignment horizontal="left" vertical="top" indent="1"/>
    </xf>
    <xf numFmtId="0" fontId="17" fillId="4" borderId="0" xfId="2" applyAlignment="1">
      <alignment horizontal="right" vertical="center" indent="3"/>
    </xf>
    <xf numFmtId="0" fontId="31" fillId="11" borderId="0" xfId="0" applyFont="1" applyFill="1" applyAlignment="1">
      <alignment horizontal="center"/>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2"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2" builtinId="25" customBuiltin="1"/>
    <cellStyle name="Warning Text" xfId="20" builtinId="11" customBuiltin="1"/>
  </cellStyles>
  <dxfs count="468">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4"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4"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4"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top style="medium">
          <color theme="6" tint="0.39994506668294322"/>
        </top>
        <bottom/>
      </border>
    </dxf>
    <dxf>
      <font>
        <b val="0"/>
      </font>
      <numFmt numFmtId="164" formatCode="#,##0.00\ &quot;€&quot;;[Red]\-#,##0.00\ &quot;€&quot;"/>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numFmt numFmtId="167" formatCode="#,##0.00\ &quot;€&quot;;[Red]#,##0.00\ &quot;€&quo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border>
    </dxf>
    <dxf>
      <numFmt numFmtId="164" formatCode="#,##0.00\ &quot;€&quot;;[Red]\-#,##0.00\ &quot;€&quot;"/>
    </dxf>
    <dxf>
      <font>
        <b/>
        <i val="0"/>
        <strike val="0"/>
        <condense val="0"/>
        <extend val="0"/>
        <outline val="0"/>
        <shadow val="0"/>
        <u val="none"/>
        <vertAlign val="baseline"/>
        <sz val="10"/>
        <color theme="1" tint="0.24994659260841701"/>
        <name val="Microsoft Sans Serif"/>
        <family val="2"/>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right style="medium">
          <color theme="6" tint="0.39994506668294322"/>
        </right>
        <top style="medium">
          <color theme="6" tint="0.39994506668294322"/>
        </top>
        <bottom/>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4" formatCode="#,##0.00\ &quot;€&quot;;[Red]\-#,##0.00\ &quot;€&quot;"/>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4" formatCode="#,##0.00\ &quot;€&quot;;[Red]\-#,##0.00\ &quot;€&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4"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numFmt numFmtId="167" formatCode="#,##0.00\ &quot;€&quot;;[Red]#,##0.00\ &quot;€&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4" formatCode="#,##0.00\ &quot;€&quot;;[Red]\-#,##0.00\ &quot;€&quot;"/>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numFmt numFmtId="164" formatCode="#,##0.00\ &quot;€&quot;;[Red]\-#,##0.00\ &quot;€&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7" formatCode="#,##0.00\ &quot;€&quot;;[Red]#,##0.00\ &quot;€&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7" formatCode="#,##0.00\ &quot;€&quot;;[Red]#,##0.00\ &quot;€&quo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strike val="0"/>
        <outline val="0"/>
        <shadow val="0"/>
        <u val="none"/>
        <vertAlign val="baseline"/>
        <sz val="9"/>
        <color theme="1"/>
        <name val="Microsoft Sans Serif"/>
        <family val="2"/>
        <scheme val="minor"/>
      </font>
      <numFmt numFmtId="164" formatCode="#,##0.00\ &quot;€&quot;;[Red]\-#,##0.00\ &quot;€&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PivotStyle="PivotStyleLight16">
    <tableStyle name="Λεπτομερείς εκτιμήσεις εξόδων Πίνακας 2" pivot="0" count="7" xr9:uid="{00000000-0011-0000-FFFF-FFFF00000000}">
      <tableStyleElement type="wholeTable" dxfId="467"/>
      <tableStyleElement type="headerRow" dxfId="466"/>
      <tableStyleElement type="totalRow" dxfId="465"/>
      <tableStyleElement type="firstColumn" dxfId="464"/>
      <tableStyleElement type="lastColumn" dxfId="463"/>
      <tableStyleElement type="firstRowStripe" size="9" dxfId="462"/>
      <tableStyleElement type="firstColumnStripe" dxfId="461"/>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worksheet" Target="/xl/worksheets/sheet54.xml" Id="rId5" /><Relationship Type="http://schemas.openxmlformats.org/officeDocument/2006/relationships/customXml" Target="/customXml/item13.xml" Id="rId10" /><Relationship Type="http://schemas.openxmlformats.org/officeDocument/2006/relationships/worksheet" Target="/xl/worksheets/sheet45.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Μηνιαία έξοδα</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en-US"/>
        </a:p>
      </c:txPr>
    </c:title>
    <c:autoTitleDeleted val="0"/>
    <c:plotArea>
      <c:layout/>
      <c:barChart>
        <c:barDir val="col"/>
        <c:grouping val="clustered"/>
        <c:varyColors val="0"/>
        <c:ser>
          <c:idx val="1"/>
          <c:order val="1"/>
          <c:tx>
            <c:v>Προγραμματισμένα</c:v>
          </c:tx>
          <c:spPr>
            <a:solidFill>
              <a:schemeClr val="accent2"/>
            </a:solidFill>
            <a:ln>
              <a:noFill/>
            </a:ln>
            <a:effectLst/>
          </c:spPr>
          <c:invertIfNegative val="0"/>
          <c:val>
            <c:numRef>
              <c:f>'ΠΡΟΓΡΑΜΜΑΤΙΣΜΕΝΑ ΕΞΟΔΑ'!$C$36:$N$36</c:f>
              <c:numCache>
                <c:formatCode>#,##0.00\ "€";[Red]\-#,##0.00\ "€"</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Πραγματικά</c:v>
          </c:tx>
          <c:spPr>
            <a:solidFill>
              <a:schemeClr val="accent4">
                <a:alpha val="25000"/>
              </a:schemeClr>
            </a:solidFill>
            <a:ln>
              <a:noFill/>
            </a:ln>
            <a:effectLst/>
          </c:spPr>
          <c:invertIfNegative val="0"/>
          <c:val>
            <c:numRef>
              <c:f>'ΠΡΑΓΜΑΤΙΚΑ ΕΞΟΔΑ'!$C$36:$N$36</c:f>
              <c:numCache>
                <c:formatCode>#,##0.00\ "€";[Red]\-#,##0.00\ "€"</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Διακύμανση</c:v>
          </c:tx>
          <c:spPr>
            <a:ln w="28575" cap="rnd">
              <a:solidFill>
                <a:schemeClr val="accent3">
                  <a:shade val="65000"/>
                </a:schemeClr>
              </a:solidFill>
              <a:round/>
            </a:ln>
            <a:effectLst/>
          </c:spPr>
          <c:marker>
            <c:symbol val="none"/>
          </c:marker>
          <c:val>
            <c:numRef>
              <c:f>'ΔΙΑΚΥΜΑΝΣΕΙΣ ΕΞΟΔΩΝ'!$C$36:$N$36</c:f>
              <c:numCache>
                <c:formatCode>#,##0.00\ "€";[Red]\-#,##0.00\ "€"</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Μήνας</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Έξοδα</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6616"/>
        <c:crosses val="autoZero"/>
        <c:crossBetween val="between"/>
        <c:dispUnits>
          <c:builtInUnit val="tenThousands"/>
          <c:dispUnitsLbl>
            <c:layout>
              <c:manualLayout>
                <c:xMode val="edge"/>
                <c:yMode val="edge"/>
                <c:x val="4.1853475435826903E-2"/>
                <c:y val="0.1131709608276475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1.8591667626513452E-4"/>
          <c:y val="5.3074322488831559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4761214035933"/>
          <c:y val="0.17330539881195353"/>
          <c:w val="0.77251078549188523"/>
          <c:h val="0.71853463513379401"/>
        </c:manualLayout>
      </c:layout>
      <c:barChart>
        <c:barDir val="bar"/>
        <c:grouping val="clustered"/>
        <c:varyColors val="0"/>
        <c:ser>
          <c:idx val="1"/>
          <c:order val="0"/>
          <c:tx>
            <c:strRef>
              <c:f>'ΑΝΑΛΥΣΗ ΕΞΟΔΩΝ'!$C$5</c:f>
              <c:strCache>
                <c:ptCount val="1"/>
                <c:pt idx="0">
                  <c:v>Προγραμματισμένα έξοδα</c:v>
                </c:pt>
              </c:strCache>
            </c:strRef>
          </c:tx>
          <c:spPr>
            <a:solidFill>
              <a:schemeClr val="accent2"/>
            </a:solidFill>
            <a:ln w="19050">
              <a:noFill/>
            </a:ln>
            <a:effectLst/>
          </c:spPr>
          <c:invertIfNegative val="0"/>
          <c:cat>
            <c:strRef>
              <c:f>'ΑΝΑΛΥΣΗ ΕΞΟΔΩΝ'!$B$6:$B$9</c:f>
              <c:strCache>
                <c:ptCount val="4"/>
                <c:pt idx="0">
                  <c:v>Έξοδα υπαλλήλων</c:v>
                </c:pt>
                <c:pt idx="1">
                  <c:v>Έξοδα γραφείου</c:v>
                </c:pt>
                <c:pt idx="2">
                  <c:v>Έξοδα μάρκετινγκ</c:v>
                </c:pt>
                <c:pt idx="3">
                  <c:v>Εκπαίδευση/Ταξίδια</c:v>
                </c:pt>
              </c:strCache>
            </c:strRef>
          </c:cat>
          <c:val>
            <c:numRef>
              <c:f>'ΑΝΑΛΥΣΗ ΕΞΟΔΩΝ'!$C$6:$C$9</c:f>
              <c:numCache>
                <c:formatCode>#,##0.00\ "€";[Red]\-#,##0.00\ "€"</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'ΑΝΑΛΥΣΗ ΕΞΟΔΩΝ'!$D$5</c:f>
              <c:strCache>
                <c:ptCount val="1"/>
                <c:pt idx="0">
                  <c:v>Πραγματικά έξοδα</c:v>
                </c:pt>
              </c:strCache>
            </c:strRef>
          </c:tx>
          <c:spPr>
            <a:solidFill>
              <a:schemeClr val="accent4"/>
            </a:solidFill>
            <a:ln w="19050">
              <a:noFill/>
            </a:ln>
            <a:effectLst/>
          </c:spPr>
          <c:invertIfNegative val="0"/>
          <c:dPt>
            <c:idx val="0"/>
            <c:invertIfNegative val="0"/>
            <c:bubble3D val="0"/>
            <c:extLst>
              <c:ext xmlns:c16="http://schemas.microsoft.com/office/drawing/2014/chart" uri="{C3380CC4-5D6E-409C-BE32-E72D297353CC}">
                <c16:uniqueId val="{00000001-F485-485F-B818-D5944CB69AAB}"/>
              </c:ext>
            </c:extLst>
          </c:dPt>
          <c:dPt>
            <c:idx val="1"/>
            <c:invertIfNegative val="0"/>
            <c:bubble3D val="0"/>
            <c:extLst>
              <c:ext xmlns:c16="http://schemas.microsoft.com/office/drawing/2014/chart" uri="{C3380CC4-5D6E-409C-BE32-E72D297353CC}">
                <c16:uniqueId val="{00000003-F485-485F-B818-D5944CB69AAB}"/>
              </c:ext>
            </c:extLst>
          </c:dPt>
          <c:dPt>
            <c:idx val="2"/>
            <c:invertIfNegative val="0"/>
            <c:bubble3D val="0"/>
            <c:extLst>
              <c:ext xmlns:c16="http://schemas.microsoft.com/office/drawing/2014/chart" uri="{C3380CC4-5D6E-409C-BE32-E72D297353CC}">
                <c16:uniqueId val="{00000005-F485-485F-B818-D5944CB69AAB}"/>
              </c:ext>
            </c:extLst>
          </c:dPt>
          <c:dPt>
            <c:idx val="3"/>
            <c:invertIfNegative val="0"/>
            <c:bubble3D val="0"/>
            <c:extLst>
              <c:ext xmlns:c16="http://schemas.microsoft.com/office/drawing/2014/chart" uri="{C3380CC4-5D6E-409C-BE32-E72D297353CC}">
                <c16:uniqueId val="{00000007-F485-485F-B818-D5944CB69AAB}"/>
              </c:ext>
            </c:extLst>
          </c:dPt>
          <c:cat>
            <c:strRef>
              <c:f>'ΑΝΑΛΥΣΗ ΕΞΟΔΩΝ'!$B$6:$B$9</c:f>
              <c:strCache>
                <c:ptCount val="4"/>
                <c:pt idx="0">
                  <c:v>Έξοδα υπαλλήλων</c:v>
                </c:pt>
                <c:pt idx="1">
                  <c:v>Έξοδα γραφείου</c:v>
                </c:pt>
                <c:pt idx="2">
                  <c:v>Έξοδα μάρκετινγκ</c:v>
                </c:pt>
                <c:pt idx="3">
                  <c:v>Εκπαίδευση/Ταξίδια</c:v>
                </c:pt>
              </c:strCache>
            </c:strRef>
          </c:cat>
          <c:val>
            <c:numRef>
              <c:f>'ΑΝΑΛΥΣΗ ΕΞΟΔΩΝ'!$D$6:$D$9</c:f>
              <c:numCache>
                <c:formatCode>#,##0.00\ "€";[Red]\-#,##0.00\ "€"</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0\ &quot;€&quot;"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45712"/>
        <c:crosses val="autoZero"/>
        <c:crossBetween val="between"/>
        <c:dispUnits>
          <c:builtInUnit val="tenThousands"/>
          <c:dispUnitsLbl>
            <c:layout>
              <c:manualLayout>
                <c:xMode val="edge"/>
                <c:yMode val="edge"/>
                <c:x val="0.8892370118684154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55552"/>
        <c:crosses val="autoZero"/>
        <c:auto val="1"/>
        <c:lblAlgn val="ctr"/>
        <c:lblOffset val="100"/>
        <c:noMultiLvlLbl val="0"/>
      </c:catAx>
      <c:spPr>
        <a:noFill/>
        <a:ln>
          <a:noFill/>
        </a:ln>
        <a:effectLst/>
      </c:spPr>
    </c:plotArea>
    <c:legend>
      <c:legendPos val="t"/>
      <c:layout>
        <c:manualLayout>
          <c:xMode val="edge"/>
          <c:yMode val="edge"/>
          <c:x val="1.0972101080870553E-3"/>
          <c:y val="1.0416663818716148E-2"/>
          <c:w val="0.50412422913354504"/>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&#65279;<?xml version="1.0" encoding="utf-8"?><Relationships xmlns="http://schemas.openxmlformats.org/package/2006/relationships"><Relationship Type="http://schemas.openxmlformats.org/officeDocument/2006/relationships/image" Target="/xl/media/image1.png" Id="rId1" /></Relationships>
</file>

<file path=xl/drawings/_rels/drawing21.xml.rels>&#65279;<?xml version="1.0" encoding="utf-8"?><Relationships xmlns="http://schemas.openxmlformats.org/package/2006/relationships"><Relationship Type="http://schemas.openxmlformats.org/officeDocument/2006/relationships/image" Target="/xl/media/image1.png" Id="rId1" /></Relationships>
</file>

<file path=xl/drawings/_rels/drawing34.xml.rels>&#65279;<?xml version="1.0" encoding="utf-8"?><Relationships xmlns="http://schemas.openxmlformats.org/package/2006/relationships"><Relationship Type="http://schemas.openxmlformats.org/officeDocument/2006/relationships/image" Target="/xl/media/image23.png" Id="rId1" /></Relationships>
</file>

<file path=xl/drawings/_rels/drawing43.xml.rels>&#65279;<?xml version="1.0" encoding="utf-8"?><Relationships xmlns="http://schemas.openxmlformats.org/package/2006/relationships"><Relationship Type="http://schemas.openxmlformats.org/officeDocument/2006/relationships/chart" Target="/xl/charts/chart21.xml" Id="rId3" /><Relationship Type="http://schemas.openxmlformats.org/officeDocument/2006/relationships/image" Target="/xl/media/image32.png"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13</xdr:row>
      <xdr:rowOff>9525</xdr:rowOff>
    </xdr:to>
    <xdr:sp macro="" textlink="">
      <xdr:nvSpPr>
        <xdr:cNvPr id="3" name="Φυσαλίδα ομιλίας: Ορθογώνιο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515154" y="1257300"/>
          <a:ext cx="1935608" cy="341947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el" sz="1100" b="1">
              <a:solidFill>
                <a:schemeClr val="tx2"/>
              </a:solidFill>
              <a:effectLst/>
              <a:latin typeface="Microsoft Sans Serif" panose="020B0604020202020204" pitchFamily="34" charset="0"/>
              <a:ea typeface="+mn-ea"/>
              <a:cs typeface="+mn-cs"/>
            </a:rPr>
            <a:t>ΠΩΣ ΝΑ ΧΡΗΣΙΜΟΠΟΙΗΣΕΤΕ ΑΥΤΟ ΤΟ ΠΡΟΤΥΠΟ</a:t>
          </a:r>
        </a:p>
        <a:p>
          <a:pPr rtl="0"/>
          <a:endParaRPr lang="en-US">
            <a:solidFill>
              <a:schemeClr val="tx2"/>
            </a:solidFill>
            <a:effectLst/>
            <a:latin typeface="Microsoft Sans Serif" panose="020B0604020202020204" pitchFamily="34" charset="0"/>
          </a:endParaRPr>
        </a:p>
        <a:p>
          <a:pPr rtl="0"/>
          <a:r>
            <a:rPr lang="el" sz="1100">
              <a:solidFill>
                <a:schemeClr val="tx2"/>
              </a:solidFill>
              <a:effectLst/>
              <a:latin typeface="Microsoft Sans Serif" panose="020B0604020202020204" pitchFamily="34" charset="0"/>
              <a:ea typeface="+mn-ea"/>
              <a:cs typeface="+mn-cs"/>
            </a:rPr>
            <a:t>Εισαγάγετε δεδομένα στα λευκά κελιά στα φύλλα εργασίας ΠΡΟΓΡΑΜΜΑΤΙΣΜΕΝΑ ΕΞΟΔΑ και ΠΡΑΓΜΑΤΙΚΑ ΕΞΟΔΑ και θα υπολογιστούν για εσάς οι ΔΙΑΚΥΜΑΝΣΕΙΣ ΕΞΟΔΩΝ και η ΑΝΑΛΥΣΗ ΕΞΟΔΩΝ.  Εάν προσθέσετε μια γραμμή σε ένα φύλλο εργασίας, τα </a:t>
          </a:r>
          <a:r>
            <a:rPr lang="el" sz="1100" baseline="0">
              <a:solidFill>
                <a:schemeClr val="tx2"/>
              </a:solidFill>
              <a:effectLst/>
              <a:latin typeface="Microsoft Sans Serif" panose="020B0604020202020204" pitchFamily="34" charset="0"/>
              <a:ea typeface="+mn-ea"/>
              <a:cs typeface="+mn-cs"/>
            </a:rPr>
            <a:t> υπόλοιπα φύλλα πρέπει να συμφωνούν.</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2117</xdr:rowOff>
    </xdr:from>
    <xdr:to>
      <xdr:col>14</xdr:col>
      <xdr:colOff>851122</xdr:colOff>
      <xdr:row>2</xdr:row>
      <xdr:rowOff>139243</xdr:rowOff>
    </xdr:to>
    <xdr:pic>
      <xdr:nvPicPr>
        <xdr:cNvPr id="9" name="Εικόνα 18" descr="Θέση λογότυπου">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5888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851122</xdr:colOff>
      <xdr:row>2</xdr:row>
      <xdr:rowOff>139243</xdr:rowOff>
    </xdr:to>
    <xdr:pic>
      <xdr:nvPicPr>
        <xdr:cNvPr id="6" name="Εικόνα 18" descr="Θέση λογότυπου">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5888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251011</xdr:colOff>
      <xdr:row>1</xdr:row>
      <xdr:rowOff>0</xdr:rowOff>
    </xdr:from>
    <xdr:to>
      <xdr:col>14</xdr:col>
      <xdr:colOff>817011</xdr:colOff>
      <xdr:row>2</xdr:row>
      <xdr:rowOff>129496</xdr:rowOff>
    </xdr:to>
    <xdr:pic>
      <xdr:nvPicPr>
        <xdr:cNvPr id="6" name="Εικόνα 18" descr="Θέση λογότυπου">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5872011" y="304800"/>
          <a:ext cx="1613750"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12</xdr:row>
      <xdr:rowOff>200025</xdr:rowOff>
    </xdr:from>
    <xdr:to>
      <xdr:col>5</xdr:col>
      <xdr:colOff>1619250</xdr:colOff>
      <xdr:row>38</xdr:row>
      <xdr:rowOff>21653</xdr:rowOff>
    </xdr:to>
    <xdr:graphicFrame macro="">
      <xdr:nvGraphicFramePr>
        <xdr:cNvPr id="8" name="ΓράφημαΜηνιαίωνΕξόδων" descr="Το γράφημα που εμφανίζει τα προγραμματισμένα έξοδα, τα πραγματικά έξοδα και τη διακύμανση στα μηνιαία έξοδα">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447675</xdr:colOff>
      <xdr:row>1</xdr:row>
      <xdr:rowOff>1635</xdr:rowOff>
    </xdr:from>
    <xdr:to>
      <xdr:col>6</xdr:col>
      <xdr:colOff>69215</xdr:colOff>
      <xdr:row>1</xdr:row>
      <xdr:rowOff>548896</xdr:rowOff>
    </xdr:to>
    <xdr:pic>
      <xdr:nvPicPr>
        <xdr:cNvPr id="9" name="Εικόνα 18" descr="Θέση λογότυπου">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7553325"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11</xdr:row>
      <xdr:rowOff>0</xdr:rowOff>
    </xdr:from>
    <xdr:to>
      <xdr:col>5</xdr:col>
      <xdr:colOff>1154765</xdr:colOff>
      <xdr:row>11</xdr:row>
      <xdr:rowOff>3657601</xdr:rowOff>
    </xdr:to>
    <xdr:graphicFrame macro="">
      <xdr:nvGraphicFramePr>
        <xdr:cNvPr id="7" name="ΓράφημαΠραγματικώνΕξόδων" descr="Το γράφημα πίτας που εμφανίζει τα πραγματικά έξοδα που προέκυψαν σε διάφορες κατηγορίες">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ΣυνολικάΠραγματικά" displayName="ΣυνολικάΠραγματικά" ref="B35:O37" totalsRowShown="0" headerRowDxfId="177" dataDxfId="176" tableBorderDxfId="175">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ΣΥΝΟΛΙΚΑ προγραμματισμένα έξοδα" dataDxfId="174"/>
    <tableColumn id="2" xr3:uid="{ED08B701-BD0B-43EA-B6B5-8B23D583D505}" name="Ιαν" dataDxfId="173">
      <calculatedColumnFormula>SUM($C35:C$36)</calculatedColumnFormula>
    </tableColumn>
    <tableColumn id="3" xr3:uid="{953C450B-5235-4234-924F-53796609C439}" name="Φεβ" dataDxfId="172">
      <calculatedColumnFormula>SUM($C35:D$36)</calculatedColumnFormula>
    </tableColumn>
    <tableColumn id="4" xr3:uid="{A434CE91-3696-411F-8418-02228D13F12E}" name="Μάρ" dataDxfId="171">
      <calculatedColumnFormula>SUM($C35:E$36)</calculatedColumnFormula>
    </tableColumn>
    <tableColumn id="5" xr3:uid="{1E74C645-B91F-4CDB-9F55-6FEC8EAB0A64}" name="Απρ" dataDxfId="170">
      <calculatedColumnFormula>SUM($C35:F$36)</calculatedColumnFormula>
    </tableColumn>
    <tableColumn id="6" xr3:uid="{A3B698F1-9EF3-489A-A70E-8E760D6B713B}" name="Μάι" dataDxfId="169">
      <calculatedColumnFormula>SUM($C35:G$36)</calculatedColumnFormula>
    </tableColumn>
    <tableColumn id="7" xr3:uid="{6CEDC80B-5635-47E7-AA54-EBD827095F7C}" name="Ιούν" dataDxfId="168">
      <calculatedColumnFormula>SUM($C35:H$36)</calculatedColumnFormula>
    </tableColumn>
    <tableColumn id="8" xr3:uid="{A73C88FE-0ABF-4134-B6B0-043ECC9295D4}" name="Ιούλ" dataDxfId="167">
      <calculatedColumnFormula>SUM($C35:I$36)</calculatedColumnFormula>
    </tableColumn>
    <tableColumn id="9" xr3:uid="{62119987-B16F-44A1-B80E-29460A9513CD}" name="Αύγ" dataDxfId="166">
      <calculatedColumnFormula>SUM($C35:J$36)</calculatedColumnFormula>
    </tableColumn>
    <tableColumn id="10" xr3:uid="{C84A40CE-DC4A-442E-883F-891CA5A9A166}" name="Σεπ" dataDxfId="165">
      <calculatedColumnFormula>SUM($C35:K$36)</calculatedColumnFormula>
    </tableColumn>
    <tableColumn id="11" xr3:uid="{4DB975F1-C294-416D-81FB-A8070CC2C3BC}" name="Οκτ" dataDxfId="164">
      <calculatedColumnFormula>SUM($C35:L$36)</calculatedColumnFormula>
    </tableColumn>
    <tableColumn id="12" xr3:uid="{BC57DA11-9B5C-452D-8026-EF863D07E32E}" name="Νοε" dataDxfId="163">
      <calculatedColumnFormula>SUM($C35:M$36)</calculatedColumnFormula>
    </tableColumn>
    <tableColumn id="13" xr3:uid="{904E02FB-FEA8-49B0-ABA0-9B659A7720D8}" name="Δεκ" dataDxfId="162">
      <calculatedColumnFormula>SUM($C35:N$36)</calculatedColumnFormula>
    </tableColumn>
    <tableColumn id="14" xr3:uid="{8C10E0BB-4735-4718-9538-C4AFB616D92A}" name="Έτος" dataDxfId="161"/>
  </tableColumns>
  <tableStyleInfo name="TableStyleMedium1" showFirstColumn="1" showLastColumn="0" showRowStripes="0" showColumnStripes="0"/>
  <extLst>
    <ext xmlns:x14="http://schemas.microsoft.com/office/spreadsheetml/2009/9/main" uri="{504A1905-F514-4f6f-8877-14C23A59335A}">
      <x14:table altTextSummary="Τα μηνιαία και τα συνολικά πραγματικά έξοδα υπολογίζονται αυτόματα σε αυτόν τον πίνακα"/>
    </ext>
  </extLst>
</table>
</file>

<file path=xl/tables/table1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ΔιακυμάνσειςΕξόδωνΥπαλλήλων" displayName="ΔιακυμάνσειςΕξόδωνΥπαλλήλων" ref="B5:O8" totalsRowCount="1" headerRowDxfId="155" totalsRowDxfId="152" headerRowBorderDxfId="154" tableBorderDxfId="153" totalsRowBorderDxfId="151">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Έξοδα υπαλλήλων" totalsRowLabel="Μερικό άθροισμα" dataDxfId="150" totalsRowDxfId="149"/>
    <tableColumn id="2" xr3:uid="{00000000-0010-0000-0800-000002000000}" name="Ιαν" totalsRowFunction="sum" dataDxfId="148" totalsRowDxfId="147">
      <calculatedColumnFormula>INDEX(Προγραμματισμένα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ογραμματισμέναΈξοδαΥπαλλήλων[#Headers],0))-INDEX(Πραγματικά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αγματικάΈξοδαΥπαλλήλων[#Headers],0))</calculatedColumnFormula>
    </tableColumn>
    <tableColumn id="3" xr3:uid="{00000000-0010-0000-0800-000003000000}" name="Φεβ" totalsRowFunction="sum" dataDxfId="146" totalsRowDxfId="145">
      <calculatedColumnFormula>INDEX(Προγραμματισμένα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ογραμματισμέναΈξοδαΥπαλλήλων[#Headers],0))-INDEX(Πραγματικά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αγματικάΈξοδαΥπαλλήλων[#Headers],0))</calculatedColumnFormula>
    </tableColumn>
    <tableColumn id="4" xr3:uid="{00000000-0010-0000-0800-000004000000}" name="Μάρ" totalsRowFunction="sum" dataDxfId="144" totalsRowDxfId="143">
      <calculatedColumnFormula>INDEX(Προγραμματισμένα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ογραμματισμέναΈξοδαΥπαλλήλων[#Headers],0))-INDEX(Πραγματικά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αγματικάΈξοδαΥπαλλήλων[#Headers],0))</calculatedColumnFormula>
    </tableColumn>
    <tableColumn id="5" xr3:uid="{00000000-0010-0000-0800-000005000000}" name="Απρ" totalsRowFunction="sum" dataDxfId="142" totalsRowDxfId="141">
      <calculatedColumnFormula>INDEX(Προγραμματισμένα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ογραμματισμέναΈξοδαΥπαλλήλων[#Headers],0))-INDEX(Πραγματικά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αγματικάΈξοδαΥπαλλήλων[#Headers],0))</calculatedColumnFormula>
    </tableColumn>
    <tableColumn id="6" xr3:uid="{00000000-0010-0000-0800-000006000000}" name="Μάι" totalsRowFunction="sum" dataDxfId="140" totalsRowDxfId="139">
      <calculatedColumnFormula>INDEX(Προγραμματισμένα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ογραμματισμέναΈξοδαΥπαλλήλων[#Headers],0))-INDEX(Πραγματικά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αγματικάΈξοδαΥπαλλήλων[#Headers],0))</calculatedColumnFormula>
    </tableColumn>
    <tableColumn id="7" xr3:uid="{00000000-0010-0000-0800-000007000000}" name="Ιούν" totalsRowFunction="sum" dataDxfId="138" totalsRowDxfId="137">
      <calculatedColumnFormula>INDEX(Προγραμματισμένα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ογραμματισμέναΈξοδαΥπαλλήλων[#Headers],0))-INDEX(Πραγματικά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αγματικάΈξοδαΥπαλλήλων[#Headers],0))</calculatedColumnFormula>
    </tableColumn>
    <tableColumn id="8" xr3:uid="{00000000-0010-0000-0800-000008000000}" name="Ιούλ" totalsRowFunction="sum" dataDxfId="136" totalsRowDxfId="135">
      <calculatedColumnFormula>INDEX(Προγραμματισμένα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ογραμματισμέναΈξοδαΥπαλλήλων[#Headers],0))-INDEX(Πραγματικά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αγματικάΈξοδαΥπαλλήλων[#Headers],0))</calculatedColumnFormula>
    </tableColumn>
    <tableColumn id="9" xr3:uid="{00000000-0010-0000-0800-000009000000}" name="Αύγ" totalsRowFunction="sum" dataDxfId="134" totalsRowDxfId="133">
      <calculatedColumnFormula>INDEX(Προγραμματισμένα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ογραμματισμέναΈξοδαΥπαλλήλων[#Headers],0))-INDEX(Πραγματικά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αγματικάΈξοδαΥπαλλήλων[#Headers],0))</calculatedColumnFormula>
    </tableColumn>
    <tableColumn id="10" xr3:uid="{00000000-0010-0000-0800-00000A000000}" name="Σεπ" totalsRowFunction="sum" dataDxfId="132" totalsRowDxfId="131">
      <calculatedColumnFormula>INDEX(Προγραμματισμένα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ογραμματισμέναΈξοδαΥπαλλήλων[#Headers],0))-INDEX(Πραγματικά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αγματικάΈξοδαΥπαλλήλων[#Headers],0))</calculatedColumnFormula>
    </tableColumn>
    <tableColumn id="11" xr3:uid="{00000000-0010-0000-0800-00000B000000}" name="Οκτ" totalsRowFunction="sum" dataDxfId="130" totalsRowDxfId="129">
      <calculatedColumnFormula>INDEX(Προγραμματισμένα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ογραμματισμέναΈξοδαΥπαλλήλων[#Headers],0))-INDEX(Πραγματικά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αγματικάΈξοδαΥπαλλήλων[#Headers],0))</calculatedColumnFormula>
    </tableColumn>
    <tableColumn id="12" xr3:uid="{00000000-0010-0000-0800-00000C000000}" name="Νοέ" totalsRowFunction="sum" dataDxfId="128" totalsRowDxfId="127">
      <calculatedColumnFormula>INDEX(Προγραμματισμένα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ογραμματισμέναΈξοδαΥπαλλήλων[#Headers],0))-INDEX(Πραγματικά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αγματικάΈξοδαΥπαλλήλων[#Headers],0))</calculatedColumnFormula>
    </tableColumn>
    <tableColumn id="13" xr3:uid="{00000000-0010-0000-0800-00000D000000}" name="Δεκ" totalsRowFunction="sum" dataDxfId="126" totalsRowDxfId="125">
      <calculatedColumnFormula>INDEX(Προγραμματισμένα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ογραμματισμέναΈξοδαΥπαλλήλων[#Headers],0))-INDEX(Πραγματικά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αγματικάΈξοδαΥπαλλήλων[#Headers],0))</calculatedColumnFormula>
    </tableColumn>
    <tableColumn id="14" xr3:uid="{00000000-0010-0000-0800-00000E000000}" name="ΕΤΟΣ" totalsRowFunction="sum" dataDxfId="124" totalsRowDxfId="123">
      <calculatedColumnFormula>SUM(ΔιακυμάνσειςΕξόδωνΥπαλλήλων[[#This Row],[Ιαν]:[Δεκ]])</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Η διακύμανση στα έξοδα υπαλλήλων ανά μήνα υπολογίζεται αυτόματα σε αυτόν τον πίνακα"/>
    </ext>
  </extLst>
</table>
</file>

<file path=xl/tables/table1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ΔιακυμάνσειςΕξόδωνΓραφείου" displayName="ΔιακυμάνσειςΕξόδωνΓραφείου" ref="B10:O19" totalsRowCount="1" headerRowDxfId="122" totalsRowDxfId="119" headerRowBorderDxfId="121" tableBorderDxfId="120" totalsRowBorderDxfId="118">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Έξοδα γραφείου" totalsRowLabel="Μερικό άθροισμα" dataDxfId="117" totalsRowDxfId="116"/>
    <tableColumn id="2" xr3:uid="{00000000-0010-0000-0900-000002000000}" name="Ιαν" totalsRowFunction="sum" dataDxfId="115" totalsRowDxfId="114">
      <calculatedColumnFormula>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calculatedColumnFormula>
    </tableColumn>
    <tableColumn id="3" xr3:uid="{00000000-0010-0000-0900-000003000000}" name="Φεβ" totalsRowFunction="sum" dataDxfId="113" totalsRowDxfId="112">
      <calculatedColumnFormula>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calculatedColumnFormula>
    </tableColumn>
    <tableColumn id="4" xr3:uid="{00000000-0010-0000-0900-000004000000}" name="Μάρ" totalsRowFunction="sum" dataDxfId="111" totalsRowDxfId="110">
      <calculatedColumnFormula>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calculatedColumnFormula>
    </tableColumn>
    <tableColumn id="5" xr3:uid="{00000000-0010-0000-0900-000005000000}" name="Απρ" totalsRowFunction="sum" dataDxfId="109" totalsRowDxfId="108">
      <calculatedColumnFormula>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calculatedColumnFormula>
    </tableColumn>
    <tableColumn id="6" xr3:uid="{00000000-0010-0000-0900-000006000000}" name="Μάι" totalsRowFunction="sum" dataDxfId="107" totalsRowDxfId="106">
      <calculatedColumnFormula>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calculatedColumnFormula>
    </tableColumn>
    <tableColumn id="7" xr3:uid="{00000000-0010-0000-0900-000007000000}" name="Ιούν" totalsRowFunction="sum" dataDxfId="105" totalsRowDxfId="104">
      <calculatedColumnFormula>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calculatedColumnFormula>
    </tableColumn>
    <tableColumn id="8" xr3:uid="{00000000-0010-0000-0900-000008000000}" name="Ιούλ" totalsRowFunction="sum" dataDxfId="103" totalsRowDxfId="102">
      <calculatedColumnFormula>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calculatedColumnFormula>
    </tableColumn>
    <tableColumn id="9" xr3:uid="{00000000-0010-0000-0900-000009000000}" name="Αύγ" totalsRowFunction="sum" dataDxfId="101" totalsRowDxfId="100">
      <calculatedColumnFormula>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calculatedColumnFormula>
    </tableColumn>
    <tableColumn id="10" xr3:uid="{00000000-0010-0000-0900-00000A000000}" name="Σεπ" totalsRowFunction="sum" dataDxfId="99" totalsRowDxfId="98">
      <calculatedColumnFormula>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calculatedColumnFormula>
    </tableColumn>
    <tableColumn id="11" xr3:uid="{00000000-0010-0000-0900-00000B000000}" name="Οκτ" totalsRowFunction="sum" dataDxfId="97" totalsRowDxfId="96">
      <calculatedColumnFormula>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calculatedColumnFormula>
    </tableColumn>
    <tableColumn id="12" xr3:uid="{00000000-0010-0000-0900-00000C000000}" name="Νοε" totalsRowFunction="sum" dataDxfId="95" totalsRowDxfId="94">
      <calculatedColumnFormula>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calculatedColumnFormula>
    </tableColumn>
    <tableColumn id="13" xr3:uid="{00000000-0010-0000-0900-00000D000000}" name="Δεκ" totalsRowFunction="sum" dataDxfId="93" totalsRowDxfId="92">
      <calculatedColumnFormula>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calculatedColumnFormula>
    </tableColumn>
    <tableColumn id="14" xr3:uid="{00000000-0010-0000-0900-00000E000000}" name="ΕΤΟΣ" totalsRowFunction="sum" dataDxfId="91" totalsRowDxfId="90">
      <calculatedColumnFormula>SUM(ΔιακυμάνσειςΕξόδωνΓραφείου[[#This Row],[Ιαν]:[Δεκ]])</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Η διακύμανση στα έξοδα γραφείου ανά μήνα υπολογίζεται αυτόματα σε αυτόν τον πίνακα"/>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ΔιακυμάνσειςΕξόδωνΜάρκετινγκ" displayName="ΔιακυμάνσειςΕξόδωνΜάρκετινγκ" ref="B21:O28" totalsRowCount="1" headerRowDxfId="89" totalsRowDxfId="86" headerRowBorderDxfId="88" tableBorderDxfId="87" totalsRowBorderDxfId="85">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Έξοδα μάρκετινγκ" totalsRowLabel="Μερικό άθροισμα" dataDxfId="84" totalsRowDxfId="83"/>
    <tableColumn id="2" xr3:uid="{00000000-0010-0000-0A00-000002000000}" name="Ιαν" totalsRowFunction="sum" dataDxfId="82" totalsRowDxfId="81">
      <calculatedColumnFormula>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calculatedColumnFormula>
    </tableColumn>
    <tableColumn id="3" xr3:uid="{00000000-0010-0000-0A00-000003000000}" name="Φεβ" totalsRowFunction="sum" dataDxfId="80" totalsRowDxfId="79">
      <calculatedColumnFormula>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calculatedColumnFormula>
    </tableColumn>
    <tableColumn id="4" xr3:uid="{00000000-0010-0000-0A00-000004000000}" name="Μάρ" totalsRowFunction="sum" dataDxfId="78" totalsRowDxfId="77">
      <calculatedColumnFormula>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calculatedColumnFormula>
    </tableColumn>
    <tableColumn id="5" xr3:uid="{00000000-0010-0000-0A00-000005000000}" name="Απρ" totalsRowFunction="sum" dataDxfId="76" totalsRowDxfId="75">
      <calculatedColumnFormula>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calculatedColumnFormula>
    </tableColumn>
    <tableColumn id="6" xr3:uid="{00000000-0010-0000-0A00-000006000000}" name="Μάι" totalsRowFunction="sum" dataDxfId="74" totalsRowDxfId="73">
      <calculatedColumnFormula>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calculatedColumnFormula>
    </tableColumn>
    <tableColumn id="7" xr3:uid="{00000000-0010-0000-0A00-000007000000}" name="Ιούν" totalsRowFunction="sum" dataDxfId="72" totalsRowDxfId="71">
      <calculatedColumnFormula>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calculatedColumnFormula>
    </tableColumn>
    <tableColumn id="8" xr3:uid="{00000000-0010-0000-0A00-000008000000}" name="Ιούλ" totalsRowFunction="sum" dataDxfId="70" totalsRowDxfId="69">
      <calculatedColumnFormula>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calculatedColumnFormula>
    </tableColumn>
    <tableColumn id="9" xr3:uid="{00000000-0010-0000-0A00-000009000000}" name="Αύγ" totalsRowFunction="sum" dataDxfId="68" totalsRowDxfId="67">
      <calculatedColumnFormula>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calculatedColumnFormula>
    </tableColumn>
    <tableColumn id="10" xr3:uid="{00000000-0010-0000-0A00-00000A000000}" name="Σεπ" totalsRowFunction="sum" dataDxfId="66" totalsRowDxfId="65">
      <calculatedColumnFormula>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calculatedColumnFormula>
    </tableColumn>
    <tableColumn id="11" xr3:uid="{00000000-0010-0000-0A00-00000B000000}" name="Οκτ" totalsRowFunction="sum" dataDxfId="64" totalsRowDxfId="63">
      <calculatedColumnFormula>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calculatedColumnFormula>
    </tableColumn>
    <tableColumn id="12" xr3:uid="{00000000-0010-0000-0A00-00000C000000}" name="Νοε" totalsRowFunction="sum" dataDxfId="62" totalsRowDxfId="61">
      <calculatedColumnFormula>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calculatedColumnFormula>
    </tableColumn>
    <tableColumn id="13" xr3:uid="{00000000-0010-0000-0A00-00000D000000}" name="Δεκ" totalsRowFunction="sum" dataDxfId="60" totalsRowDxfId="59">
      <calculatedColumnFormula>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calculatedColumnFormula>
    </tableColumn>
    <tableColumn id="14" xr3:uid="{00000000-0010-0000-0A00-00000E000000}" name="ΕΤΟΣ" totalsRowFunction="sum" dataDxfId="58" totalsRowDxfId="57">
      <calculatedColumnFormula>SUM(ΔιακυμάνσειςΕξόδωνΜάρκετινγκ[[#This Row],[Ιαν]:[Δεκ]])</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Η διακύμανση στα έξοδα μάρκετινγκ ανά μήνα υπολογίζεται αυτόματα σε αυτόν τον πίνακα"/>
    </ext>
  </extLst>
</table>
</file>

<file path=xl/tables/table14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ΔιακυμάνσειςΕξόδωνΕκπαίδευσηςΚαιΜετακινήσεων" displayName="ΔιακυμάνσειςΕξόδωνΕκπαίδευσηςΚαιΜετακινήσεων" ref="B30:O33" totalsRowCount="1" headerRowDxfId="56" totalsRowDxfId="53" headerRowBorderDxfId="55" tableBorderDxfId="54" totalsRowBorderDxfId="52">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Εκπαίδευση/Ταξίδια" totalsRowLabel="Μερικό άθροισμα" dataDxfId="51" totalsRowDxfId="50"/>
    <tableColumn id="2" xr3:uid="{00000000-0010-0000-0B00-000002000000}" name="Ιαν" totalsRowFunction="sum" dataDxfId="49" totalsRowDxfId="48">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αγματικάΈξοδαΕκπαίδευσηςΚαιΜετακινήσεων[#Headers],0))</calculatedColumnFormula>
    </tableColumn>
    <tableColumn id="3" xr3:uid="{00000000-0010-0000-0B00-000003000000}" name="Φεβ" totalsRowFunction="sum" dataDxfId="47" totalsRowDxfId="46">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αγματικάΈξοδαΕκπαίδευσηςΚαιΜετακινήσεων[#Headers],0))</calculatedColumnFormula>
    </tableColumn>
    <tableColumn id="4" xr3:uid="{00000000-0010-0000-0B00-000004000000}" name="Μάρ" totalsRowFunction="sum" dataDxfId="45" totalsRowDxfId="44">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αγματικάΈξοδαΕκπαίδευσηςΚαιΜετακινήσεων[#Headers],0))</calculatedColumnFormula>
    </tableColumn>
    <tableColumn id="5" xr3:uid="{00000000-0010-0000-0B00-000005000000}" name="Απρ" totalsRowFunction="sum" dataDxfId="43" totalsRowDxfId="42">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αγματικάΈξοδαΕκπαίδευσηςΚαιΜετακινήσεων[#Headers],0))</calculatedColumnFormula>
    </tableColumn>
    <tableColumn id="6" xr3:uid="{00000000-0010-0000-0B00-000006000000}" name="Μάι" totalsRowFunction="sum" dataDxfId="41" totalsRowDxfId="40">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αγματικάΈξοδαΕκπαίδευσηςΚαιΜετακινήσεων[#Headers],0))</calculatedColumnFormula>
    </tableColumn>
    <tableColumn id="7" xr3:uid="{00000000-0010-0000-0B00-000007000000}" name="Ιούν" totalsRowFunction="sum" dataDxfId="39" totalsRowDxfId="38">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αγματικάΈξοδαΕκπαίδευσηςΚαιΜετακινήσεων[#Headers],0))</calculatedColumnFormula>
    </tableColumn>
    <tableColumn id="8" xr3:uid="{00000000-0010-0000-0B00-000008000000}" name="Ιούλ" totalsRowFunction="sum" dataDxfId="37" totalsRowDxfId="36">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αγματικάΈξοδαΕκπαίδευσηςΚαιΜετακινήσεων[#Headers],0))</calculatedColumnFormula>
    </tableColumn>
    <tableColumn id="9" xr3:uid="{00000000-0010-0000-0B00-000009000000}" name="Αύγ" totalsRowFunction="sum" dataDxfId="35" totalsRowDxfId="34">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αγματικάΈξοδαΕκπαίδευσηςΚαιΜετακινήσεων[#Headers],0))</calculatedColumnFormula>
    </tableColumn>
    <tableColumn id="10" xr3:uid="{00000000-0010-0000-0B00-00000A000000}" name="Σεπ" totalsRowFunction="sum" dataDxfId="33" totalsRowDxfId="32">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αγματικάΈξοδαΕκπαίδευσηςΚαιΜετακινήσεων[#Headers],0))</calculatedColumnFormula>
    </tableColumn>
    <tableColumn id="11" xr3:uid="{00000000-0010-0000-0B00-00000B000000}" name="Οκτ" totalsRowFunction="sum" dataDxfId="31" totalsRowDxfId="30">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αγματικάΈξοδαΕκπαίδευσηςΚαιΜετακινήσεων[#Headers],0))</calculatedColumnFormula>
    </tableColumn>
    <tableColumn id="12" xr3:uid="{00000000-0010-0000-0B00-00000C000000}" name="Νοε" totalsRowFunction="sum" dataDxfId="29" totalsRowDxfId="28">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αγματικάΈξοδαΕκπαίδευσηςΚαιΜετακινήσεων[#Headers],0))</calculatedColumnFormula>
    </tableColumn>
    <tableColumn id="13" xr3:uid="{00000000-0010-0000-0B00-00000D000000}" name="Δεκ" totalsRowFunction="sum" dataDxfId="27" totalsRowDxfId="26">
      <calculatedColumnFormula>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αγματικάΈξοδαΕκπαίδευσηςΚαιΜετακινήσεων[#Headers],0))</calculatedColumnFormula>
    </tableColumn>
    <tableColumn id="14" xr3:uid="{00000000-0010-0000-0B00-00000E000000}" name="ΕΤΟΣ" totalsRowFunction="sum" dataDxfId="25" totalsRowDxfId="24">
      <calculatedColumnFormula>SUM(ΔιακυμάνσειςΕξόδωνΕκπαίδευσηςΚαιΜετακινήσεων[[#This Row],[Ιαν]:[Δεκ]])</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Η διακύμανση στα έξοδα εκπαίδευσης και μετακινήσεων ανά μήνα υπολογίζεται αυτόματα σε αυτόν τον πίνακα"/>
    </ext>
  </extLst>
</table>
</file>

<file path=xl/tables/table15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ΣυνολικέςΔιακυμάνσεις" displayName="ΣυνολικέςΔιακυμάνσεις" ref="B35:O37" totalsRowShown="0" headerRowDxfId="23" dataDxfId="22" tableBorderDxfId="21">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ΣΥΝΟΛΑ" dataDxfId="20"/>
    <tableColumn id="2" xr3:uid="{AE0C21A5-398B-42DE-950D-8AE4AD1A8551}" name="Ιαν" dataDxfId="19">
      <calculatedColumnFormula>SUM($C35:C$36)</calculatedColumnFormula>
    </tableColumn>
    <tableColumn id="3" xr3:uid="{A43B0B0E-F35F-4E04-8A0D-11BB7356D5F1}" name="Φεβ" dataDxfId="18">
      <calculatedColumnFormula>SUM($C35:D$36)</calculatedColumnFormula>
    </tableColumn>
    <tableColumn id="4" xr3:uid="{F14459A4-8E61-4E04-9A53-A7DA16CE366A}" name="Μάρ" dataDxfId="17">
      <calculatedColumnFormula>SUM($C35:E$36)</calculatedColumnFormula>
    </tableColumn>
    <tableColumn id="5" xr3:uid="{1C90C974-8801-4A11-B3AF-1DC144BB0C14}" name="Απρ" dataDxfId="16">
      <calculatedColumnFormula>SUM($C35:F$36)</calculatedColumnFormula>
    </tableColumn>
    <tableColumn id="6" xr3:uid="{C8E3F4F6-5F27-4CC7-9916-6D86833782C1}" name="Μάι" dataDxfId="15">
      <calculatedColumnFormula>SUM($C35:G$36)</calculatedColumnFormula>
    </tableColumn>
    <tableColumn id="7" xr3:uid="{AF75D92B-7578-4087-BB78-DD5AD8165117}" name="Ιούν" dataDxfId="14">
      <calculatedColumnFormula>SUM($C35:H$36)</calculatedColumnFormula>
    </tableColumn>
    <tableColumn id="8" xr3:uid="{35F61ABA-09FB-4695-B0F5-A2C6B6580A2E}" name="Ιούλ" dataDxfId="13">
      <calculatedColumnFormula>SUM($C35:I$36)</calculatedColumnFormula>
    </tableColumn>
    <tableColumn id="9" xr3:uid="{59F62437-45DC-439F-945A-D0E79C444E8E}" name="Αύγ" dataDxfId="12">
      <calculatedColumnFormula>SUM($C35:J$36)</calculatedColumnFormula>
    </tableColumn>
    <tableColumn id="10" xr3:uid="{2BF9DCC5-B211-44A6-BD40-E91602CDA85C}" name="Σεπ" dataDxfId="11">
      <calculatedColumnFormula>SUM($C35:K$36)</calculatedColumnFormula>
    </tableColumn>
    <tableColumn id="11" xr3:uid="{4280684A-CD23-4103-8664-029757D0A2A2}" name="Οκτ" dataDxfId="10">
      <calculatedColumnFormula>SUM($C35:L$36)</calculatedColumnFormula>
    </tableColumn>
    <tableColumn id="12" xr3:uid="{07DED434-EC8F-4DAF-83E3-E350A33F2EAE}" name="Νοε" dataDxfId="9">
      <calculatedColumnFormula>SUM($C35:M$36)</calculatedColumnFormula>
    </tableColumn>
    <tableColumn id="13" xr3:uid="{32BA0102-0F05-43CF-91BA-724F1FE01DAA}" name="Δεκ" dataDxfId="8">
      <calculatedColumnFormula>SUM($C35:N$36)</calculatedColumnFormula>
    </tableColumn>
    <tableColumn id="14" xr3:uid="{57A0D710-AEB8-4057-928D-010058E02081}" name="Έτος" dataDxfId="7"/>
  </tableColumns>
  <tableStyleInfo showFirstColumn="1" showLastColumn="0" showRowStripes="0" showColumnStripes="0"/>
  <extLst>
    <ext xmlns:x14="http://schemas.microsoft.com/office/spreadsheetml/2009/9/main" uri="{504A1905-F514-4f6f-8877-14C23A59335A}">
      <x14:table altTextSummary="Οι διακυμάνσεις μηνιαίων και συνολικών εξόδων υπολογίζονται αυτόματα σε αυτόν τον πίνακα"/>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ρογραμματισμέναΈξοδαΓραφείου" displayName="ΠρογραμματισμέναΈξοδαΓραφείου" ref="B10:O19" totalsRowCount="1" headerRowDxfId="460" totalsRowDxfId="457" headerRowBorderDxfId="459" tableBorderDxfId="458" totalsRowBorderDxfId="456">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Έξοδα γραφείου" totalsRowLabel="Μερικό άθροισμα" dataDxfId="455" totalsRowDxfId="454"/>
    <tableColumn id="2" xr3:uid="{00000000-0010-0000-0000-000002000000}" name="Ιαν" totalsRowFunction="sum" dataDxfId="453" totalsRowDxfId="452"/>
    <tableColumn id="3" xr3:uid="{00000000-0010-0000-0000-000003000000}" name="Φεβ" totalsRowFunction="sum" dataDxfId="451" totalsRowDxfId="450"/>
    <tableColumn id="4" xr3:uid="{00000000-0010-0000-0000-000004000000}" name="Μάρ" totalsRowFunction="sum" dataDxfId="449" totalsRowDxfId="448"/>
    <tableColumn id="5" xr3:uid="{00000000-0010-0000-0000-000005000000}" name="Απρ" totalsRowFunction="sum" dataDxfId="447" totalsRowDxfId="446"/>
    <tableColumn id="6" xr3:uid="{00000000-0010-0000-0000-000006000000}" name="Μάι" totalsRowFunction="sum" dataDxfId="445" totalsRowDxfId="444"/>
    <tableColumn id="7" xr3:uid="{00000000-0010-0000-0000-000007000000}" name="Ιούν" totalsRowFunction="sum" dataDxfId="443" totalsRowDxfId="442"/>
    <tableColumn id="8" xr3:uid="{00000000-0010-0000-0000-000008000000}" name="Ιούλ" totalsRowFunction="sum" dataDxfId="441" totalsRowDxfId="440"/>
    <tableColumn id="9" xr3:uid="{00000000-0010-0000-0000-000009000000}" name="Αύγ" totalsRowFunction="sum" dataDxfId="439" totalsRowDxfId="438"/>
    <tableColumn id="10" xr3:uid="{00000000-0010-0000-0000-00000A000000}" name="Σεπ" totalsRowFunction="sum" dataDxfId="437" totalsRowDxfId="436"/>
    <tableColumn id="11" xr3:uid="{00000000-0010-0000-0000-00000B000000}" name="Οκτ" totalsRowFunction="sum" dataDxfId="435" totalsRowDxfId="434"/>
    <tableColumn id="12" xr3:uid="{00000000-0010-0000-0000-00000C000000}" name="Νοε" totalsRowFunction="sum" dataDxfId="433" totalsRowDxfId="432"/>
    <tableColumn id="13" xr3:uid="{00000000-0010-0000-0000-00000D000000}" name="Δεκ" totalsRowFunction="sum" dataDxfId="431" totalsRowDxfId="430"/>
    <tableColumn id="14" xr3:uid="{00000000-0010-0000-0000-00000E000000}" name="ΕΤΟΣ" totalsRowFunction="sum" dataDxfId="429" totalsRowDxfId="428">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Καταχωρήστε τα προγραμματισμένα μηνιαία έξοδα γραφείου σε αυτόν τον πίνακα. Το σύνολο υπολογίζεται αυτόματα στο τέλος"/>
    </ext>
  </extLst>
</table>
</file>

<file path=xl/tables/table1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Ανάλυση" displayName="Ανάλυση" ref="B5:F10" totalsRowShown="0" dataDxfId="6" tableBorderDxfId="5">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Κατηγορία εξόδων" dataDxfId="4"/>
    <tableColumn id="2" xr3:uid="{71038352-BC76-49DD-9F6C-B394E5F033ED}" name="Προγραμματισμένα έξοδα" dataDxfId="3"/>
    <tableColumn id="3" xr3:uid="{19ED3EBC-BC10-47F6-9800-62129A32BC8E}" name="Πραγματικά έξοδα" dataDxfId="2"/>
    <tableColumn id="4" xr3:uid="{E8D5E1DD-7CB1-4A1A-8F42-EFBF70790FE7}" name="Διακυμάνσεις εξόδων" dataDxfId="1">
      <calculatedColumnFormula>C6-D6</calculatedColumnFormula>
    </tableColumn>
    <tableColumn id="5" xr3:uid="{47E1881E-12A2-4F0E-8364-B79F2DC5D0B1}" name="Ποσοστό διακύμανσης" dataDxfId="0">
      <calculatedColumnFormula>E6/C6</calculatedColumnFormula>
    </tableColumn>
  </tableColumns>
  <tableStyleInfo showFirstColumn="1" showLastColumn="0" showRowStripes="0"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ΠρογραμματισμέναΈξοδαΜάρκετινγκ" displayName="ΠρογραμματισμέναΈξοδαΜάρκετινγκ" ref="B21:O28" totalsRowCount="1" headerRowDxfId="427" totalsRowDxfId="424" headerRowBorderDxfId="426" tableBorderDxfId="425" totalsRowBorderDxfId="423">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Έξοδα μάρκετινγκ" totalsRowLabel="Μερικό άθροισμα" dataDxfId="422" totalsRowDxfId="421"/>
    <tableColumn id="2" xr3:uid="{00000000-0010-0000-0100-000002000000}" name="Ιαν" totalsRowFunction="sum" dataDxfId="420" totalsRowDxfId="419"/>
    <tableColumn id="3" xr3:uid="{00000000-0010-0000-0100-000003000000}" name="Φεβ" totalsRowFunction="sum" dataDxfId="418" totalsRowDxfId="417"/>
    <tableColumn id="4" xr3:uid="{00000000-0010-0000-0100-000004000000}" name="Μάρ" totalsRowFunction="sum" dataDxfId="416" totalsRowDxfId="415"/>
    <tableColumn id="5" xr3:uid="{00000000-0010-0000-0100-000005000000}" name="Απρ" totalsRowFunction="sum" dataDxfId="414" totalsRowDxfId="413"/>
    <tableColumn id="6" xr3:uid="{00000000-0010-0000-0100-000006000000}" name="Μάι" totalsRowFunction="sum" dataDxfId="412" totalsRowDxfId="411"/>
    <tableColumn id="7" xr3:uid="{00000000-0010-0000-0100-000007000000}" name="Ιούν" totalsRowFunction="sum" dataDxfId="410" totalsRowDxfId="409"/>
    <tableColumn id="8" xr3:uid="{00000000-0010-0000-0100-000008000000}" name="Ιούλ" totalsRowFunction="sum" dataDxfId="408" totalsRowDxfId="407"/>
    <tableColumn id="9" xr3:uid="{00000000-0010-0000-0100-000009000000}" name="Αύγ" totalsRowFunction="sum" dataDxfId="406" totalsRowDxfId="405"/>
    <tableColumn id="10" xr3:uid="{00000000-0010-0000-0100-00000A000000}" name="Σεπ" totalsRowFunction="sum" dataDxfId="404" totalsRowDxfId="403"/>
    <tableColumn id="11" xr3:uid="{00000000-0010-0000-0100-00000B000000}" name="Οκτ" totalsRowFunction="sum" dataDxfId="402" totalsRowDxfId="401"/>
    <tableColumn id="12" xr3:uid="{00000000-0010-0000-0100-00000C000000}" name="Νοε" totalsRowFunction="sum" dataDxfId="400" totalsRowDxfId="399"/>
    <tableColumn id="13" xr3:uid="{00000000-0010-0000-0100-00000D000000}" name="Δεκ" totalsRowFunction="sum" dataDxfId="398" totalsRowDxfId="397"/>
    <tableColumn id="14" xr3:uid="{00000000-0010-0000-0100-00000E000000}" name="ΕΤΟΣ" totalsRowFunction="sum" dataDxfId="396" totalsRowDxfId="395">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Εισαγάγετε τα προγραμματισμένα μηνιαία έξοδα μάρκετινγκ σε αυτόν τον πίνακα. Το σύνολο υπολογίζεται αυτόματα στο τέλος"/>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ΠρογραμματισμέναΈξοδαΕκπαίδευσηςΚαιΜετακινήσεων" displayName="ΠρογραμματισμέναΈξοδαΕκπαίδευσηςΚαιΜετακινήσεων" ref="B30:O33" totalsRowCount="1" headerRowDxfId="394" totalsRowDxfId="391" headerRowBorderDxfId="393" tableBorderDxfId="392" totalsRowBorderDxfId="390">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Εκπαίδευση/Ταξίδια" totalsRowLabel="Μερικό άθροισμα" dataDxfId="389" totalsRowDxfId="388"/>
    <tableColumn id="2" xr3:uid="{00000000-0010-0000-0200-000002000000}" name="Ιαν" totalsRowFunction="sum" dataDxfId="387" totalsRowDxfId="386"/>
    <tableColumn id="3" xr3:uid="{00000000-0010-0000-0200-000003000000}" name="Φεβ" totalsRowFunction="sum" dataDxfId="385" totalsRowDxfId="384"/>
    <tableColumn id="4" xr3:uid="{00000000-0010-0000-0200-000004000000}" name="Μάρ" totalsRowFunction="sum" dataDxfId="383" totalsRowDxfId="382"/>
    <tableColumn id="5" xr3:uid="{00000000-0010-0000-0200-000005000000}" name="Απρ" totalsRowFunction="sum" dataDxfId="381" totalsRowDxfId="380"/>
    <tableColumn id="6" xr3:uid="{00000000-0010-0000-0200-000006000000}" name="Μάι" totalsRowFunction="sum" dataDxfId="379" totalsRowDxfId="378"/>
    <tableColumn id="7" xr3:uid="{00000000-0010-0000-0200-000007000000}" name="Ιούν" totalsRowFunction="sum" dataDxfId="377" totalsRowDxfId="376"/>
    <tableColumn id="8" xr3:uid="{00000000-0010-0000-0200-000008000000}" name="Ιούλ" totalsRowFunction="sum" dataDxfId="375" totalsRowDxfId="374"/>
    <tableColumn id="9" xr3:uid="{00000000-0010-0000-0200-000009000000}" name="Αύγ" totalsRowFunction="sum" dataDxfId="373" totalsRowDxfId="372"/>
    <tableColumn id="10" xr3:uid="{00000000-0010-0000-0200-00000A000000}" name="Σεπ" totalsRowFunction="sum" dataDxfId="371" totalsRowDxfId="370"/>
    <tableColumn id="11" xr3:uid="{00000000-0010-0000-0200-00000B000000}" name="Οκτ" totalsRowFunction="sum" dataDxfId="369" totalsRowDxfId="368"/>
    <tableColumn id="12" xr3:uid="{00000000-0010-0000-0200-00000C000000}" name="Νοε" totalsRowFunction="sum" dataDxfId="367" totalsRowDxfId="366"/>
    <tableColumn id="13" xr3:uid="{00000000-0010-0000-0200-00000D000000}" name="Δεκ" totalsRowFunction="sum" dataDxfId="365" totalsRowDxfId="364"/>
    <tableColumn id="14" xr3:uid="{00000000-0010-0000-0200-00000E000000}" name="ΕΤΟΣ" totalsRowFunction="sum" dataDxfId="363" totalsRowDxfId="362">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Εισαγάγετε τα προγραμματισμένα μηνιαία έξοδα εκπαίδευσης και μετακινήσεων σε αυτόν τον πίνακα. Το σύνολο υπολογίζεται αυτόματα στο τέλος"/>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ΠρογραμματισμέναΈξοδαΥπαλλήλων" displayName="ΠρογραμματισμέναΈξοδαΥπαλλήλων" ref="B5:O8" totalsRowCount="1" headerRowDxfId="361" totalsRowDxfId="358" headerRowBorderDxfId="360" tableBorderDxfId="359" totalsRowBorderDxfId="357">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Έξοδα υπαλλήλων" totalsRowLabel="Μερικό άθροισμα" dataDxfId="356" totalsRowDxfId="355"/>
    <tableColumn id="2" xr3:uid="{00000000-0010-0000-0300-000002000000}" name="Ιαν" totalsRowFunction="sum" dataDxfId="354" totalsRowDxfId="353">
      <calculatedColumnFormula>C5*0.27</calculatedColumnFormula>
    </tableColumn>
    <tableColumn id="3" xr3:uid="{00000000-0010-0000-0300-000003000000}" name="Φεβ" totalsRowFunction="sum" dataDxfId="352" totalsRowDxfId="351">
      <calculatedColumnFormula>D5*0.27</calculatedColumnFormula>
    </tableColumn>
    <tableColumn id="4" xr3:uid="{00000000-0010-0000-0300-000004000000}" name="Μάρ" totalsRowFunction="sum" dataDxfId="350" totalsRowDxfId="349">
      <calculatedColumnFormula>E5*0.27</calculatedColumnFormula>
    </tableColumn>
    <tableColumn id="5" xr3:uid="{00000000-0010-0000-0300-000005000000}" name="Απρ" totalsRowFunction="sum" dataDxfId="348" totalsRowDxfId="347">
      <calculatedColumnFormula>F5*0.27</calculatedColumnFormula>
    </tableColumn>
    <tableColumn id="6" xr3:uid="{00000000-0010-0000-0300-000006000000}" name="Μάι" totalsRowFunction="sum" dataDxfId="346" totalsRowDxfId="345">
      <calculatedColumnFormula>G5*0.27</calculatedColumnFormula>
    </tableColumn>
    <tableColumn id="7" xr3:uid="{00000000-0010-0000-0300-000007000000}" name="Ιούν" totalsRowFunction="sum" dataDxfId="344" totalsRowDxfId="343">
      <calculatedColumnFormula>H5*0.27</calculatedColumnFormula>
    </tableColumn>
    <tableColumn id="8" xr3:uid="{00000000-0010-0000-0300-000008000000}" name="Ιούλ" totalsRowFunction="sum" dataDxfId="342" totalsRowDxfId="341">
      <calculatedColumnFormula>I5*0.27</calculatedColumnFormula>
    </tableColumn>
    <tableColumn id="9" xr3:uid="{00000000-0010-0000-0300-000009000000}" name="Αύγ" totalsRowFunction="sum" dataDxfId="340" totalsRowDxfId="339">
      <calculatedColumnFormula>J5*0.27</calculatedColumnFormula>
    </tableColumn>
    <tableColumn id="10" xr3:uid="{00000000-0010-0000-0300-00000A000000}" name="Σεπ" totalsRowFunction="sum" dataDxfId="338" totalsRowDxfId="337">
      <calculatedColumnFormula>K5*0.27</calculatedColumnFormula>
    </tableColumn>
    <tableColumn id="11" xr3:uid="{00000000-0010-0000-0300-00000B000000}" name="Οκτ" totalsRowFunction="sum" dataDxfId="336" totalsRowDxfId="335">
      <calculatedColumnFormula>L5*0.27</calculatedColumnFormula>
    </tableColumn>
    <tableColumn id="12" xr3:uid="{00000000-0010-0000-0300-00000C000000}" name="Νοέ" totalsRowFunction="sum" dataDxfId="334" totalsRowDxfId="333">
      <calculatedColumnFormula>M5*0.27</calculatedColumnFormula>
    </tableColumn>
    <tableColumn id="13" xr3:uid="{00000000-0010-0000-0300-00000D000000}" name="Δεκ" totalsRowFunction="sum" dataDxfId="332" totalsRowDxfId="331">
      <calculatedColumnFormula>N5*0.27</calculatedColumnFormula>
    </tableColumn>
    <tableColumn id="14" xr3:uid="{00000000-0010-0000-0300-00000E000000}" name="ΕΤΟΣ" totalsRowFunction="sum" dataDxfId="330" totalsRowDxfId="329">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Καταχωρήστε τα προγραμματισμένα μηνιαία έξοδα υπαλλήλων σε αυτόν τον πίνακα. Το σύνολο υπολογίζεται αυτόματα στο τέλος"/>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ΣυνολικάΠρογραμματισμέναΈξοδα" displayName="ΣυνολικάΠρογραμματισμέναΈξοδα" ref="B35:O37" totalsRowShown="0" headerRowDxfId="328" dataDxfId="326" headerRowBorderDxfId="327" tableBorderDxfId="325" totalsRowBorderDxfId="324">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ΣΥΝΟΛΑ" dataDxfId="323"/>
    <tableColumn id="2" xr3:uid="{3CBCAAC6-5850-43CE-8A4B-7299FADFEA94}" name="Ιαν" dataDxfId="322">
      <calculatedColumnFormula>SUM($C35:C$36)</calculatedColumnFormula>
    </tableColumn>
    <tableColumn id="3" xr3:uid="{E78EAAAB-F732-4079-94F1-D17531764B41}" name="Φεβ" dataDxfId="321">
      <calculatedColumnFormula>SUM($C35:D$36)</calculatedColumnFormula>
    </tableColumn>
    <tableColumn id="4" xr3:uid="{7E178853-B334-4E02-A0B5-9E8AC39D6929}" name="Μάρ" dataDxfId="320">
      <calculatedColumnFormula>SUM($C35:E$36)</calculatedColumnFormula>
    </tableColumn>
    <tableColumn id="5" xr3:uid="{901BCAA1-7C45-46E6-9DAA-C055B5CC4D9E}" name="Απρ" dataDxfId="319">
      <calculatedColumnFormula>SUM($C35:F$36)</calculatedColumnFormula>
    </tableColumn>
    <tableColumn id="6" xr3:uid="{FDC62F5A-FCA8-49DA-AFE4-FBDA22CB588C}" name="Μάι" dataDxfId="318">
      <calculatedColumnFormula>SUM($C35:G$36)</calculatedColumnFormula>
    </tableColumn>
    <tableColumn id="7" xr3:uid="{6B7E4F62-6387-4545-9593-FCFE8EB0E87B}" name="Ιούν" dataDxfId="317">
      <calculatedColumnFormula>SUM($C35:H$36)</calculatedColumnFormula>
    </tableColumn>
    <tableColumn id="8" xr3:uid="{29C96D76-82C3-4C86-A866-135D2B5F6766}" name="Ιούλ" dataDxfId="316">
      <calculatedColumnFormula>SUM($C35:I$36)</calculatedColumnFormula>
    </tableColumn>
    <tableColumn id="9" xr3:uid="{8EAF7A8A-BCFD-4A07-ADFE-7B3A8A367BB3}" name="Αύγ" dataDxfId="315">
      <calculatedColumnFormula>SUM($C35:J$36)</calculatedColumnFormula>
    </tableColumn>
    <tableColumn id="10" xr3:uid="{F40CD844-EFB4-4B82-8FEA-F130D1DDE9B6}" name="Σεπ" dataDxfId="314">
      <calculatedColumnFormula>SUM($C35:K$36)</calculatedColumnFormula>
    </tableColumn>
    <tableColumn id="11" xr3:uid="{42E3BDAF-1274-4A42-93E1-A70D8EFF4D76}" name="Οκτ" dataDxfId="313">
      <calculatedColumnFormula>SUM($C35:L$36)</calculatedColumnFormula>
    </tableColumn>
    <tableColumn id="12" xr3:uid="{4F7ADDB3-3705-4D5F-B56D-EBBC8E7DFAFB}" name="Νοε" dataDxfId="312">
      <calculatedColumnFormula>SUM($C35:M$36)</calculatedColumnFormula>
    </tableColumn>
    <tableColumn id="13" xr3:uid="{56789314-1137-4ED4-BA2B-969187ADECB2}" name="Δεκ" dataDxfId="311">
      <calculatedColumnFormula>SUM($C35:N$36)</calculatedColumnFormula>
    </tableColumn>
    <tableColumn id="14" xr3:uid="{284F34B8-8D32-4E44-96FD-25CE69A931D2}" name="Έτος" dataDxfId="310"/>
  </tableColumns>
  <tableStyleInfo showFirstColumn="1" showLastColumn="0" showRowStripes="0" showColumnStripes="0"/>
  <extLst>
    <ext xmlns:x14="http://schemas.microsoft.com/office/spreadsheetml/2009/9/main" uri="{504A1905-F514-4f6f-8877-14C23A59335A}">
      <x14:table altTextSummary="Τα μηνιαία και τα συνολικά προγραμματισμένα έξοδα υπολογίζονται αυτόματα σε αυτόν τον πίνακα"/>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ΠραγματικάΈξοδαΓραφείου" displayName="ΠραγματικάΈξοδαΓραφείου" ref="B10:O19" totalsRowCount="1" headerRowDxfId="309" totalsRowDxfId="306" headerRowBorderDxfId="308" tableBorderDxfId="307" totalsRowBorderDxfId="305">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Έξοδα γραφείου" totalsRowLabel="Μερικό άθροισμα" dataDxfId="304" totalsRowDxfId="303"/>
    <tableColumn id="2" xr3:uid="{00000000-0010-0000-0400-000002000000}" name="Ιαν" totalsRowFunction="sum" dataDxfId="302" totalsRowDxfId="301"/>
    <tableColumn id="3" xr3:uid="{00000000-0010-0000-0400-000003000000}" name="Φεβ" totalsRowFunction="sum" dataDxfId="300" totalsRowDxfId="299"/>
    <tableColumn id="4" xr3:uid="{00000000-0010-0000-0400-000004000000}" name="Μάρ" totalsRowFunction="sum" dataDxfId="298" totalsRowDxfId="297"/>
    <tableColumn id="5" xr3:uid="{00000000-0010-0000-0400-000005000000}" name="Απρ" totalsRowFunction="sum" dataDxfId="296" totalsRowDxfId="295"/>
    <tableColumn id="6" xr3:uid="{00000000-0010-0000-0400-000006000000}" name="Μάι" totalsRowFunction="sum" dataDxfId="294" totalsRowDxfId="293"/>
    <tableColumn id="7" xr3:uid="{00000000-0010-0000-0400-000007000000}" name="Ιούν" totalsRowFunction="sum" dataDxfId="292" totalsRowDxfId="291"/>
    <tableColumn id="8" xr3:uid="{00000000-0010-0000-0400-000008000000}" name="Ιούλ" totalsRowFunction="sum" dataDxfId="290" totalsRowDxfId="289"/>
    <tableColumn id="9" xr3:uid="{00000000-0010-0000-0400-000009000000}" name="Αύγ" totalsRowFunction="sum" dataDxfId="288" totalsRowDxfId="287"/>
    <tableColumn id="10" xr3:uid="{00000000-0010-0000-0400-00000A000000}" name="Σεπ" totalsRowFunction="sum" dataDxfId="286" totalsRowDxfId="285"/>
    <tableColumn id="11" xr3:uid="{00000000-0010-0000-0400-00000B000000}" name="Οκτ" totalsRowFunction="sum" dataDxfId="284" totalsRowDxfId="283"/>
    <tableColumn id="12" xr3:uid="{00000000-0010-0000-0400-00000C000000}" name="Νοε" totalsRowFunction="sum" dataDxfId="282" totalsRowDxfId="281"/>
    <tableColumn id="13" xr3:uid="{00000000-0010-0000-0400-00000D000000}" name="Δεκ" totalsRowFunction="sum" dataDxfId="280" totalsRowDxfId="279"/>
    <tableColumn id="14" xr3:uid="{00000000-0010-0000-0400-00000E000000}" name="ΕΤΟΣ" totalsRowFunction="sum" dataDxfId="278" totalsRowDxfId="277">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Καταχωρήστε τα πραγματικά μηνιαία έξοδα γραφείου σε αυτόν τον πίνακα. Το σύνολο υπολογίζεται αυτόματα στο τέλος"/>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ΠραγματικάΈξοδαΜάρκετινγκ" displayName="ΠραγματικάΈξοδαΜάρκετινγκ" ref="B21:O28" totalsRowCount="1" headerRowDxfId="276" totalsRowDxfId="273" headerRowBorderDxfId="275" tableBorderDxfId="274" totalsRowBorderDxfId="272">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Έξοδα μάρκετινγκ" totalsRowLabel="Μερικό άθροισμα" dataDxfId="271" totalsRowDxfId="270"/>
    <tableColumn id="2" xr3:uid="{00000000-0010-0000-0500-000002000000}" name="Ιαν" totalsRowFunction="sum" dataDxfId="269" totalsRowDxfId="268"/>
    <tableColumn id="3" xr3:uid="{00000000-0010-0000-0500-000003000000}" name="Φεβ" totalsRowFunction="sum" dataDxfId="267" totalsRowDxfId="266"/>
    <tableColumn id="4" xr3:uid="{00000000-0010-0000-0500-000004000000}" name="Μάρ" totalsRowFunction="sum" dataDxfId="265" totalsRowDxfId="264"/>
    <tableColumn id="5" xr3:uid="{00000000-0010-0000-0500-000005000000}" name="Απρ" totalsRowFunction="sum" dataDxfId="263" totalsRowDxfId="262"/>
    <tableColumn id="6" xr3:uid="{00000000-0010-0000-0500-000006000000}" name="Μάι" totalsRowFunction="sum" dataDxfId="261" totalsRowDxfId="260"/>
    <tableColumn id="7" xr3:uid="{00000000-0010-0000-0500-000007000000}" name="Ιούν" totalsRowFunction="sum" dataDxfId="259" totalsRowDxfId="258"/>
    <tableColumn id="8" xr3:uid="{00000000-0010-0000-0500-000008000000}" name="Ιούλ" totalsRowFunction="sum" dataDxfId="257" totalsRowDxfId="256"/>
    <tableColumn id="9" xr3:uid="{00000000-0010-0000-0500-000009000000}" name="Αύγ" totalsRowFunction="sum" dataDxfId="255" totalsRowDxfId="254"/>
    <tableColumn id="10" xr3:uid="{00000000-0010-0000-0500-00000A000000}" name="Σεπ" totalsRowFunction="sum" dataDxfId="253" totalsRowDxfId="252"/>
    <tableColumn id="11" xr3:uid="{00000000-0010-0000-0500-00000B000000}" name="Οκτ" totalsRowFunction="sum" dataDxfId="251" totalsRowDxfId="250"/>
    <tableColumn id="12" xr3:uid="{00000000-0010-0000-0500-00000C000000}" name="Νοε" totalsRowFunction="sum" dataDxfId="249" totalsRowDxfId="248"/>
    <tableColumn id="13" xr3:uid="{00000000-0010-0000-0500-00000D000000}" name="Δεκ" totalsRowFunction="sum" dataDxfId="247" totalsRowDxfId="246"/>
    <tableColumn id="14" xr3:uid="{00000000-0010-0000-0500-00000E000000}" name="ΕΤΟΣ" totalsRowFunction="sum" dataDxfId="245" totalsRowDxfId="244">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Εισαγάγετε τα πραγματικά μηνιαία έξοδα μάρκετινγκ σε αυτόν τον πίνακα. Το σύνολο υπολογίζεται αυτόματα στο τέλος"/>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ΠραγματικάΈξοδαΕκπαίδευσηςΚαιΜετακινήσεων" displayName="ΠραγματικάΈξοδαΕκπαίδευσηςΚαιΜετακινήσεων" ref="B30:O33" totalsRowCount="1" headerRowDxfId="243" totalsRowDxfId="240" headerRowBorderDxfId="242" tableBorderDxfId="241" totalsRowBorderDxfId="239">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Εκπαίδευση/Ταξίδια" totalsRowLabel="Μερικό άθροισμα" dataDxfId="238" totalsRowDxfId="237"/>
    <tableColumn id="2" xr3:uid="{00000000-0010-0000-0600-000002000000}" name="Ιαν" totalsRowFunction="sum" dataDxfId="236" totalsRowDxfId="235"/>
    <tableColumn id="3" xr3:uid="{00000000-0010-0000-0600-000003000000}" name="Φεβ" totalsRowFunction="sum" dataDxfId="234" totalsRowDxfId="233"/>
    <tableColumn id="4" xr3:uid="{00000000-0010-0000-0600-000004000000}" name="Μάρ" totalsRowFunction="sum" dataDxfId="232" totalsRowDxfId="231"/>
    <tableColumn id="5" xr3:uid="{00000000-0010-0000-0600-000005000000}" name="Απρ" totalsRowFunction="sum" dataDxfId="230" totalsRowDxfId="229"/>
    <tableColumn id="6" xr3:uid="{00000000-0010-0000-0600-000006000000}" name="Μάι" totalsRowFunction="sum" dataDxfId="228" totalsRowDxfId="227"/>
    <tableColumn id="7" xr3:uid="{00000000-0010-0000-0600-000007000000}" name="Ιούν" totalsRowFunction="sum" dataDxfId="226" totalsRowDxfId="225"/>
    <tableColumn id="8" xr3:uid="{00000000-0010-0000-0600-000008000000}" name="Ιούλ" totalsRowFunction="sum" dataDxfId="224" totalsRowDxfId="223"/>
    <tableColumn id="9" xr3:uid="{00000000-0010-0000-0600-000009000000}" name="Αύγ" totalsRowFunction="sum" dataDxfId="222" totalsRowDxfId="221"/>
    <tableColumn id="10" xr3:uid="{00000000-0010-0000-0600-00000A000000}" name="Σεπ" totalsRowFunction="sum" dataDxfId="220" totalsRowDxfId="219"/>
    <tableColumn id="11" xr3:uid="{00000000-0010-0000-0600-00000B000000}" name="Οκτ" totalsRowFunction="sum" dataDxfId="218" totalsRowDxfId="217"/>
    <tableColumn id="12" xr3:uid="{00000000-0010-0000-0600-00000C000000}" name="Νοε" totalsRowFunction="sum" dataDxfId="216" totalsRowDxfId="215"/>
    <tableColumn id="13" xr3:uid="{00000000-0010-0000-0600-00000D000000}" name="Δεκ" totalsRowFunction="sum" dataDxfId="214" totalsRowDxfId="213"/>
    <tableColumn id="14" xr3:uid="{00000000-0010-0000-0600-00000E000000}" name="ΕΤΟΣ" totalsRowFunction="sum" dataDxfId="212" totalsRowDxfId="211">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Εισαγάγετε τα πραγματικά μηνιαία έξοδα εκπαίδευσης και μετακινήσεων σε αυτόν τον πίνακα. Το σύνολο υπολογίζεται αυτόματα στο τέλος"/>
    </ext>
  </extLst>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ΠραγματικάΈξοδαΥπαλλήλων" displayName="ΠραγματικάΈξοδαΥπαλλήλων" ref="B5:O8" totalsRowCount="1" headerRowDxfId="210" totalsRowDxfId="207" headerRowBorderDxfId="209" tableBorderDxfId="208" totalsRowBorderDxfId="206">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Έξοδα υπαλλήλων" totalsRowLabel="Μερικό άθροισμα" dataDxfId="205" totalsRowDxfId="204"/>
    <tableColumn id="2" xr3:uid="{00000000-0010-0000-0700-000002000000}" name="Ιαν" totalsRowFunction="sum" dataDxfId="203" totalsRowDxfId="202">
      <calculatedColumnFormula>C5*0.27</calculatedColumnFormula>
    </tableColumn>
    <tableColumn id="3" xr3:uid="{00000000-0010-0000-0700-000003000000}" name="Φεβ" totalsRowFunction="sum" dataDxfId="201" totalsRowDxfId="200">
      <calculatedColumnFormula>D5*0.27</calculatedColumnFormula>
    </tableColumn>
    <tableColumn id="4" xr3:uid="{00000000-0010-0000-0700-000004000000}" name="Μάρ" totalsRowFunction="sum" dataDxfId="199" totalsRowDxfId="198">
      <calculatedColumnFormula>E5*0.27</calculatedColumnFormula>
    </tableColumn>
    <tableColumn id="5" xr3:uid="{00000000-0010-0000-0700-000005000000}" name="Απρ" totalsRowFunction="sum" dataDxfId="197" totalsRowDxfId="196">
      <calculatedColumnFormula>F5*0.27</calculatedColumnFormula>
    </tableColumn>
    <tableColumn id="6" xr3:uid="{00000000-0010-0000-0700-000006000000}" name="Μάι" totalsRowFunction="sum" dataDxfId="195" totalsRowDxfId="194">
      <calculatedColumnFormula>G5*0.27</calculatedColumnFormula>
    </tableColumn>
    <tableColumn id="7" xr3:uid="{00000000-0010-0000-0700-000007000000}" name="Ιούν" totalsRowFunction="sum" dataDxfId="193" totalsRowDxfId="192">
      <calculatedColumnFormula>H5*0.27</calculatedColumnFormula>
    </tableColumn>
    <tableColumn id="8" xr3:uid="{00000000-0010-0000-0700-000008000000}" name="Ιούλ" totalsRowFunction="sum" dataDxfId="191" totalsRowDxfId="190"/>
    <tableColumn id="9" xr3:uid="{00000000-0010-0000-0700-000009000000}" name="Αύγ" totalsRowFunction="sum" dataDxfId="189" totalsRowDxfId="188"/>
    <tableColumn id="10" xr3:uid="{00000000-0010-0000-0700-00000A000000}" name="Σεπ" totalsRowFunction="sum" dataDxfId="187" totalsRowDxfId="186"/>
    <tableColumn id="11" xr3:uid="{00000000-0010-0000-0700-00000B000000}" name="Οκτ" totalsRowFunction="sum" dataDxfId="185" totalsRowDxfId="184"/>
    <tableColumn id="12" xr3:uid="{00000000-0010-0000-0700-00000C000000}" name="Νοέ" totalsRowFunction="sum" dataDxfId="183" totalsRowDxfId="182"/>
    <tableColumn id="13" xr3:uid="{00000000-0010-0000-0700-00000D000000}" name="Δεκ" totalsRowFunction="sum" dataDxfId="181" totalsRowDxfId="180"/>
    <tableColumn id="14" xr3:uid="{00000000-0010-0000-0700-00000E000000}" name="ΕΤΟΣ" totalsRowFunction="sum" dataDxfId="179" totalsRowDxfId="178">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Καταχωρήστε τα πραγματικά μηνιαία έξοδα υπαλλήλων σε αυτόν τον πίνακα. Το σύνολο υπολογίζεται αυτόματα στο τέλος"/>
    </ext>
  </extLst>
</table>
</file>

<file path=xl/theme/theme1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6.xml" Id="rId3" /><Relationship Type="http://schemas.openxmlformats.org/officeDocument/2006/relationships/table" Target="/xl/tables/table57.xml" Id="rId7" /><Relationship Type="http://schemas.openxmlformats.org/officeDocument/2006/relationships/drawing" Target="/xl/drawings/drawing12.xml" Id="rId2" /><Relationship Type="http://schemas.openxmlformats.org/officeDocument/2006/relationships/printerSettings" Target="/xl/printerSettings/printerSettings22.bin" Id="rId1" /><Relationship Type="http://schemas.openxmlformats.org/officeDocument/2006/relationships/table" Target="/xl/tables/table48.xml" Id="rId6" /><Relationship Type="http://schemas.openxmlformats.org/officeDocument/2006/relationships/table" Target="/xl/tables/table39.xml" Id="rId5" /><Relationship Type="http://schemas.openxmlformats.org/officeDocument/2006/relationships/table" Target="/xl/tables/table210.xml" Id="rId4" /></Relationships>
</file>

<file path=xl/worksheets/_rels/sheet3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table" Target="/xl/tables/table102.xml" Id="rId7" /><Relationship Type="http://schemas.openxmlformats.org/officeDocument/2006/relationships/drawing" Target="/xl/drawings/drawing21.xml" Id="rId2" /><Relationship Type="http://schemas.openxmlformats.org/officeDocument/2006/relationships/printerSettings" Target="/xl/printerSettings/printerSettings31.bin" Id="rId1" /><Relationship Type="http://schemas.openxmlformats.org/officeDocument/2006/relationships/table" Target="/xl/tables/table93.xml" Id="rId6" /><Relationship Type="http://schemas.openxmlformats.org/officeDocument/2006/relationships/table" Target="/xl/tables/table84.xml" Id="rId5" /><Relationship Type="http://schemas.openxmlformats.org/officeDocument/2006/relationships/table" Target="/xl/tables/table75.xml" Id="rId4" /></Relationships>
</file>

<file path=xl/worksheets/_rels/sheet45.xml.rels>&#65279;<?xml version="1.0" encoding="utf-8"?><Relationships xmlns="http://schemas.openxmlformats.org/package/2006/relationships"><Relationship Type="http://schemas.openxmlformats.org/officeDocument/2006/relationships/table" Target="/xl/tables/table1112.xml" Id="rId3" /><Relationship Type="http://schemas.openxmlformats.org/officeDocument/2006/relationships/table" Target="/xl/tables/table1513.xml" Id="rId7" /><Relationship Type="http://schemas.openxmlformats.org/officeDocument/2006/relationships/drawing" Target="/xl/drawings/drawing34.xml" Id="rId2" /><Relationship Type="http://schemas.openxmlformats.org/officeDocument/2006/relationships/printerSettings" Target="/xl/printerSettings/printerSettings45.bin" Id="rId1" /><Relationship Type="http://schemas.openxmlformats.org/officeDocument/2006/relationships/table" Target="/xl/tables/table1414.xml" Id="rId6" /><Relationship Type="http://schemas.openxmlformats.org/officeDocument/2006/relationships/table" Target="/xl/tables/table1315.xml" Id="rId5" /><Relationship Type="http://schemas.openxmlformats.org/officeDocument/2006/relationships/table" Target="/xl/tables/table1216.xml" Id="rId4" /></Relationships>
</file>

<file path=xl/worksheets/_rels/sheet54.xml.rels>&#65279;<?xml version="1.0" encoding="utf-8"?><Relationships xmlns="http://schemas.openxmlformats.org/package/2006/relationships"><Relationship Type="http://schemas.openxmlformats.org/officeDocument/2006/relationships/table" Target="/xl/tables/table1611.xml" Id="rId3" /><Relationship Type="http://schemas.openxmlformats.org/officeDocument/2006/relationships/drawing" Target="/xl/drawings/drawing43.xml" Id="rId2" /><Relationship Type="http://schemas.openxmlformats.org/officeDocument/2006/relationships/printerSettings" Target="/xl/printerSettings/printerSettings5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75" x14ac:dyDescent="0.2"/>
  <cols>
    <col min="1" max="1" width="2.7109375" customWidth="1"/>
    <col min="2" max="2" width="75.42578125" customWidth="1"/>
    <col min="3" max="3" width="2.7109375" customWidth="1"/>
  </cols>
  <sheetData>
    <row r="1" spans="2:2" s="27" customFormat="1" ht="30" customHeight="1" x14ac:dyDescent="0.2">
      <c r="B1" s="28" t="s">
        <v>0</v>
      </c>
    </row>
    <row r="2" spans="2:2" ht="58.5" customHeight="1" x14ac:dyDescent="0.2">
      <c r="B2" s="39" t="s">
        <v>1</v>
      </c>
    </row>
    <row r="3" spans="2:2" ht="33" customHeight="1" x14ac:dyDescent="0.2">
      <c r="B3" s="39" t="s">
        <v>2</v>
      </c>
    </row>
    <row r="4" spans="2:2" ht="44.25" customHeight="1" x14ac:dyDescent="0.2">
      <c r="B4" s="39" t="s">
        <v>3</v>
      </c>
    </row>
    <row r="5" spans="2:2" ht="36" customHeight="1" x14ac:dyDescent="0.2">
      <c r="B5" s="39" t="s">
        <v>4</v>
      </c>
    </row>
    <row r="6" spans="2:2" ht="36" customHeight="1" x14ac:dyDescent="0.2">
      <c r="B6" s="41" t="s">
        <v>5</v>
      </c>
    </row>
    <row r="7" spans="2:2" ht="60" x14ac:dyDescent="0.2">
      <c r="B7" s="39" t="s">
        <v>6</v>
      </c>
    </row>
    <row r="8" spans="2:2" ht="60" customHeight="1" x14ac:dyDescent="0.25">
      <c r="B8" s="40"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sheetPr>
  <dimension ref="A1:T38"/>
  <sheetViews>
    <sheetView showGridLines="0" zoomScaleNormal="100" workbookViewId="0"/>
  </sheetViews>
  <sheetFormatPr defaultColWidth="9.140625" defaultRowHeight="21" customHeight="1" x14ac:dyDescent="0.3"/>
  <cols>
    <col min="1" max="1" width="4.7109375" style="1" customWidth="1"/>
    <col min="2" max="2" width="56.7109375" style="1" customWidth="1"/>
    <col min="3" max="14" width="15.71093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31"/>
      <c r="B1" s="7"/>
      <c r="C1" s="7"/>
      <c r="D1" s="7"/>
      <c r="E1" s="7"/>
      <c r="F1" s="4"/>
      <c r="G1" s="4"/>
      <c r="H1" s="4"/>
      <c r="I1" s="4"/>
      <c r="J1" s="4"/>
      <c r="K1" s="4"/>
      <c r="L1" s="4"/>
      <c r="M1" s="4"/>
      <c r="N1" s="4"/>
      <c r="O1" s="4"/>
      <c r="P1" s="53" t="s">
        <v>65</v>
      </c>
    </row>
    <row r="2" spans="1:20" ht="45" customHeight="1" x14ac:dyDescent="0.35">
      <c r="A2" s="29"/>
      <c r="B2" s="72" t="s">
        <v>8</v>
      </c>
      <c r="C2" s="72"/>
      <c r="D2" s="72"/>
      <c r="E2" s="128"/>
      <c r="F2" s="5"/>
      <c r="G2" s="5"/>
      <c r="H2" s="5"/>
      <c r="I2" s="5"/>
      <c r="J2" s="5"/>
      <c r="K2" s="123" t="s">
        <v>52</v>
      </c>
      <c r="L2" s="123"/>
      <c r="M2" s="123"/>
      <c r="N2" s="69"/>
      <c r="O2" s="69"/>
      <c r="P2" s="4"/>
    </row>
    <row r="3" spans="1:20" ht="30" customHeight="1" x14ac:dyDescent="0.3">
      <c r="A3" s="29"/>
      <c r="B3" s="72"/>
      <c r="C3" s="72"/>
      <c r="D3" s="72"/>
      <c r="E3" s="129"/>
      <c r="F3" s="6"/>
      <c r="G3" s="6"/>
      <c r="H3" s="6"/>
      <c r="I3" s="6"/>
      <c r="J3" s="6"/>
      <c r="K3" s="124" t="s">
        <v>53</v>
      </c>
      <c r="L3" s="124"/>
      <c r="M3" s="124"/>
      <c r="N3" s="69"/>
      <c r="O3" s="69"/>
      <c r="P3" s="4"/>
    </row>
    <row r="4" spans="1:20" s="8" customFormat="1" ht="49.5" customHeight="1" x14ac:dyDescent="0.3">
      <c r="A4" s="30"/>
      <c r="B4" s="19" t="s">
        <v>9</v>
      </c>
      <c r="C4" s="76" t="s">
        <v>36</v>
      </c>
      <c r="D4" s="76" t="s">
        <v>38</v>
      </c>
      <c r="E4" s="76" t="s">
        <v>40</v>
      </c>
      <c r="F4" s="76" t="s">
        <v>42</v>
      </c>
      <c r="G4" s="76" t="s">
        <v>44</v>
      </c>
      <c r="H4" s="76" t="s">
        <v>46</v>
      </c>
      <c r="I4" s="76" t="s">
        <v>48</v>
      </c>
      <c r="J4" s="76" t="s">
        <v>50</v>
      </c>
      <c r="K4" s="76" t="s">
        <v>54</v>
      </c>
      <c r="L4" s="76" t="s">
        <v>56</v>
      </c>
      <c r="M4" s="76" t="s">
        <v>58</v>
      </c>
      <c r="N4" s="76" t="s">
        <v>61</v>
      </c>
      <c r="O4" s="20" t="s">
        <v>63</v>
      </c>
      <c r="R4" s="121"/>
      <c r="S4" s="122"/>
      <c r="T4" s="122"/>
    </row>
    <row r="5" spans="1:20" ht="24.95" customHeight="1" thickBot="1" x14ac:dyDescent="0.35">
      <c r="A5" s="30"/>
      <c r="B5" s="42" t="s">
        <v>10</v>
      </c>
      <c r="C5" s="77" t="s">
        <v>37</v>
      </c>
      <c r="D5" s="78" t="s">
        <v>39</v>
      </c>
      <c r="E5" s="78" t="s">
        <v>41</v>
      </c>
      <c r="F5" s="78" t="s">
        <v>43</v>
      </c>
      <c r="G5" s="78" t="s">
        <v>45</v>
      </c>
      <c r="H5" s="78" t="s">
        <v>47</v>
      </c>
      <c r="I5" s="78" t="s">
        <v>49</v>
      </c>
      <c r="J5" s="78" t="s">
        <v>51</v>
      </c>
      <c r="K5" s="78" t="s">
        <v>55</v>
      </c>
      <c r="L5" s="78" t="s">
        <v>57</v>
      </c>
      <c r="M5" s="78" t="s">
        <v>59</v>
      </c>
      <c r="N5" s="78" t="s">
        <v>62</v>
      </c>
      <c r="O5" s="51" t="s">
        <v>63</v>
      </c>
      <c r="R5" s="122"/>
      <c r="S5" s="122"/>
      <c r="T5" s="122"/>
    </row>
    <row r="6" spans="1:20" ht="24.95" customHeight="1" thickBot="1" x14ac:dyDescent="0.35">
      <c r="A6" s="30"/>
      <c r="B6" s="43" t="s">
        <v>11</v>
      </c>
      <c r="C6" s="79">
        <v>85000</v>
      </c>
      <c r="D6" s="80">
        <v>85000</v>
      </c>
      <c r="E6" s="80">
        <v>85000</v>
      </c>
      <c r="F6" s="80">
        <v>87500</v>
      </c>
      <c r="G6" s="80">
        <v>87500</v>
      </c>
      <c r="H6" s="80">
        <v>87500</v>
      </c>
      <c r="I6" s="80">
        <v>87500</v>
      </c>
      <c r="J6" s="80">
        <v>92400</v>
      </c>
      <c r="K6" s="80">
        <v>92400</v>
      </c>
      <c r="L6" s="80">
        <v>92400</v>
      </c>
      <c r="M6" s="80">
        <v>92400</v>
      </c>
      <c r="N6" s="80">
        <v>92400</v>
      </c>
      <c r="O6" s="81">
        <f>SUM(C6:N6)</f>
        <v>1067000</v>
      </c>
      <c r="R6" s="122"/>
      <c r="S6" s="122"/>
      <c r="T6" s="122"/>
    </row>
    <row r="7" spans="1:20" ht="24.95" customHeight="1" thickBot="1" x14ac:dyDescent="0.35">
      <c r="A7" s="30"/>
      <c r="B7" s="43" t="s">
        <v>12</v>
      </c>
      <c r="C7" s="79">
        <f t="shared" ref="C7:N7" si="0">C6*0.27</f>
        <v>22950</v>
      </c>
      <c r="D7" s="80">
        <f t="shared" si="0"/>
        <v>22950</v>
      </c>
      <c r="E7" s="80">
        <f t="shared" si="0"/>
        <v>22950</v>
      </c>
      <c r="F7" s="80">
        <f t="shared" si="0"/>
        <v>23625</v>
      </c>
      <c r="G7" s="80">
        <f t="shared" si="0"/>
        <v>23625</v>
      </c>
      <c r="H7" s="80">
        <f t="shared" si="0"/>
        <v>23625</v>
      </c>
      <c r="I7" s="80">
        <f t="shared" si="0"/>
        <v>23625</v>
      </c>
      <c r="J7" s="80">
        <f t="shared" si="0"/>
        <v>24948</v>
      </c>
      <c r="K7" s="80">
        <f t="shared" si="0"/>
        <v>24948</v>
      </c>
      <c r="L7" s="80">
        <f t="shared" si="0"/>
        <v>24948</v>
      </c>
      <c r="M7" s="80">
        <f t="shared" si="0"/>
        <v>24948</v>
      </c>
      <c r="N7" s="80">
        <f t="shared" si="0"/>
        <v>24948</v>
      </c>
      <c r="O7" s="81">
        <f>SUM(C7:N7)</f>
        <v>288090</v>
      </c>
      <c r="R7" s="122"/>
      <c r="S7" s="122"/>
      <c r="T7" s="122"/>
    </row>
    <row r="8" spans="1:20" ht="24.95" customHeight="1" x14ac:dyDescent="0.3">
      <c r="A8" s="30"/>
      <c r="B8" s="44" t="s">
        <v>13</v>
      </c>
      <c r="C8" s="82">
        <f>SUBTOTAL(109,ΠρογραμματισμέναΈξοδαΥπαλλήλων[Ιαν])</f>
        <v>107950</v>
      </c>
      <c r="D8" s="83">
        <f>SUBTOTAL(109,ΠρογραμματισμέναΈξοδαΥπαλλήλων[Φεβ])</f>
        <v>107950</v>
      </c>
      <c r="E8" s="83">
        <f>SUBTOTAL(109,ΠρογραμματισμέναΈξοδαΥπαλλήλων[Μάρ])</f>
        <v>107950</v>
      </c>
      <c r="F8" s="83">
        <f>SUBTOTAL(109,ΠρογραμματισμέναΈξοδαΥπαλλήλων[Απρ])</f>
        <v>111125</v>
      </c>
      <c r="G8" s="83">
        <f>SUBTOTAL(109,ΠρογραμματισμέναΈξοδαΥπαλλήλων[Μάι])</f>
        <v>111125</v>
      </c>
      <c r="H8" s="83">
        <f>SUBTOTAL(109,ΠρογραμματισμέναΈξοδαΥπαλλήλων[Ιούν])</f>
        <v>111125</v>
      </c>
      <c r="I8" s="83">
        <f>SUBTOTAL(109,ΠρογραμματισμέναΈξοδαΥπαλλήλων[Ιούλ])</f>
        <v>111125</v>
      </c>
      <c r="J8" s="83">
        <f>SUBTOTAL(109,ΠρογραμματισμέναΈξοδαΥπαλλήλων[Αύγ])</f>
        <v>117348</v>
      </c>
      <c r="K8" s="83">
        <f>SUBTOTAL(109,ΠρογραμματισμέναΈξοδαΥπαλλήλων[Σεπ])</f>
        <v>117348</v>
      </c>
      <c r="L8" s="83">
        <f>SUBTOTAL(109,ΠρογραμματισμέναΈξοδαΥπαλλήλων[Οκτ])</f>
        <v>117348</v>
      </c>
      <c r="M8" s="83">
        <f>SUBTOTAL(109,ΠρογραμματισμέναΈξοδαΥπαλλήλων[Νοέ])</f>
        <v>117348</v>
      </c>
      <c r="N8" s="83">
        <f>SUBTOTAL(109,ΠρογραμματισμέναΈξοδαΥπαλλήλων[Δεκ])</f>
        <v>117348</v>
      </c>
      <c r="O8" s="84">
        <f>SUBTOTAL(109,ΠρογραμματισμέναΈξοδαΥπαλλήλων[ΕΤΟΣ])</f>
        <v>1355090</v>
      </c>
      <c r="R8" s="122"/>
      <c r="S8" s="122"/>
      <c r="T8" s="122"/>
    </row>
    <row r="9" spans="1:20" ht="21" customHeight="1" thickBot="1" x14ac:dyDescent="0.35">
      <c r="A9" s="30"/>
      <c r="B9" s="70"/>
      <c r="C9" s="70"/>
      <c r="D9" s="85"/>
      <c r="E9" s="85"/>
      <c r="F9" s="85"/>
      <c r="G9" s="85"/>
      <c r="H9" s="85"/>
      <c r="I9" s="85"/>
      <c r="J9" s="85"/>
      <c r="K9" s="85"/>
      <c r="L9" s="85"/>
      <c r="M9" s="85"/>
      <c r="N9" s="85"/>
      <c r="O9" s="86"/>
      <c r="R9" s="122"/>
      <c r="S9" s="122"/>
      <c r="T9" s="122"/>
    </row>
    <row r="10" spans="1:20" ht="24.95" customHeight="1" thickBot="1" x14ac:dyDescent="0.35">
      <c r="A10" s="30"/>
      <c r="B10" s="48" t="s">
        <v>14</v>
      </c>
      <c r="C10" s="87" t="s">
        <v>37</v>
      </c>
      <c r="D10" s="88" t="s">
        <v>39</v>
      </c>
      <c r="E10" s="88" t="s">
        <v>41</v>
      </c>
      <c r="F10" s="88" t="s">
        <v>43</v>
      </c>
      <c r="G10" s="88" t="s">
        <v>45</v>
      </c>
      <c r="H10" s="88" t="s">
        <v>47</v>
      </c>
      <c r="I10" s="88" t="s">
        <v>49</v>
      </c>
      <c r="J10" s="88" t="s">
        <v>51</v>
      </c>
      <c r="K10" s="88" t="s">
        <v>55</v>
      </c>
      <c r="L10" s="88" t="s">
        <v>57</v>
      </c>
      <c r="M10" s="88" t="s">
        <v>60</v>
      </c>
      <c r="N10" s="88" t="s">
        <v>62</v>
      </c>
      <c r="O10" s="89" t="s">
        <v>63</v>
      </c>
      <c r="R10" s="122"/>
      <c r="S10" s="122"/>
      <c r="T10" s="122"/>
    </row>
    <row r="11" spans="1:20" ht="24.95" customHeight="1" thickBot="1" x14ac:dyDescent="0.35">
      <c r="A11" s="30"/>
      <c r="B11" s="66" t="s">
        <v>15</v>
      </c>
      <c r="C11" s="79">
        <v>9800</v>
      </c>
      <c r="D11" s="80">
        <v>9800</v>
      </c>
      <c r="E11" s="80">
        <v>9800</v>
      </c>
      <c r="F11" s="80">
        <v>9800</v>
      </c>
      <c r="G11" s="80">
        <v>9800</v>
      </c>
      <c r="H11" s="80">
        <v>9800</v>
      </c>
      <c r="I11" s="80">
        <v>9800</v>
      </c>
      <c r="J11" s="80">
        <v>9800</v>
      </c>
      <c r="K11" s="80">
        <v>9800</v>
      </c>
      <c r="L11" s="80">
        <v>9800</v>
      </c>
      <c r="M11" s="80">
        <v>9800</v>
      </c>
      <c r="N11" s="80">
        <v>9800</v>
      </c>
      <c r="O11" s="81">
        <f t="shared" ref="O11:O18" si="1">SUM(C11:N11)</f>
        <v>117600</v>
      </c>
      <c r="R11" s="122"/>
      <c r="S11" s="122"/>
      <c r="T11" s="122"/>
    </row>
    <row r="12" spans="1:20" ht="24.95" customHeight="1" thickBot="1" x14ac:dyDescent="0.35">
      <c r="A12" s="30"/>
      <c r="B12" s="66" t="s">
        <v>16</v>
      </c>
      <c r="C12" s="79"/>
      <c r="D12" s="80">
        <v>400</v>
      </c>
      <c r="E12" s="80">
        <v>400</v>
      </c>
      <c r="F12" s="80">
        <v>100</v>
      </c>
      <c r="G12" s="80">
        <v>100</v>
      </c>
      <c r="H12" s="80">
        <v>100</v>
      </c>
      <c r="I12" s="80">
        <v>100</v>
      </c>
      <c r="J12" s="80">
        <v>100</v>
      </c>
      <c r="K12" s="80">
        <v>100</v>
      </c>
      <c r="L12" s="80">
        <v>100</v>
      </c>
      <c r="M12" s="80">
        <v>400</v>
      </c>
      <c r="N12" s="80">
        <v>400</v>
      </c>
      <c r="O12" s="81">
        <f t="shared" si="1"/>
        <v>2300</v>
      </c>
      <c r="R12" s="122"/>
      <c r="S12" s="122"/>
      <c r="T12" s="122"/>
    </row>
    <row r="13" spans="1:20" ht="24.95" customHeight="1" thickBot="1" x14ac:dyDescent="0.35">
      <c r="A13" s="30"/>
      <c r="B13" s="66" t="s">
        <v>17</v>
      </c>
      <c r="C13" s="79">
        <v>300</v>
      </c>
      <c r="D13" s="80">
        <v>300</v>
      </c>
      <c r="E13" s="80">
        <v>300</v>
      </c>
      <c r="F13" s="80">
        <v>300</v>
      </c>
      <c r="G13" s="80">
        <v>300</v>
      </c>
      <c r="H13" s="80">
        <v>300</v>
      </c>
      <c r="I13" s="80">
        <v>300</v>
      </c>
      <c r="J13" s="80">
        <v>300</v>
      </c>
      <c r="K13" s="80">
        <v>300</v>
      </c>
      <c r="L13" s="80">
        <v>300</v>
      </c>
      <c r="M13" s="80">
        <v>300</v>
      </c>
      <c r="N13" s="80">
        <v>300</v>
      </c>
      <c r="O13" s="81">
        <f t="shared" si="1"/>
        <v>3600</v>
      </c>
      <c r="R13" s="122"/>
      <c r="S13" s="122"/>
      <c r="T13" s="122"/>
    </row>
    <row r="14" spans="1:20" ht="24.95" customHeight="1" thickBot="1" x14ac:dyDescent="0.35">
      <c r="A14" s="30"/>
      <c r="B14" s="66" t="s">
        <v>18</v>
      </c>
      <c r="C14" s="79">
        <v>40</v>
      </c>
      <c r="D14" s="80">
        <v>40</v>
      </c>
      <c r="E14" s="80">
        <v>40</v>
      </c>
      <c r="F14" s="80">
        <v>40</v>
      </c>
      <c r="G14" s="80">
        <v>40</v>
      </c>
      <c r="H14" s="80">
        <v>40</v>
      </c>
      <c r="I14" s="80">
        <v>40</v>
      </c>
      <c r="J14" s="80">
        <v>40</v>
      </c>
      <c r="K14" s="80">
        <v>40</v>
      </c>
      <c r="L14" s="80">
        <v>40</v>
      </c>
      <c r="M14" s="80">
        <v>40</v>
      </c>
      <c r="N14" s="80">
        <v>40</v>
      </c>
      <c r="O14" s="81">
        <f t="shared" si="1"/>
        <v>480</v>
      </c>
    </row>
    <row r="15" spans="1:20" ht="24.95" customHeight="1" thickBot="1" x14ac:dyDescent="0.35">
      <c r="A15" s="30"/>
      <c r="B15" s="66" t="s">
        <v>19</v>
      </c>
      <c r="C15" s="79">
        <v>250</v>
      </c>
      <c r="D15" s="80">
        <v>250</v>
      </c>
      <c r="E15" s="80">
        <v>250</v>
      </c>
      <c r="F15" s="80">
        <v>250</v>
      </c>
      <c r="G15" s="80">
        <v>250</v>
      </c>
      <c r="H15" s="80">
        <v>250</v>
      </c>
      <c r="I15" s="80">
        <v>250</v>
      </c>
      <c r="J15" s="80">
        <v>250</v>
      </c>
      <c r="K15" s="80">
        <v>250</v>
      </c>
      <c r="L15" s="80">
        <v>250</v>
      </c>
      <c r="M15" s="80">
        <v>250</v>
      </c>
      <c r="N15" s="80">
        <v>250</v>
      </c>
      <c r="O15" s="81">
        <f t="shared" si="1"/>
        <v>3000</v>
      </c>
    </row>
    <row r="16" spans="1:20" ht="24.95" customHeight="1" thickBot="1" x14ac:dyDescent="0.35">
      <c r="A16" s="30"/>
      <c r="B16" s="66" t="s">
        <v>20</v>
      </c>
      <c r="C16" s="79">
        <v>180</v>
      </c>
      <c r="D16" s="80">
        <v>180</v>
      </c>
      <c r="E16" s="80">
        <v>180</v>
      </c>
      <c r="F16" s="80">
        <v>180</v>
      </c>
      <c r="G16" s="80">
        <v>180</v>
      </c>
      <c r="H16" s="80">
        <v>180</v>
      </c>
      <c r="I16" s="80">
        <v>180</v>
      </c>
      <c r="J16" s="80">
        <v>180</v>
      </c>
      <c r="K16" s="80">
        <v>180</v>
      </c>
      <c r="L16" s="80">
        <v>180</v>
      </c>
      <c r="M16" s="80">
        <v>180</v>
      </c>
      <c r="N16" s="80">
        <v>180</v>
      </c>
      <c r="O16" s="81">
        <f t="shared" si="1"/>
        <v>2160</v>
      </c>
    </row>
    <row r="17" spans="1:15" ht="24.95" customHeight="1" thickBot="1" x14ac:dyDescent="0.35">
      <c r="A17" s="30"/>
      <c r="B17" s="66" t="s">
        <v>21</v>
      </c>
      <c r="C17" s="79">
        <v>200</v>
      </c>
      <c r="D17" s="80">
        <v>200</v>
      </c>
      <c r="E17" s="80">
        <v>200</v>
      </c>
      <c r="F17" s="80">
        <v>200</v>
      </c>
      <c r="G17" s="80">
        <v>200</v>
      </c>
      <c r="H17" s="80">
        <v>200</v>
      </c>
      <c r="I17" s="80">
        <v>200</v>
      </c>
      <c r="J17" s="80">
        <v>200</v>
      </c>
      <c r="K17" s="80">
        <v>200</v>
      </c>
      <c r="L17" s="80">
        <v>200</v>
      </c>
      <c r="M17" s="80">
        <v>200</v>
      </c>
      <c r="N17" s="80">
        <v>200</v>
      </c>
      <c r="O17" s="81">
        <f t="shared" si="1"/>
        <v>2400</v>
      </c>
    </row>
    <row r="18" spans="1:15" ht="24.95" customHeight="1" thickBot="1" x14ac:dyDescent="0.35">
      <c r="A18" s="30"/>
      <c r="B18" s="66" t="s">
        <v>22</v>
      </c>
      <c r="C18" s="79">
        <v>600</v>
      </c>
      <c r="D18" s="80">
        <v>600</v>
      </c>
      <c r="E18" s="80">
        <v>600</v>
      </c>
      <c r="F18" s="80">
        <v>600</v>
      </c>
      <c r="G18" s="80">
        <v>600</v>
      </c>
      <c r="H18" s="80">
        <v>600</v>
      </c>
      <c r="I18" s="80">
        <v>600</v>
      </c>
      <c r="J18" s="80">
        <v>600</v>
      </c>
      <c r="K18" s="80">
        <v>600</v>
      </c>
      <c r="L18" s="80">
        <v>600</v>
      </c>
      <c r="M18" s="80">
        <v>600</v>
      </c>
      <c r="N18" s="80">
        <v>600</v>
      </c>
      <c r="O18" s="81">
        <f t="shared" si="1"/>
        <v>7200</v>
      </c>
    </row>
    <row r="19" spans="1:15" ht="24.95" customHeight="1" thickBot="1" x14ac:dyDescent="0.35">
      <c r="A19" s="30"/>
      <c r="B19" s="52" t="s">
        <v>13</v>
      </c>
      <c r="C19" s="90">
        <f>SUBTOTAL(109,ΠρογραμματισμέναΈξοδαΓραφείου[Ιαν])</f>
        <v>11370</v>
      </c>
      <c r="D19" s="91">
        <f>SUBTOTAL(109,ΠρογραμματισμέναΈξοδαΓραφείου[Φεβ])</f>
        <v>11770</v>
      </c>
      <c r="E19" s="91">
        <f>SUBTOTAL(109,ΠρογραμματισμέναΈξοδαΓραφείου[Μάρ])</f>
        <v>11770</v>
      </c>
      <c r="F19" s="91">
        <f>SUBTOTAL(109,ΠρογραμματισμέναΈξοδαΓραφείου[Απρ])</f>
        <v>11470</v>
      </c>
      <c r="G19" s="91">
        <f>SUBTOTAL(109,ΠρογραμματισμέναΈξοδαΓραφείου[Μάι])</f>
        <v>11470</v>
      </c>
      <c r="H19" s="91">
        <f>SUBTOTAL(109,ΠρογραμματισμέναΈξοδαΓραφείου[Ιούν])</f>
        <v>11470</v>
      </c>
      <c r="I19" s="91">
        <f>SUBTOTAL(109,ΠρογραμματισμέναΈξοδαΓραφείου[Ιούλ])</f>
        <v>11470</v>
      </c>
      <c r="J19" s="91">
        <f>SUBTOTAL(109,ΠρογραμματισμέναΈξοδαΓραφείου[Αύγ])</f>
        <v>11470</v>
      </c>
      <c r="K19" s="91">
        <f>SUBTOTAL(109,ΠρογραμματισμέναΈξοδαΓραφείου[Σεπ])</f>
        <v>11470</v>
      </c>
      <c r="L19" s="91">
        <f>SUBTOTAL(109,ΠρογραμματισμέναΈξοδαΓραφείου[Οκτ])</f>
        <v>11470</v>
      </c>
      <c r="M19" s="91">
        <f>SUBTOTAL(109,ΠρογραμματισμέναΈξοδαΓραφείου[Νοε])</f>
        <v>11770</v>
      </c>
      <c r="N19" s="91">
        <f>SUBTOTAL(109,ΠρογραμματισμέναΈξοδαΓραφείου[Δεκ])</f>
        <v>11770</v>
      </c>
      <c r="O19" s="92">
        <f>SUBTOTAL(109,ΠρογραμματισμέναΈξοδαΓραφείου[ΕΤΟΣ])</f>
        <v>138740</v>
      </c>
    </row>
    <row r="20" spans="1:15" ht="21" customHeight="1" x14ac:dyDescent="0.3">
      <c r="A20" s="30"/>
      <c r="B20" s="71"/>
      <c r="C20" s="71"/>
      <c r="D20" s="85"/>
      <c r="E20" s="85"/>
      <c r="F20" s="93"/>
      <c r="G20" s="93"/>
      <c r="H20" s="93"/>
      <c r="I20" s="93"/>
      <c r="J20" s="93"/>
      <c r="K20" s="93"/>
      <c r="L20" s="93"/>
      <c r="M20" s="93"/>
      <c r="N20" s="93"/>
      <c r="O20" s="86"/>
    </row>
    <row r="21" spans="1:15" ht="24.95" customHeight="1" thickBot="1" x14ac:dyDescent="0.35">
      <c r="A21" s="30"/>
      <c r="B21" s="49" t="s">
        <v>23</v>
      </c>
      <c r="C21" s="94" t="s">
        <v>37</v>
      </c>
      <c r="D21" s="94" t="s">
        <v>39</v>
      </c>
      <c r="E21" s="94" t="s">
        <v>41</v>
      </c>
      <c r="F21" s="94" t="s">
        <v>43</v>
      </c>
      <c r="G21" s="94" t="s">
        <v>45</v>
      </c>
      <c r="H21" s="94" t="s">
        <v>47</v>
      </c>
      <c r="I21" s="94" t="s">
        <v>49</v>
      </c>
      <c r="J21" s="94" t="s">
        <v>51</v>
      </c>
      <c r="K21" s="94" t="s">
        <v>55</v>
      </c>
      <c r="L21" s="94" t="s">
        <v>57</v>
      </c>
      <c r="M21" s="94" t="s">
        <v>60</v>
      </c>
      <c r="N21" s="94" t="s">
        <v>62</v>
      </c>
      <c r="O21" s="95" t="s">
        <v>63</v>
      </c>
    </row>
    <row r="22" spans="1:15" ht="24.95" customHeight="1" thickBot="1" x14ac:dyDescent="0.35">
      <c r="A22" s="30"/>
      <c r="B22" s="43" t="s">
        <v>24</v>
      </c>
      <c r="C22" s="96">
        <v>500</v>
      </c>
      <c r="D22" s="97">
        <v>500</v>
      </c>
      <c r="E22" s="97">
        <v>500</v>
      </c>
      <c r="F22" s="97">
        <v>500</v>
      </c>
      <c r="G22" s="97">
        <v>500</v>
      </c>
      <c r="H22" s="97">
        <v>500</v>
      </c>
      <c r="I22" s="97">
        <v>500</v>
      </c>
      <c r="J22" s="97">
        <v>500</v>
      </c>
      <c r="K22" s="97">
        <v>500</v>
      </c>
      <c r="L22" s="97">
        <v>500</v>
      </c>
      <c r="M22" s="97">
        <v>500</v>
      </c>
      <c r="N22" s="97">
        <v>500</v>
      </c>
      <c r="O22" s="81">
        <f t="shared" ref="O22:O27" si="2">SUM(C22:N22)</f>
        <v>6000</v>
      </c>
    </row>
    <row r="23" spans="1:15" ht="24.95" customHeight="1" thickBot="1" x14ac:dyDescent="0.35">
      <c r="A23" s="30"/>
      <c r="B23" s="43" t="s">
        <v>25</v>
      </c>
      <c r="C23" s="96">
        <v>200</v>
      </c>
      <c r="D23" s="97">
        <v>200</v>
      </c>
      <c r="E23" s="97">
        <v>200</v>
      </c>
      <c r="F23" s="97">
        <v>200</v>
      </c>
      <c r="G23" s="97">
        <v>200</v>
      </c>
      <c r="H23" s="97">
        <v>1000</v>
      </c>
      <c r="I23" s="97">
        <v>200</v>
      </c>
      <c r="J23" s="97">
        <v>200</v>
      </c>
      <c r="K23" s="97">
        <v>200</v>
      </c>
      <c r="L23" s="97">
        <v>200</v>
      </c>
      <c r="M23" s="97">
        <v>200</v>
      </c>
      <c r="N23" s="97">
        <v>1000</v>
      </c>
      <c r="O23" s="81">
        <f t="shared" si="2"/>
        <v>4000</v>
      </c>
    </row>
    <row r="24" spans="1:15" ht="24.95" customHeight="1" thickBot="1" x14ac:dyDescent="0.35">
      <c r="A24" s="30"/>
      <c r="B24" s="43" t="s">
        <v>26</v>
      </c>
      <c r="C24" s="96">
        <v>5000</v>
      </c>
      <c r="D24" s="97">
        <v>0</v>
      </c>
      <c r="E24" s="97">
        <v>0</v>
      </c>
      <c r="F24" s="97">
        <v>5000</v>
      </c>
      <c r="G24" s="97">
        <v>0</v>
      </c>
      <c r="H24" s="97">
        <v>0</v>
      </c>
      <c r="I24" s="97">
        <v>5000</v>
      </c>
      <c r="J24" s="97">
        <v>0</v>
      </c>
      <c r="K24" s="97">
        <v>0</v>
      </c>
      <c r="L24" s="97">
        <v>5000</v>
      </c>
      <c r="M24" s="97">
        <v>0</v>
      </c>
      <c r="N24" s="97">
        <v>0</v>
      </c>
      <c r="O24" s="81">
        <f t="shared" si="2"/>
        <v>20000</v>
      </c>
    </row>
    <row r="25" spans="1:15" ht="24.95" customHeight="1" thickBot="1" x14ac:dyDescent="0.35">
      <c r="A25" s="30"/>
      <c r="B25" s="43" t="s">
        <v>27</v>
      </c>
      <c r="C25" s="96">
        <v>200</v>
      </c>
      <c r="D25" s="97">
        <v>200</v>
      </c>
      <c r="E25" s="97">
        <v>200</v>
      </c>
      <c r="F25" s="97">
        <v>200</v>
      </c>
      <c r="G25" s="97">
        <v>200</v>
      </c>
      <c r="H25" s="97">
        <v>200</v>
      </c>
      <c r="I25" s="97">
        <v>200</v>
      </c>
      <c r="J25" s="97">
        <v>200</v>
      </c>
      <c r="K25" s="97">
        <v>200</v>
      </c>
      <c r="L25" s="97">
        <v>200</v>
      </c>
      <c r="M25" s="97">
        <v>200</v>
      </c>
      <c r="N25" s="97">
        <v>200</v>
      </c>
      <c r="O25" s="81">
        <f t="shared" si="2"/>
        <v>2400</v>
      </c>
    </row>
    <row r="26" spans="1:15" ht="24.95" customHeight="1" thickBot="1" x14ac:dyDescent="0.35">
      <c r="A26" s="30"/>
      <c r="B26" s="43" t="s">
        <v>28</v>
      </c>
      <c r="C26" s="96">
        <v>2000</v>
      </c>
      <c r="D26" s="97">
        <v>2000</v>
      </c>
      <c r="E26" s="97">
        <v>2000</v>
      </c>
      <c r="F26" s="97">
        <v>5000</v>
      </c>
      <c r="G26" s="97">
        <v>2000</v>
      </c>
      <c r="H26" s="97">
        <v>2000</v>
      </c>
      <c r="I26" s="97">
        <v>2000</v>
      </c>
      <c r="J26" s="97">
        <v>5000</v>
      </c>
      <c r="K26" s="97">
        <v>2000</v>
      </c>
      <c r="L26" s="97">
        <v>2000</v>
      </c>
      <c r="M26" s="97">
        <v>2000</v>
      </c>
      <c r="N26" s="97">
        <v>5000</v>
      </c>
      <c r="O26" s="81">
        <f t="shared" si="2"/>
        <v>33000</v>
      </c>
    </row>
    <row r="27" spans="1:15" ht="24.95" customHeight="1" thickBot="1" x14ac:dyDescent="0.35">
      <c r="A27" s="30"/>
      <c r="B27" s="43" t="s">
        <v>29</v>
      </c>
      <c r="C27" s="96">
        <v>200</v>
      </c>
      <c r="D27" s="97">
        <v>200</v>
      </c>
      <c r="E27" s="97">
        <v>200</v>
      </c>
      <c r="F27" s="97">
        <v>200</v>
      </c>
      <c r="G27" s="97">
        <v>200</v>
      </c>
      <c r="H27" s="97">
        <v>200</v>
      </c>
      <c r="I27" s="97">
        <v>200</v>
      </c>
      <c r="J27" s="97">
        <v>200</v>
      </c>
      <c r="K27" s="97">
        <v>200</v>
      </c>
      <c r="L27" s="97">
        <v>200</v>
      </c>
      <c r="M27" s="97">
        <v>200</v>
      </c>
      <c r="N27" s="97">
        <v>200</v>
      </c>
      <c r="O27" s="81">
        <f t="shared" si="2"/>
        <v>2400</v>
      </c>
    </row>
    <row r="28" spans="1:15" ht="24.95" customHeight="1" x14ac:dyDescent="0.3">
      <c r="A28" s="30"/>
      <c r="B28" s="45" t="s">
        <v>13</v>
      </c>
      <c r="C28" s="82">
        <f>SUBTOTAL(109,ΠρογραμματισμέναΈξοδαΜάρκετινγκ[Ιαν])</f>
        <v>8100</v>
      </c>
      <c r="D28" s="83">
        <f>SUBTOTAL(109,ΠρογραμματισμέναΈξοδαΜάρκετινγκ[Φεβ])</f>
        <v>3100</v>
      </c>
      <c r="E28" s="83">
        <f>SUBTOTAL(109,ΠρογραμματισμέναΈξοδαΜάρκετινγκ[Μάρ])</f>
        <v>3100</v>
      </c>
      <c r="F28" s="83">
        <f>SUBTOTAL(109,ΠρογραμματισμέναΈξοδαΜάρκετινγκ[Απρ])</f>
        <v>11100</v>
      </c>
      <c r="G28" s="83">
        <f>SUBTOTAL(109,ΠρογραμματισμέναΈξοδαΜάρκετινγκ[Μάι])</f>
        <v>3100</v>
      </c>
      <c r="H28" s="83">
        <f>SUBTOTAL(109,ΠρογραμματισμέναΈξοδαΜάρκετινγκ[Ιούν])</f>
        <v>3900</v>
      </c>
      <c r="I28" s="83">
        <f>SUBTOTAL(109,ΠρογραμματισμέναΈξοδαΜάρκετινγκ[Ιούλ])</f>
        <v>8100</v>
      </c>
      <c r="J28" s="83">
        <f>SUBTOTAL(109,ΠρογραμματισμέναΈξοδαΜάρκετινγκ[Αύγ])</f>
        <v>6100</v>
      </c>
      <c r="K28" s="83">
        <f>SUBTOTAL(109,ΠρογραμματισμέναΈξοδαΜάρκετινγκ[Σεπ])</f>
        <v>3100</v>
      </c>
      <c r="L28" s="83">
        <f>SUBTOTAL(109,ΠρογραμματισμέναΈξοδαΜάρκετινγκ[Οκτ])</f>
        <v>8100</v>
      </c>
      <c r="M28" s="83">
        <f>SUBTOTAL(109,ΠρογραμματισμέναΈξοδαΜάρκετινγκ[Νοε])</f>
        <v>3100</v>
      </c>
      <c r="N28" s="83">
        <f>SUBTOTAL(109,ΠρογραμματισμέναΈξοδαΜάρκετινγκ[Δεκ])</f>
        <v>6900</v>
      </c>
      <c r="O28" s="84">
        <f>SUBTOTAL(109,ΠρογραμματισμέναΈξοδαΜάρκετινγκ[ΕΤΟΣ])</f>
        <v>67800</v>
      </c>
    </row>
    <row r="29" spans="1:15" ht="21" customHeight="1" x14ac:dyDescent="0.3">
      <c r="A29" s="30"/>
      <c r="B29" s="70"/>
      <c r="C29" s="70"/>
      <c r="D29" s="93"/>
      <c r="E29" s="93"/>
      <c r="F29" s="93"/>
      <c r="G29" s="93"/>
      <c r="H29" s="93"/>
      <c r="I29" s="93"/>
      <c r="J29" s="93"/>
      <c r="K29" s="93"/>
      <c r="L29" s="93"/>
      <c r="M29" s="93"/>
      <c r="N29" s="93"/>
      <c r="O29" s="86"/>
    </row>
    <row r="30" spans="1:15" ht="21" customHeight="1" thickBot="1" x14ac:dyDescent="0.35">
      <c r="A30" s="30"/>
      <c r="B30" s="50" t="s">
        <v>30</v>
      </c>
      <c r="C30" s="94" t="s">
        <v>37</v>
      </c>
      <c r="D30" s="94" t="s">
        <v>39</v>
      </c>
      <c r="E30" s="94" t="s">
        <v>41</v>
      </c>
      <c r="F30" s="94" t="s">
        <v>43</v>
      </c>
      <c r="G30" s="94" t="s">
        <v>45</v>
      </c>
      <c r="H30" s="94" t="s">
        <v>47</v>
      </c>
      <c r="I30" s="94" t="s">
        <v>49</v>
      </c>
      <c r="J30" s="94" t="s">
        <v>51</v>
      </c>
      <c r="K30" s="94" t="s">
        <v>55</v>
      </c>
      <c r="L30" s="94" t="s">
        <v>57</v>
      </c>
      <c r="M30" s="94" t="s">
        <v>60</v>
      </c>
      <c r="N30" s="94" t="s">
        <v>62</v>
      </c>
      <c r="O30" s="95" t="s">
        <v>63</v>
      </c>
    </row>
    <row r="31" spans="1:15" ht="21" customHeight="1" thickBot="1" x14ac:dyDescent="0.35">
      <c r="A31" s="30"/>
      <c r="B31" s="43" t="s">
        <v>31</v>
      </c>
      <c r="C31" s="96">
        <v>2000</v>
      </c>
      <c r="D31" s="97">
        <v>2000</v>
      </c>
      <c r="E31" s="97">
        <v>2000</v>
      </c>
      <c r="F31" s="97">
        <v>2000</v>
      </c>
      <c r="G31" s="97">
        <v>2000</v>
      </c>
      <c r="H31" s="97">
        <v>2000</v>
      </c>
      <c r="I31" s="97">
        <v>2000</v>
      </c>
      <c r="J31" s="97">
        <v>2000</v>
      </c>
      <c r="K31" s="97">
        <v>2000</v>
      </c>
      <c r="L31" s="97">
        <v>2000</v>
      </c>
      <c r="M31" s="97">
        <v>2000</v>
      </c>
      <c r="N31" s="97">
        <v>2000</v>
      </c>
      <c r="O31" s="98">
        <f>SUM(C31:N31)</f>
        <v>24000</v>
      </c>
    </row>
    <row r="32" spans="1:15" ht="21" customHeight="1" thickBot="1" x14ac:dyDescent="0.35">
      <c r="A32" s="30"/>
      <c r="B32" s="43" t="s">
        <v>32</v>
      </c>
      <c r="C32" s="96">
        <v>2000</v>
      </c>
      <c r="D32" s="97">
        <v>2000</v>
      </c>
      <c r="E32" s="97">
        <v>2000</v>
      </c>
      <c r="F32" s="97">
        <v>2000</v>
      </c>
      <c r="G32" s="97">
        <v>2000</v>
      </c>
      <c r="H32" s="97">
        <v>2000</v>
      </c>
      <c r="I32" s="97">
        <v>2000</v>
      </c>
      <c r="J32" s="97">
        <v>2000</v>
      </c>
      <c r="K32" s="97">
        <v>2000</v>
      </c>
      <c r="L32" s="97">
        <v>2000</v>
      </c>
      <c r="M32" s="97">
        <v>2000</v>
      </c>
      <c r="N32" s="97">
        <v>2000</v>
      </c>
      <c r="O32" s="98">
        <f>SUM(C32:N32)</f>
        <v>24000</v>
      </c>
    </row>
    <row r="33" spans="1:15" ht="21" customHeight="1" x14ac:dyDescent="0.3">
      <c r="A33" s="30"/>
      <c r="B33" s="45" t="s">
        <v>13</v>
      </c>
      <c r="C33" s="99">
        <f>SUBTOTAL(109,ΠρογραμματισμέναΈξοδαΕκπαίδευσηςΚαιΜετακινήσεων[Ιαν])</f>
        <v>4000</v>
      </c>
      <c r="D33" s="100">
        <f>SUBTOTAL(109,ΠρογραμματισμέναΈξοδαΕκπαίδευσηςΚαιΜετακινήσεων[Φεβ])</f>
        <v>4000</v>
      </c>
      <c r="E33" s="100">
        <f>SUBTOTAL(109,ΠρογραμματισμέναΈξοδαΕκπαίδευσηςΚαιΜετακινήσεων[Μάρ])</f>
        <v>4000</v>
      </c>
      <c r="F33" s="100">
        <f>SUBTOTAL(109,ΠρογραμματισμέναΈξοδαΕκπαίδευσηςΚαιΜετακινήσεων[Απρ])</f>
        <v>4000</v>
      </c>
      <c r="G33" s="100">
        <f>SUBTOTAL(109,ΠρογραμματισμέναΈξοδαΕκπαίδευσηςΚαιΜετακινήσεων[Μάι])</f>
        <v>4000</v>
      </c>
      <c r="H33" s="100">
        <f>SUBTOTAL(109,ΠρογραμματισμέναΈξοδαΕκπαίδευσηςΚαιΜετακινήσεων[Ιούν])</f>
        <v>4000</v>
      </c>
      <c r="I33" s="100">
        <f>SUBTOTAL(109,ΠρογραμματισμέναΈξοδαΕκπαίδευσηςΚαιΜετακινήσεων[Ιούλ])</f>
        <v>4000</v>
      </c>
      <c r="J33" s="100">
        <f>SUBTOTAL(109,ΠρογραμματισμέναΈξοδαΕκπαίδευσηςΚαιΜετακινήσεων[Αύγ])</f>
        <v>4000</v>
      </c>
      <c r="K33" s="100">
        <f>SUBTOTAL(109,ΠρογραμματισμέναΈξοδαΕκπαίδευσηςΚαιΜετακινήσεων[Σεπ])</f>
        <v>4000</v>
      </c>
      <c r="L33" s="100">
        <f>SUBTOTAL(109,ΠρογραμματισμέναΈξοδαΕκπαίδευσηςΚαιΜετακινήσεων[Οκτ])</f>
        <v>4000</v>
      </c>
      <c r="M33" s="100">
        <f>SUBTOTAL(109,ΠρογραμματισμέναΈξοδαΕκπαίδευσηςΚαιΜετακινήσεων[Νοε])</f>
        <v>4000</v>
      </c>
      <c r="N33" s="100">
        <f>SUBTOTAL(109,ΠρογραμματισμέναΈξοδαΕκπαίδευσηςΚαιΜετακινήσεων[Δεκ])</f>
        <v>4000</v>
      </c>
      <c r="O33" s="101">
        <f>SUBTOTAL(109,ΠρογραμματισμέναΈξοδαΕκπαίδευσηςΚαιΜετακινήσεων[ΕΤΟΣ])</f>
        <v>48000</v>
      </c>
    </row>
    <row r="34" spans="1:15" ht="21" customHeight="1" x14ac:dyDescent="0.3">
      <c r="A34" s="30"/>
      <c r="B34" s="70"/>
      <c r="C34" s="70"/>
      <c r="D34" s="86"/>
      <c r="E34" s="86"/>
      <c r="F34" s="86"/>
      <c r="G34" s="86"/>
      <c r="H34" s="86"/>
      <c r="I34" s="86"/>
      <c r="J34" s="86"/>
      <c r="K34" s="86"/>
      <c r="L34" s="86"/>
      <c r="M34" s="86"/>
      <c r="N34" s="86"/>
      <c r="O34" s="86"/>
    </row>
    <row r="35" spans="1:15" ht="24.95" customHeight="1" thickBot="1" x14ac:dyDescent="0.35">
      <c r="A35" s="30"/>
      <c r="B35" s="21" t="s">
        <v>33</v>
      </c>
      <c r="C35" s="23" t="s">
        <v>37</v>
      </c>
      <c r="D35" s="23" t="s">
        <v>39</v>
      </c>
      <c r="E35" s="23" t="s">
        <v>41</v>
      </c>
      <c r="F35" s="23" t="s">
        <v>43</v>
      </c>
      <c r="G35" s="23" t="s">
        <v>45</v>
      </c>
      <c r="H35" s="23" t="s">
        <v>47</v>
      </c>
      <c r="I35" s="23" t="s">
        <v>49</v>
      </c>
      <c r="J35" s="23" t="s">
        <v>51</v>
      </c>
      <c r="K35" s="23" t="s">
        <v>55</v>
      </c>
      <c r="L35" s="23" t="s">
        <v>57</v>
      </c>
      <c r="M35" s="23" t="s">
        <v>60</v>
      </c>
      <c r="N35" s="23" t="s">
        <v>62</v>
      </c>
      <c r="O35" s="23" t="s">
        <v>64</v>
      </c>
    </row>
    <row r="36" spans="1:15" ht="24.95" customHeight="1" thickBot="1" x14ac:dyDescent="0.35">
      <c r="A36" s="30"/>
      <c r="B36" s="22" t="s">
        <v>34</v>
      </c>
      <c r="C36" s="102">
        <f>ΠρογραμματισμέναΈξοδαΕκπαίδευσηςΚαιΜετακινήσεων[[#Totals],[Ιαν]]+ΠρογραμματισμέναΈξοδαΜάρκετινγκ[[#Totals],[Ιαν]]+ΠρογραμματισμέναΈξοδαΓραφείου[[#Totals],[Ιαν]]+ΠρογραμματισμέναΈξοδαΥπαλλήλων[[#Totals],[Ιαν]]</f>
        <v>131420</v>
      </c>
      <c r="D36" s="102">
        <f>ΠρογραμματισμέναΈξοδαΕκπαίδευσηςΚαιΜετακινήσεων[[#Totals],[Φεβ]]+ΠρογραμματισμέναΈξοδαΜάρκετινγκ[[#Totals],[Φεβ]]+ΠρογραμματισμέναΈξοδαΓραφείου[[#Totals],[Φεβ]]+ΠρογραμματισμέναΈξοδαΥπαλλήλων[[#Totals],[Φεβ]]</f>
        <v>126820</v>
      </c>
      <c r="E36" s="102">
        <f>ΠρογραμματισμέναΈξοδαΕκπαίδευσηςΚαιΜετακινήσεων[[#Totals],[Μάρ]]+ΠρογραμματισμέναΈξοδαΜάρκετινγκ[[#Totals],[Μάρ]]+ΠρογραμματισμέναΈξοδαΓραφείου[[#Totals],[Μάρ]]+ΠρογραμματισμέναΈξοδαΥπαλλήλων[[#Totals],[Μάρ]]</f>
        <v>126820</v>
      </c>
      <c r="F36" s="102">
        <f>ΠρογραμματισμέναΈξοδαΕκπαίδευσηςΚαιΜετακινήσεων[[#Totals],[Απρ]]+ΠρογραμματισμέναΈξοδαΜάρκετινγκ[[#Totals],[Απρ]]+ΠρογραμματισμέναΈξοδαΓραφείου[[#Totals],[Απρ]]+ΠρογραμματισμέναΈξοδαΥπαλλήλων[[#Totals],[Απρ]]</f>
        <v>137695</v>
      </c>
      <c r="G36" s="102">
        <f>ΠρογραμματισμέναΈξοδαΕκπαίδευσηςΚαιΜετακινήσεων[[#Totals],[Μάι]]+ΠρογραμματισμέναΈξοδαΜάρκετινγκ[[#Totals],[Μάι]]+ΠρογραμματισμέναΈξοδαΓραφείου[[#Totals],[Μάι]]+ΠρογραμματισμέναΈξοδαΥπαλλήλων[[#Totals],[Μάι]]</f>
        <v>129695</v>
      </c>
      <c r="H36" s="102">
        <f>ΠρογραμματισμέναΈξοδαΕκπαίδευσηςΚαιΜετακινήσεων[[#Totals],[Ιούν]]+ΠρογραμματισμέναΈξοδαΜάρκετινγκ[[#Totals],[Ιούν]]+ΠρογραμματισμέναΈξοδαΓραφείου[[#Totals],[Ιούν]]+ΠρογραμματισμέναΈξοδαΥπαλλήλων[[#Totals],[Ιούν]]</f>
        <v>130495</v>
      </c>
      <c r="I36" s="103">
        <f>ΠρογραμματισμέναΈξοδαΕκπαίδευσηςΚαιΜετακινήσεων[[#Totals],[Ιούλ]]+ΠρογραμματισμέναΈξοδαΜάρκετινγκ[[#Totals],[Ιούλ]]+ΠρογραμματισμέναΈξοδαΓραφείου[[#Totals],[Ιούλ]]+ΠρογραμματισμέναΈξοδαΥπαλλήλων[[#Totals],[Ιούλ]]</f>
        <v>134695</v>
      </c>
      <c r="J36" s="102">
        <f>ΠρογραμματισμέναΈξοδαΕκπαίδευσηςΚαιΜετακινήσεων[[#Totals],[Αύγ]]+ΠρογραμματισμέναΈξοδαΜάρκετινγκ[[#Totals],[Αύγ]]+ΠρογραμματισμέναΈξοδαΓραφείου[[#Totals],[Αύγ]]+ΠρογραμματισμέναΈξοδαΥπαλλήλων[[#Totals],[Αύγ]]</f>
        <v>138918</v>
      </c>
      <c r="K36" s="102">
        <f>ΠρογραμματισμέναΈξοδαΕκπαίδευσηςΚαιΜετακινήσεων[[#Totals],[Σεπ]]+ΠρογραμματισμέναΈξοδαΜάρκετινγκ[[#Totals],[Σεπ]]+ΠρογραμματισμέναΈξοδαΓραφείου[[#Totals],[Σεπ]]+ΠρογραμματισμέναΈξοδαΥπαλλήλων[[#Totals],[Σεπ]]</f>
        <v>135918</v>
      </c>
      <c r="L36" s="102">
        <f>ΠρογραμματισμέναΈξοδαΕκπαίδευσηςΚαιΜετακινήσεων[[#Totals],[Οκτ]]+ΠρογραμματισμέναΈξοδαΜάρκετινγκ[[#Totals],[Οκτ]]+ΠρογραμματισμέναΈξοδαΓραφείου[[#Totals],[Οκτ]]+ΠρογραμματισμέναΈξοδαΥπαλλήλων[[#Totals],[Οκτ]]</f>
        <v>140918</v>
      </c>
      <c r="M36" s="102">
        <f>ΠρογραμματισμέναΈξοδαΥπαλλήλων[[#Totals],[Νοέ]]+ΠρογραμματισμέναΈξοδαΕκπαίδευσηςΚαιΜετακινήσεων[[#Totals],[Νοε]]+ΠρογραμματισμέναΈξοδαΜάρκετινγκ[[#Totals],[Νοε]]+ΠρογραμματισμέναΈξοδαΓραφείου[[#Totals],[Νοε]]</f>
        <v>136218</v>
      </c>
      <c r="N36" s="102">
        <f>ΠρογραμματισμέναΈξοδαΕκπαίδευσηςΚαιΜετακινήσεων[[#Totals],[Δεκ]]+ΠρογραμματισμέναΈξοδαΜάρκετινγκ[[#Totals],[Δεκ]]+ΠρογραμματισμέναΈξοδαΓραφείου[[#Totals],[Δεκ]]+ΠρογραμματισμέναΈξοδαΥπαλλήλων[[#Totals],[Δεκ]]</f>
        <v>140018</v>
      </c>
      <c r="O36" s="102">
        <f>ΠρογραμματισμέναΈξοδαΕκπαίδευσηςΚαιΜετακινήσεων[[#Totals],[ΕΤΟΣ]]+ΠρογραμματισμέναΈξοδαΜάρκετινγκ[[#Totals],[ΕΤΟΣ]]+ΠρογραμματισμέναΈξοδαΓραφείου[[#Totals],[ΕΤΟΣ]]+ΠρογραμματισμέναΈξοδαΥπαλλήλων[[#Totals],[ΕΤΟΣ]]</f>
        <v>1609630</v>
      </c>
    </row>
    <row r="37" spans="1:15" ht="24.95" customHeight="1" x14ac:dyDescent="0.3">
      <c r="A37" s="30"/>
      <c r="B37" s="22" t="s">
        <v>35</v>
      </c>
      <c r="C37" s="102">
        <f>SUM($C$36:C36)</f>
        <v>131420</v>
      </c>
      <c r="D37" s="102">
        <f>SUM($C$36:D36)</f>
        <v>258240</v>
      </c>
      <c r="E37" s="102">
        <f>SUM($C$36:E36)</f>
        <v>385060</v>
      </c>
      <c r="F37" s="102">
        <f>SUM($C$36:F36)</f>
        <v>522755</v>
      </c>
      <c r="G37" s="102">
        <f>SUM($C$36:G36)</f>
        <v>652450</v>
      </c>
      <c r="H37" s="102">
        <f>SUM($C$36:H36)</f>
        <v>782945</v>
      </c>
      <c r="I37" s="102">
        <f>SUM($C$36:I36)</f>
        <v>917640</v>
      </c>
      <c r="J37" s="102">
        <f>SUM($C$36:J36)</f>
        <v>1056558</v>
      </c>
      <c r="K37" s="102">
        <f>SUM($C$36:K36)</f>
        <v>1192476</v>
      </c>
      <c r="L37" s="102">
        <f>SUM($C$36:L36)</f>
        <v>1333394</v>
      </c>
      <c r="M37" s="102">
        <f>SUM($C$36:M36)</f>
        <v>1469612</v>
      </c>
      <c r="N37" s="102">
        <f>SUM($C$36:N36)</f>
        <v>1609630</v>
      </c>
      <c r="O37" s="102"/>
    </row>
    <row r="38" spans="1:15" ht="21" customHeight="1" x14ac:dyDescent="0.3">
      <c r="A38" s="30"/>
    </row>
  </sheetData>
  <mergeCells count="3">
    <mergeCell ref="R4:T13"/>
    <mergeCell ref="K2:M2"/>
    <mergeCell ref="K3:M3"/>
  </mergeCells>
  <dataValidations count="9">
    <dataValidation allowBlank="1" showInputMessage="1" showErrorMessage="1" prompt="Σε αυτό το κελί βρίσκεται το σύμβολο κράτησης θέσης λογότυπου." sqref="N2" xr:uid="{945E4055-1BEA-4F2B-AF1A-B15640887A38}"/>
    <dataValidation allowBlank="1" showInputMessage="1" showErrorMessage="1" prompt="Η ετικέτα των Προγραμματισμένων εξόδων βρίσκεται στο κελί στα δεξιά, οι μήνες στα κελιά C4 έως N4, η ετικέτα του Έτους στο κελί Ο4 και οι οδηγίες Χρήσης του προτύπου στο κελί R4." sqref="A4" xr:uid="{FC1A50C5-6C61-4FA0-BFBA-2CC82DE4DC0B}"/>
    <dataValidation allowBlank="1" showInputMessage="1" showErrorMessage="1" prompt="Εισαγάγετε τα έξοδα υπαλλήλων στον πίνακα Προγραμματισμένα έξοδα υπαλλήλων που ξεκινά στο κελί στα δεξιά.Η επόμενη οδηγία βρίσκεται στο κελί Α10." sqref="A5" xr:uid="{EED19FC0-ADDC-4580-BE69-2FEDE2EE49A6}"/>
    <dataValidation allowBlank="1" showInputMessage="1" showErrorMessage="1" prompt="Εισαγάγετε τα έξοδα γραφείου στον πίνακα Προγραμματισμένα έξοδα γραφείου που ξεκινά στο κελί στα δεξιά.Η επόμενη οδηγία βρίσκεται στο κελί Α21." sqref="A10" xr:uid="{8C5477C2-13FC-4F55-AAB3-60246BBB7A64}"/>
    <dataValidation allowBlank="1" showInputMessage="1" showErrorMessage="1" prompt="Εισαγάγετε τα έξοδα μάρκετινγκ στον πίνακα Προγραμματισμένα έξοδα μάρκετινγκ που ξεκινά στο κελί στα δεξιά.Η επόμενη οδηγία βρίσκεται στο κελί Α30." sqref="A21" xr:uid="{66411362-0BD5-4E49-BFA8-E0A0A55D07AD}"/>
    <dataValidation allowBlank="1" showInputMessage="1" showErrorMessage="1" prompt="Τα σύνολα υπολογίζονται αυτόματα στον πίνακα Συνολικών προγραμματισμένων εξόδων που ξεκινά στο κελί στα δεξιά." sqref="A30" xr:uid="{6B0B8404-700F-48B3-AD96-0ED1CE7011E9}"/>
    <dataValidation allowBlank="1" showInputMessage="1" showErrorMessage="1" prompt="Εισαγάγετε τα προγραμματισμένα έξοδα υπαλλήλων, γραφείου, μάρκετινγκ, εκπαίδευσης ή μετακίνησης σε αντίστοιχους πίνακες. Τα σύνολα υπολογίζονται αυτόματα. Οδηγίες χρήσης του φύλλου εργασίας βρίσκονται σε αυτήν τη στήλη. Ξεκινήστε με το βέλος προς τα κάτω." sqref="A1" xr:uid="{C6D84CBA-4A3E-4161-9004-1D9F785E5541}"/>
    <dataValidation allowBlank="1" showInputMessage="1" showErrorMessage="1" prompt="Εισαγάγετε την επωνυμία της εταιρείας στο κελί στα δεξιά και το λογότυπο στο κελί N2. Ο τίτλος αυτού του φύλλου εργασίας βρίσκεται στο κελί K2." sqref="A2" xr:uid="{B4473BB7-021E-4A63-A5F5-4234C1B5B724}"/>
    <dataValidation allowBlank="1" showInputMessage="1" showErrorMessage="1" prompt="Στο κελί K3 βρίσκεται συμβουλή." sqref="A3" xr:uid="{3ECF8058-2463-465E-ADF4-F540ECB4A91E}"/>
  </dataValidations>
  <pageMargins left="0.7" right="0.7" top="0.75" bottom="0.75" header="0.3" footer="0.3"/>
  <pageSetup paperSize="9" fitToHeight="0" orientation="portrait" r:id="rId1"/>
  <ignoredErrors>
    <ignoredError sqref="C6:N6 C37:O37 C36:M36 N36:O36" calculatedColumn="1"/>
    <ignoredError sqref="O12" emptyCellReference="1"/>
  </ignoredErrors>
  <drawing r:id="rId2"/>
  <tableParts count="5">
    <tablePart r:id="rId3"/>
    <tablePart r:id="rId4"/>
    <tablePart r:id="rId5"/>
    <tablePart r:id="rId6"/>
    <tablePart r:id="rId7"/>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autoPageBreaks="0"/>
  </sheetPr>
  <dimension ref="A1:P38"/>
  <sheetViews>
    <sheetView showGridLines="0" zoomScaleNormal="100" workbookViewId="0"/>
  </sheetViews>
  <sheetFormatPr defaultColWidth="9.140625" defaultRowHeight="21" customHeight="1" x14ac:dyDescent="0.3"/>
  <cols>
    <col min="1" max="1" width="4.7109375" style="1" customWidth="1"/>
    <col min="2" max="2" width="56.7109375" style="2" customWidth="1"/>
    <col min="3" max="14" width="15.7109375" style="2" customWidth="1"/>
    <col min="15" max="15" width="16.28515625" style="2" customWidth="1"/>
    <col min="16" max="16" width="4.7109375" style="1" customWidth="1"/>
    <col min="17" max="16384" width="9.140625" style="2"/>
  </cols>
  <sheetData>
    <row r="1" spans="1:16" s="1" customFormat="1" ht="24" customHeight="1" x14ac:dyDescent="0.3">
      <c r="A1" s="31"/>
      <c r="B1" s="7"/>
      <c r="C1" s="7"/>
      <c r="D1" s="7"/>
      <c r="E1" s="7"/>
      <c r="F1" s="4"/>
      <c r="G1" s="4"/>
      <c r="H1" s="4"/>
      <c r="I1" s="4"/>
      <c r="J1" s="4"/>
      <c r="K1" s="4"/>
      <c r="L1" s="4"/>
      <c r="M1" s="4"/>
      <c r="N1" s="4"/>
      <c r="O1" s="4"/>
      <c r="P1" s="53" t="s">
        <v>65</v>
      </c>
    </row>
    <row r="2" spans="1:16" s="1" customFormat="1" ht="45" customHeight="1" x14ac:dyDescent="0.35">
      <c r="A2" s="29"/>
      <c r="B2" s="72" t="str">
        <f>'ΠΡΟΓΡΑΜΜΑΤΙΣΜΕΝΑ ΕΞΟΔΑ'!B2:D3</f>
        <v>Επωνυμία εταιρείας</v>
      </c>
      <c r="C2" s="72"/>
      <c r="D2" s="72"/>
      <c r="E2" s="128"/>
      <c r="F2" s="5"/>
      <c r="G2" s="5"/>
      <c r="H2" s="5"/>
      <c r="I2" s="5"/>
      <c r="J2" s="5"/>
      <c r="K2" s="123" t="str">
        <f>τίτλος_φύλλου_εργασίας</f>
        <v>Λεπτομερείς εκτιμήσεις εξόδων</v>
      </c>
      <c r="L2" s="123"/>
      <c r="M2" s="123"/>
      <c r="N2" s="69"/>
      <c r="O2" s="69"/>
      <c r="P2" s="4"/>
    </row>
    <row r="3" spans="1:16" s="1" customFormat="1" ht="30" customHeight="1" x14ac:dyDescent="0.3">
      <c r="A3" s="29"/>
      <c r="B3" s="72"/>
      <c r="C3" s="72"/>
      <c r="D3" s="72"/>
      <c r="E3" s="129"/>
      <c r="F3" s="6"/>
      <c r="G3" s="6"/>
      <c r="H3" s="6"/>
      <c r="I3" s="6"/>
      <c r="J3" s="6"/>
      <c r="K3" s="125" t="s">
        <v>53</v>
      </c>
      <c r="L3" s="125"/>
      <c r="M3" s="125"/>
      <c r="N3" s="69"/>
      <c r="O3" s="69"/>
      <c r="P3" s="4"/>
    </row>
    <row r="4" spans="1:16" s="8" customFormat="1" ht="49.5" customHeight="1" x14ac:dyDescent="0.3">
      <c r="A4" s="30"/>
      <c r="B4" s="19" t="s">
        <v>66</v>
      </c>
      <c r="C4" s="76" t="s">
        <v>36</v>
      </c>
      <c r="D4" s="76" t="s">
        <v>38</v>
      </c>
      <c r="E4" s="76" t="s">
        <v>40</v>
      </c>
      <c r="F4" s="76" t="s">
        <v>42</v>
      </c>
      <c r="G4" s="76" t="s">
        <v>44</v>
      </c>
      <c r="H4" s="76" t="s">
        <v>46</v>
      </c>
      <c r="I4" s="76" t="s">
        <v>48</v>
      </c>
      <c r="J4" s="76" t="s">
        <v>50</v>
      </c>
      <c r="K4" s="76" t="s">
        <v>54</v>
      </c>
      <c r="L4" s="76" t="s">
        <v>56</v>
      </c>
      <c r="M4" s="76" t="s">
        <v>58</v>
      </c>
      <c r="N4" s="76" t="s">
        <v>61</v>
      </c>
      <c r="O4" s="76" t="s">
        <v>63</v>
      </c>
    </row>
    <row r="5" spans="1:16" ht="24.95" customHeight="1" thickBot="1" x14ac:dyDescent="0.35">
      <c r="A5" s="30"/>
      <c r="B5" s="42" t="s">
        <v>10</v>
      </c>
      <c r="C5" s="104" t="s">
        <v>37</v>
      </c>
      <c r="D5" s="94" t="s">
        <v>39</v>
      </c>
      <c r="E5" s="94" t="s">
        <v>41</v>
      </c>
      <c r="F5" s="94" t="s">
        <v>43</v>
      </c>
      <c r="G5" s="94" t="s">
        <v>45</v>
      </c>
      <c r="H5" s="94" t="s">
        <v>47</v>
      </c>
      <c r="I5" s="94" t="s">
        <v>49</v>
      </c>
      <c r="J5" s="94" t="s">
        <v>51</v>
      </c>
      <c r="K5" s="94" t="s">
        <v>55</v>
      </c>
      <c r="L5" s="94" t="s">
        <v>57</v>
      </c>
      <c r="M5" s="94" t="s">
        <v>59</v>
      </c>
      <c r="N5" s="94" t="s">
        <v>62</v>
      </c>
      <c r="O5" s="95" t="s">
        <v>63</v>
      </c>
    </row>
    <row r="6" spans="1:16" ht="24.95" customHeight="1" thickBot="1" x14ac:dyDescent="0.35">
      <c r="A6" s="30"/>
      <c r="B6" s="43" t="s">
        <v>11</v>
      </c>
      <c r="C6" s="96">
        <v>85000</v>
      </c>
      <c r="D6" s="97">
        <v>85000</v>
      </c>
      <c r="E6" s="97">
        <v>85000</v>
      </c>
      <c r="F6" s="97">
        <v>88000</v>
      </c>
      <c r="G6" s="97">
        <v>88000</v>
      </c>
      <c r="H6" s="97">
        <v>88000</v>
      </c>
      <c r="I6" s="97"/>
      <c r="J6" s="97"/>
      <c r="K6" s="97"/>
      <c r="L6" s="97"/>
      <c r="M6" s="97"/>
      <c r="N6" s="97"/>
      <c r="O6" s="98">
        <f>SUM(C6:N6)</f>
        <v>519000</v>
      </c>
    </row>
    <row r="7" spans="1:16" ht="24.95" customHeight="1" thickBot="1" x14ac:dyDescent="0.35">
      <c r="A7" s="30"/>
      <c r="B7" s="43" t="s">
        <v>12</v>
      </c>
      <c r="C7" s="96">
        <f t="shared" ref="C7:N7" si="0">C6*0.27</f>
        <v>22950</v>
      </c>
      <c r="D7" s="97">
        <f t="shared" si="0"/>
        <v>22950</v>
      </c>
      <c r="E7" s="97">
        <f t="shared" si="0"/>
        <v>22950</v>
      </c>
      <c r="F7" s="97">
        <f t="shared" si="0"/>
        <v>23760</v>
      </c>
      <c r="G7" s="97">
        <f t="shared" si="0"/>
        <v>23760</v>
      </c>
      <c r="H7" s="97">
        <f t="shared" si="0"/>
        <v>23760</v>
      </c>
      <c r="I7" s="97">
        <f t="shared" si="0"/>
        <v>0</v>
      </c>
      <c r="J7" s="97">
        <f t="shared" si="0"/>
        <v>0</v>
      </c>
      <c r="K7" s="97">
        <f t="shared" si="0"/>
        <v>0</v>
      </c>
      <c r="L7" s="97">
        <f t="shared" si="0"/>
        <v>0</v>
      </c>
      <c r="M7" s="97">
        <f t="shared" si="0"/>
        <v>0</v>
      </c>
      <c r="N7" s="97">
        <f t="shared" si="0"/>
        <v>0</v>
      </c>
      <c r="O7" s="98">
        <f>SUM(C7:N7)</f>
        <v>140130</v>
      </c>
    </row>
    <row r="8" spans="1:16" ht="24.95" customHeight="1" x14ac:dyDescent="0.3">
      <c r="A8" s="30"/>
      <c r="B8" s="56" t="s">
        <v>13</v>
      </c>
      <c r="C8" s="105">
        <f>SUBTOTAL(109,ΠραγματικάΈξοδαΥπαλλήλων[Ιαν])</f>
        <v>107950</v>
      </c>
      <c r="D8" s="106">
        <f>SUBTOTAL(109,ΠραγματικάΈξοδαΥπαλλήλων[Φεβ])</f>
        <v>107950</v>
      </c>
      <c r="E8" s="106">
        <f>SUBTOTAL(109,ΠραγματικάΈξοδαΥπαλλήλων[Μάρ])</f>
        <v>107950</v>
      </c>
      <c r="F8" s="106">
        <f>SUBTOTAL(109,ΠραγματικάΈξοδαΥπαλλήλων[Απρ])</f>
        <v>111760</v>
      </c>
      <c r="G8" s="106">
        <f>SUBTOTAL(109,ΠραγματικάΈξοδαΥπαλλήλων[Μάι])</f>
        <v>111760</v>
      </c>
      <c r="H8" s="106">
        <f>SUBTOTAL(109,ΠραγματικάΈξοδαΥπαλλήλων[Ιούν])</f>
        <v>111760</v>
      </c>
      <c r="I8" s="106">
        <f>SUBTOTAL(109,ΠραγματικάΈξοδαΥπαλλήλων[Ιούλ])</f>
        <v>0</v>
      </c>
      <c r="J8" s="106">
        <f>SUBTOTAL(109,ΠραγματικάΈξοδαΥπαλλήλων[Αύγ])</f>
        <v>0</v>
      </c>
      <c r="K8" s="106">
        <f>SUBTOTAL(109,ΠραγματικάΈξοδαΥπαλλήλων[Σεπ])</f>
        <v>0</v>
      </c>
      <c r="L8" s="106">
        <f>SUBTOTAL(109,ΠραγματικάΈξοδαΥπαλλήλων[Οκτ])</f>
        <v>0</v>
      </c>
      <c r="M8" s="106">
        <f>SUBTOTAL(109,ΠραγματικάΈξοδαΥπαλλήλων[Νοέ])</f>
        <v>0</v>
      </c>
      <c r="N8" s="106">
        <f>SUBTOTAL(109,ΠραγματικάΈξοδαΥπαλλήλων[Δεκ])</f>
        <v>0</v>
      </c>
      <c r="O8" s="107">
        <f>SUBTOTAL(109,ΠραγματικάΈξοδαΥπαλλήλων[ΕΤΟΣ])</f>
        <v>659130</v>
      </c>
    </row>
    <row r="9" spans="1:16" s="1" customFormat="1" ht="21" customHeight="1" x14ac:dyDescent="0.3">
      <c r="A9" s="30"/>
      <c r="B9" s="70"/>
      <c r="C9" s="70"/>
      <c r="D9" s="85"/>
      <c r="E9" s="85"/>
      <c r="F9" s="85"/>
      <c r="G9" s="85"/>
      <c r="H9" s="85"/>
      <c r="I9" s="85"/>
      <c r="J9" s="85"/>
      <c r="K9" s="85"/>
      <c r="L9" s="85"/>
      <c r="M9" s="85"/>
      <c r="N9" s="85"/>
      <c r="O9" s="86"/>
    </row>
    <row r="10" spans="1:16" ht="24.95" customHeight="1" thickBot="1" x14ac:dyDescent="0.35">
      <c r="A10" s="30"/>
      <c r="B10" s="47" t="s">
        <v>14</v>
      </c>
      <c r="C10" s="104" t="s">
        <v>37</v>
      </c>
      <c r="D10" s="94" t="s">
        <v>39</v>
      </c>
      <c r="E10" s="94" t="s">
        <v>41</v>
      </c>
      <c r="F10" s="94" t="s">
        <v>43</v>
      </c>
      <c r="G10" s="94" t="s">
        <v>45</v>
      </c>
      <c r="H10" s="94" t="s">
        <v>47</v>
      </c>
      <c r="I10" s="94" t="s">
        <v>49</v>
      </c>
      <c r="J10" s="94" t="s">
        <v>51</v>
      </c>
      <c r="K10" s="94" t="s">
        <v>55</v>
      </c>
      <c r="L10" s="94" t="s">
        <v>57</v>
      </c>
      <c r="M10" s="94" t="s">
        <v>60</v>
      </c>
      <c r="N10" s="94" t="s">
        <v>62</v>
      </c>
      <c r="O10" s="95" t="s">
        <v>63</v>
      </c>
    </row>
    <row r="11" spans="1:16" ht="24.95" customHeight="1" thickBot="1" x14ac:dyDescent="0.35">
      <c r="A11" s="30"/>
      <c r="B11" s="43" t="s">
        <v>15</v>
      </c>
      <c r="C11" s="96">
        <v>9800</v>
      </c>
      <c r="D11" s="97">
        <v>9800</v>
      </c>
      <c r="E11" s="97">
        <v>9800</v>
      </c>
      <c r="F11" s="97">
        <v>9800</v>
      </c>
      <c r="G11" s="97">
        <v>9800</v>
      </c>
      <c r="H11" s="97">
        <v>9800</v>
      </c>
      <c r="I11" s="97"/>
      <c r="J11" s="97"/>
      <c r="K11" s="97"/>
      <c r="L11" s="97"/>
      <c r="M11" s="97"/>
      <c r="N11" s="97"/>
      <c r="O11" s="98">
        <f t="shared" ref="O11:O18" si="1">SUM(C11:N11)</f>
        <v>58800</v>
      </c>
    </row>
    <row r="12" spans="1:16" ht="24.95" customHeight="1" thickBot="1" x14ac:dyDescent="0.35">
      <c r="A12" s="30"/>
      <c r="B12" s="43" t="s">
        <v>16</v>
      </c>
      <c r="C12" s="96">
        <v>4</v>
      </c>
      <c r="D12" s="97">
        <v>430</v>
      </c>
      <c r="E12" s="97">
        <v>385</v>
      </c>
      <c r="F12" s="97">
        <v>230</v>
      </c>
      <c r="G12" s="97">
        <v>87</v>
      </c>
      <c r="H12" s="97">
        <v>88</v>
      </c>
      <c r="I12" s="97"/>
      <c r="J12" s="97"/>
      <c r="K12" s="97"/>
      <c r="L12" s="97"/>
      <c r="M12" s="97"/>
      <c r="N12" s="97"/>
      <c r="O12" s="98">
        <f t="shared" si="1"/>
        <v>1224</v>
      </c>
    </row>
    <row r="13" spans="1:16" ht="24.95" customHeight="1" thickBot="1" x14ac:dyDescent="0.35">
      <c r="A13" s="30"/>
      <c r="B13" s="43" t="s">
        <v>17</v>
      </c>
      <c r="C13" s="96">
        <v>288</v>
      </c>
      <c r="D13" s="97">
        <v>278</v>
      </c>
      <c r="E13" s="97">
        <v>268</v>
      </c>
      <c r="F13" s="97">
        <v>299</v>
      </c>
      <c r="G13" s="97">
        <v>306</v>
      </c>
      <c r="H13" s="97">
        <v>290</v>
      </c>
      <c r="I13" s="97"/>
      <c r="J13" s="97"/>
      <c r="K13" s="97"/>
      <c r="L13" s="97"/>
      <c r="M13" s="97"/>
      <c r="N13" s="97"/>
      <c r="O13" s="98">
        <f t="shared" si="1"/>
        <v>1729</v>
      </c>
    </row>
    <row r="14" spans="1:16" ht="24.95" customHeight="1" thickBot="1" x14ac:dyDescent="0.35">
      <c r="A14" s="30"/>
      <c r="B14" s="43" t="s">
        <v>18</v>
      </c>
      <c r="C14" s="96">
        <v>35</v>
      </c>
      <c r="D14" s="97">
        <v>33</v>
      </c>
      <c r="E14" s="97">
        <v>34</v>
      </c>
      <c r="F14" s="97">
        <v>36</v>
      </c>
      <c r="G14" s="97">
        <v>34</v>
      </c>
      <c r="H14" s="97">
        <v>36</v>
      </c>
      <c r="I14" s="97"/>
      <c r="J14" s="97"/>
      <c r="K14" s="97"/>
      <c r="L14" s="97"/>
      <c r="M14" s="97"/>
      <c r="N14" s="97"/>
      <c r="O14" s="98">
        <f t="shared" si="1"/>
        <v>208</v>
      </c>
    </row>
    <row r="15" spans="1:16" ht="24.95" customHeight="1" thickBot="1" x14ac:dyDescent="0.35">
      <c r="A15" s="30"/>
      <c r="B15" s="43" t="s">
        <v>19</v>
      </c>
      <c r="C15" s="96">
        <v>224</v>
      </c>
      <c r="D15" s="97">
        <v>235</v>
      </c>
      <c r="E15" s="97">
        <v>265</v>
      </c>
      <c r="F15" s="97">
        <v>245</v>
      </c>
      <c r="G15" s="97">
        <v>245</v>
      </c>
      <c r="H15" s="97">
        <v>220</v>
      </c>
      <c r="I15" s="97"/>
      <c r="J15" s="97"/>
      <c r="K15" s="97"/>
      <c r="L15" s="97"/>
      <c r="M15" s="97"/>
      <c r="N15" s="97"/>
      <c r="O15" s="98">
        <f t="shared" si="1"/>
        <v>1434</v>
      </c>
    </row>
    <row r="16" spans="1:16" ht="24.95" customHeight="1" thickBot="1" x14ac:dyDescent="0.35">
      <c r="A16" s="30"/>
      <c r="B16" s="43" t="s">
        <v>20</v>
      </c>
      <c r="C16" s="96">
        <v>180</v>
      </c>
      <c r="D16" s="97">
        <v>180</v>
      </c>
      <c r="E16" s="97">
        <v>180</v>
      </c>
      <c r="F16" s="97">
        <v>180</v>
      </c>
      <c r="G16" s="97">
        <v>180</v>
      </c>
      <c r="H16" s="97">
        <v>180</v>
      </c>
      <c r="I16" s="97"/>
      <c r="J16" s="97"/>
      <c r="K16" s="97"/>
      <c r="L16" s="97"/>
      <c r="M16" s="97"/>
      <c r="N16" s="97"/>
      <c r="O16" s="98">
        <f t="shared" si="1"/>
        <v>1080</v>
      </c>
    </row>
    <row r="17" spans="1:15" ht="24.95" customHeight="1" thickBot="1" x14ac:dyDescent="0.35">
      <c r="A17" s="30"/>
      <c r="B17" s="43" t="s">
        <v>21</v>
      </c>
      <c r="C17" s="96">
        <v>256</v>
      </c>
      <c r="D17" s="97">
        <v>142</v>
      </c>
      <c r="E17" s="97">
        <v>160</v>
      </c>
      <c r="F17" s="97">
        <v>221</v>
      </c>
      <c r="G17" s="97">
        <v>256</v>
      </c>
      <c r="H17" s="97">
        <v>240</v>
      </c>
      <c r="I17" s="97"/>
      <c r="J17" s="97"/>
      <c r="K17" s="97"/>
      <c r="L17" s="97"/>
      <c r="M17" s="97"/>
      <c r="N17" s="97"/>
      <c r="O17" s="98">
        <f t="shared" si="1"/>
        <v>1275</v>
      </c>
    </row>
    <row r="18" spans="1:15" ht="24.95" customHeight="1" thickBot="1" x14ac:dyDescent="0.35">
      <c r="A18" s="30"/>
      <c r="B18" s="43" t="s">
        <v>22</v>
      </c>
      <c r="C18" s="96">
        <v>600</v>
      </c>
      <c r="D18" s="97">
        <v>600</v>
      </c>
      <c r="E18" s="97">
        <v>600</v>
      </c>
      <c r="F18" s="97">
        <v>600</v>
      </c>
      <c r="G18" s="97">
        <v>600</v>
      </c>
      <c r="H18" s="97">
        <v>600</v>
      </c>
      <c r="I18" s="97"/>
      <c r="J18" s="97"/>
      <c r="K18" s="97"/>
      <c r="L18" s="97"/>
      <c r="M18" s="97"/>
      <c r="N18" s="97"/>
      <c r="O18" s="98">
        <f t="shared" si="1"/>
        <v>3600</v>
      </c>
    </row>
    <row r="19" spans="1:15" ht="24.95" customHeight="1" x14ac:dyDescent="0.3">
      <c r="A19" s="30"/>
      <c r="B19" s="57" t="s">
        <v>13</v>
      </c>
      <c r="C19" s="100">
        <f>SUBTOTAL(109,ΠραγματικάΈξοδαΓραφείου[Ιαν])</f>
        <v>11387</v>
      </c>
      <c r="D19" s="100">
        <f>SUBTOTAL(109,ΠραγματικάΈξοδαΓραφείου[Φεβ])</f>
        <v>11698</v>
      </c>
      <c r="E19" s="100">
        <f>SUBTOTAL(109,ΠραγματικάΈξοδαΓραφείου[Μάρ])</f>
        <v>11692</v>
      </c>
      <c r="F19" s="100">
        <f>SUBTOTAL(109,ΠραγματικάΈξοδαΓραφείου[Απρ])</f>
        <v>11611</v>
      </c>
      <c r="G19" s="100">
        <f>SUBTOTAL(109,ΠραγματικάΈξοδαΓραφείου[Μάι])</f>
        <v>11508</v>
      </c>
      <c r="H19" s="100">
        <f>SUBTOTAL(109,ΠραγματικάΈξοδαΓραφείου[Ιούν])</f>
        <v>11454</v>
      </c>
      <c r="I19" s="100">
        <f>SUBTOTAL(109,ΠραγματικάΈξοδαΓραφείου[Ιούλ])</f>
        <v>0</v>
      </c>
      <c r="J19" s="100">
        <f>SUBTOTAL(109,ΠραγματικάΈξοδαΓραφείου[Αύγ])</f>
        <v>0</v>
      </c>
      <c r="K19" s="100">
        <f>SUBTOTAL(109,ΠραγματικάΈξοδαΓραφείου[Σεπ])</f>
        <v>0</v>
      </c>
      <c r="L19" s="100">
        <f>SUBTOTAL(109,ΠραγματικάΈξοδαΓραφείου[Οκτ])</f>
        <v>0</v>
      </c>
      <c r="M19" s="100">
        <f>SUBTOTAL(109,ΠραγματικάΈξοδαΓραφείου[Νοε])</f>
        <v>0</v>
      </c>
      <c r="N19" s="100">
        <f>SUBTOTAL(109,ΠραγματικάΈξοδαΓραφείου[Δεκ])</f>
        <v>0</v>
      </c>
      <c r="O19" s="101">
        <f>SUBTOTAL(109,ΠραγματικάΈξοδαΓραφείου[ΕΤΟΣ])</f>
        <v>69350</v>
      </c>
    </row>
    <row r="20" spans="1:15" ht="21" customHeight="1" x14ac:dyDescent="0.3">
      <c r="A20" s="30"/>
      <c r="B20" s="71"/>
      <c r="C20" s="71"/>
      <c r="D20" s="85"/>
      <c r="E20" s="85"/>
      <c r="F20" s="93"/>
      <c r="G20" s="93"/>
      <c r="H20" s="93"/>
      <c r="I20" s="93"/>
      <c r="J20" s="93"/>
      <c r="K20" s="93"/>
      <c r="L20" s="93"/>
      <c r="M20" s="93"/>
      <c r="N20" s="93"/>
      <c r="O20" s="86"/>
    </row>
    <row r="21" spans="1:15" ht="24.95" customHeight="1" thickBot="1" x14ac:dyDescent="0.35">
      <c r="A21" s="30"/>
      <c r="B21" s="58" t="s">
        <v>23</v>
      </c>
      <c r="C21" s="104" t="s">
        <v>37</v>
      </c>
      <c r="D21" s="94" t="s">
        <v>39</v>
      </c>
      <c r="E21" s="94" t="s">
        <v>41</v>
      </c>
      <c r="F21" s="94" t="s">
        <v>43</v>
      </c>
      <c r="G21" s="94" t="s">
        <v>45</v>
      </c>
      <c r="H21" s="94" t="s">
        <v>47</v>
      </c>
      <c r="I21" s="94" t="s">
        <v>49</v>
      </c>
      <c r="J21" s="94" t="s">
        <v>51</v>
      </c>
      <c r="K21" s="94" t="s">
        <v>55</v>
      </c>
      <c r="L21" s="94" t="s">
        <v>57</v>
      </c>
      <c r="M21" s="94" t="s">
        <v>60</v>
      </c>
      <c r="N21" s="94" t="s">
        <v>62</v>
      </c>
      <c r="O21" s="95" t="s">
        <v>63</v>
      </c>
    </row>
    <row r="22" spans="1:15" ht="24.95" customHeight="1" thickBot="1" x14ac:dyDescent="0.35">
      <c r="A22" s="30"/>
      <c r="B22" s="43" t="s">
        <v>24</v>
      </c>
      <c r="C22" s="96">
        <v>500</v>
      </c>
      <c r="D22" s="97">
        <v>500</v>
      </c>
      <c r="E22" s="97">
        <v>500</v>
      </c>
      <c r="F22" s="97">
        <v>500</v>
      </c>
      <c r="G22" s="97">
        <v>500</v>
      </c>
      <c r="H22" s="97">
        <v>500</v>
      </c>
      <c r="I22" s="97"/>
      <c r="J22" s="97"/>
      <c r="K22" s="97"/>
      <c r="L22" s="97"/>
      <c r="M22" s="97"/>
      <c r="N22" s="97"/>
      <c r="O22" s="98">
        <f t="shared" ref="O22:O27" si="2">SUM(C22:N22)</f>
        <v>3000</v>
      </c>
    </row>
    <row r="23" spans="1:15" ht="24.95" customHeight="1" thickBot="1" x14ac:dyDescent="0.35">
      <c r="A23" s="30"/>
      <c r="B23" s="43" t="s">
        <v>25</v>
      </c>
      <c r="C23" s="96">
        <v>200</v>
      </c>
      <c r="D23" s="97">
        <v>200</v>
      </c>
      <c r="E23" s="97">
        <v>200</v>
      </c>
      <c r="F23" s="97">
        <v>200</v>
      </c>
      <c r="G23" s="97">
        <v>200</v>
      </c>
      <c r="H23" s="97">
        <v>1500</v>
      </c>
      <c r="I23" s="97"/>
      <c r="J23" s="97"/>
      <c r="K23" s="97"/>
      <c r="L23" s="97"/>
      <c r="M23" s="97"/>
      <c r="N23" s="97"/>
      <c r="O23" s="98">
        <f t="shared" si="2"/>
        <v>2500</v>
      </c>
    </row>
    <row r="24" spans="1:15" ht="24.95" customHeight="1" thickBot="1" x14ac:dyDescent="0.35">
      <c r="A24" s="30"/>
      <c r="B24" s="43" t="s">
        <v>26</v>
      </c>
      <c r="C24" s="96">
        <v>4800</v>
      </c>
      <c r="D24" s="97">
        <v>0</v>
      </c>
      <c r="E24" s="97">
        <v>0</v>
      </c>
      <c r="F24" s="97">
        <v>5500</v>
      </c>
      <c r="G24" s="97">
        <v>0</v>
      </c>
      <c r="H24" s="97">
        <v>0</v>
      </c>
      <c r="I24" s="97"/>
      <c r="J24" s="97"/>
      <c r="K24" s="97"/>
      <c r="L24" s="97"/>
      <c r="M24" s="97"/>
      <c r="N24" s="97"/>
      <c r="O24" s="98">
        <f t="shared" si="2"/>
        <v>10300</v>
      </c>
    </row>
    <row r="25" spans="1:15" ht="24.95" customHeight="1" thickBot="1" x14ac:dyDescent="0.35">
      <c r="A25" s="30"/>
      <c r="B25" s="43" t="s">
        <v>27</v>
      </c>
      <c r="C25" s="96">
        <v>100</v>
      </c>
      <c r="D25" s="97">
        <v>500</v>
      </c>
      <c r="E25" s="97">
        <v>100</v>
      </c>
      <c r="F25" s="97">
        <v>100</v>
      </c>
      <c r="G25" s="97">
        <v>600</v>
      </c>
      <c r="H25" s="97">
        <v>180</v>
      </c>
      <c r="I25" s="97"/>
      <c r="J25" s="97"/>
      <c r="K25" s="97"/>
      <c r="L25" s="97"/>
      <c r="M25" s="97"/>
      <c r="N25" s="97"/>
      <c r="O25" s="98">
        <f t="shared" si="2"/>
        <v>1580</v>
      </c>
    </row>
    <row r="26" spans="1:15" ht="24.95" customHeight="1" thickBot="1" x14ac:dyDescent="0.35">
      <c r="A26" s="30"/>
      <c r="B26" s="43" t="s">
        <v>28</v>
      </c>
      <c r="C26" s="96">
        <v>1800</v>
      </c>
      <c r="D26" s="97">
        <v>2200</v>
      </c>
      <c r="E26" s="97">
        <v>2200</v>
      </c>
      <c r="F26" s="97">
        <v>4700</v>
      </c>
      <c r="G26" s="97">
        <v>1500</v>
      </c>
      <c r="H26" s="97">
        <v>2300</v>
      </c>
      <c r="I26" s="97"/>
      <c r="J26" s="97"/>
      <c r="K26" s="97"/>
      <c r="L26" s="97"/>
      <c r="M26" s="97"/>
      <c r="N26" s="97"/>
      <c r="O26" s="98">
        <f t="shared" si="2"/>
        <v>14700</v>
      </c>
    </row>
    <row r="27" spans="1:15" ht="24.95" customHeight="1" thickBot="1" x14ac:dyDescent="0.35">
      <c r="A27" s="30"/>
      <c r="B27" s="43" t="s">
        <v>29</v>
      </c>
      <c r="C27" s="96">
        <v>145</v>
      </c>
      <c r="D27" s="97">
        <v>156</v>
      </c>
      <c r="E27" s="97">
        <v>123</v>
      </c>
      <c r="F27" s="97">
        <v>223</v>
      </c>
      <c r="G27" s="97">
        <v>187</v>
      </c>
      <c r="H27" s="97">
        <v>245</v>
      </c>
      <c r="I27" s="97"/>
      <c r="J27" s="97"/>
      <c r="K27" s="97"/>
      <c r="L27" s="97"/>
      <c r="M27" s="97"/>
      <c r="N27" s="97"/>
      <c r="O27" s="98">
        <f t="shared" si="2"/>
        <v>1079</v>
      </c>
    </row>
    <row r="28" spans="1:15" ht="24.95" customHeight="1" x14ac:dyDescent="0.3">
      <c r="A28" s="30"/>
      <c r="B28" s="55" t="s">
        <v>13</v>
      </c>
      <c r="C28" s="108">
        <f>SUBTOTAL(109,ΠραγματικάΈξοδαΜάρκετινγκ[Ιαν])</f>
        <v>7545</v>
      </c>
      <c r="D28" s="100">
        <f>SUBTOTAL(109,ΠραγματικάΈξοδαΜάρκετινγκ[Φεβ])</f>
        <v>3556</v>
      </c>
      <c r="E28" s="100">
        <f>SUBTOTAL(109,ΠραγματικάΈξοδαΜάρκετινγκ[Μάρ])</f>
        <v>3123</v>
      </c>
      <c r="F28" s="100">
        <f>SUBTOTAL(109,ΠραγματικάΈξοδαΜάρκετινγκ[Απρ])</f>
        <v>11223</v>
      </c>
      <c r="G28" s="100">
        <f>SUBTOTAL(109,ΠραγματικάΈξοδαΜάρκετινγκ[Μάι])</f>
        <v>2987</v>
      </c>
      <c r="H28" s="100">
        <f>SUBTOTAL(109,ΠραγματικάΈξοδαΜάρκετινγκ[Ιούν])</f>
        <v>4725</v>
      </c>
      <c r="I28" s="100">
        <f>SUBTOTAL(109,ΠραγματικάΈξοδαΜάρκετινγκ[Ιούλ])</f>
        <v>0</v>
      </c>
      <c r="J28" s="100">
        <f>SUBTOTAL(109,ΠραγματικάΈξοδαΜάρκετινγκ[Αύγ])</f>
        <v>0</v>
      </c>
      <c r="K28" s="100">
        <f>SUBTOTAL(109,ΠραγματικάΈξοδαΜάρκετινγκ[Σεπ])</f>
        <v>0</v>
      </c>
      <c r="L28" s="100">
        <f>SUBTOTAL(109,ΠραγματικάΈξοδαΜάρκετινγκ[Οκτ])</f>
        <v>0</v>
      </c>
      <c r="M28" s="100">
        <f>SUBTOTAL(109,ΠραγματικάΈξοδαΜάρκετινγκ[Νοε])</f>
        <v>0</v>
      </c>
      <c r="N28" s="100">
        <f>SUBTOTAL(109,ΠραγματικάΈξοδαΜάρκετινγκ[Δεκ])</f>
        <v>0</v>
      </c>
      <c r="O28" s="101">
        <f>SUBTOTAL(109,ΠραγματικάΈξοδαΜάρκετινγκ[ΕΤΟΣ])</f>
        <v>33159</v>
      </c>
    </row>
    <row r="29" spans="1:15" ht="21" customHeight="1" x14ac:dyDescent="0.3">
      <c r="A29" s="30"/>
      <c r="B29" s="70"/>
      <c r="C29" s="70"/>
      <c r="D29" s="93"/>
      <c r="E29" s="93"/>
      <c r="F29" s="93"/>
      <c r="G29" s="93"/>
      <c r="H29" s="93"/>
      <c r="I29" s="93"/>
      <c r="J29" s="93"/>
      <c r="K29" s="93"/>
      <c r="L29" s="93"/>
      <c r="M29" s="93"/>
      <c r="N29" s="93"/>
      <c r="O29" s="86"/>
    </row>
    <row r="30" spans="1:15" ht="24.95" customHeight="1" thickBot="1" x14ac:dyDescent="0.35">
      <c r="A30" s="30"/>
      <c r="B30" s="50" t="s">
        <v>30</v>
      </c>
      <c r="C30" s="94" t="s">
        <v>37</v>
      </c>
      <c r="D30" s="94" t="s">
        <v>39</v>
      </c>
      <c r="E30" s="94" t="s">
        <v>41</v>
      </c>
      <c r="F30" s="94" t="s">
        <v>43</v>
      </c>
      <c r="G30" s="94" t="s">
        <v>45</v>
      </c>
      <c r="H30" s="94" t="s">
        <v>47</v>
      </c>
      <c r="I30" s="94" t="s">
        <v>49</v>
      </c>
      <c r="J30" s="94" t="s">
        <v>51</v>
      </c>
      <c r="K30" s="94" t="s">
        <v>55</v>
      </c>
      <c r="L30" s="94" t="s">
        <v>57</v>
      </c>
      <c r="M30" s="94" t="s">
        <v>60</v>
      </c>
      <c r="N30" s="94" t="s">
        <v>62</v>
      </c>
      <c r="O30" s="95" t="s">
        <v>63</v>
      </c>
    </row>
    <row r="31" spans="1:15" ht="24.95" customHeight="1" thickBot="1" x14ac:dyDescent="0.35">
      <c r="A31" s="30"/>
      <c r="B31" s="54" t="s">
        <v>31</v>
      </c>
      <c r="C31" s="97">
        <v>1600</v>
      </c>
      <c r="D31" s="97">
        <v>2400</v>
      </c>
      <c r="E31" s="97">
        <v>1400</v>
      </c>
      <c r="F31" s="97">
        <v>1600</v>
      </c>
      <c r="G31" s="97">
        <v>1200</v>
      </c>
      <c r="H31" s="97">
        <v>2800</v>
      </c>
      <c r="I31" s="97"/>
      <c r="J31" s="97"/>
      <c r="K31" s="97"/>
      <c r="L31" s="97"/>
      <c r="M31" s="97"/>
      <c r="N31" s="97"/>
      <c r="O31" s="98">
        <f>SUM(C31:N31)</f>
        <v>11000</v>
      </c>
    </row>
    <row r="32" spans="1:15" ht="24.95" customHeight="1" thickBot="1" x14ac:dyDescent="0.35">
      <c r="A32" s="30"/>
      <c r="B32" s="54" t="s">
        <v>32</v>
      </c>
      <c r="C32" s="97">
        <v>1200</v>
      </c>
      <c r="D32" s="97">
        <v>2200</v>
      </c>
      <c r="E32" s="97">
        <v>1400</v>
      </c>
      <c r="F32" s="97">
        <v>1200</v>
      </c>
      <c r="G32" s="97">
        <v>800</v>
      </c>
      <c r="H32" s="97">
        <v>3500</v>
      </c>
      <c r="I32" s="97"/>
      <c r="J32" s="97"/>
      <c r="K32" s="97"/>
      <c r="L32" s="97"/>
      <c r="M32" s="97"/>
      <c r="N32" s="97"/>
      <c r="O32" s="98">
        <f>SUM(C32:N32)</f>
        <v>10300</v>
      </c>
    </row>
    <row r="33" spans="1:16" ht="24.95" customHeight="1" x14ac:dyDescent="0.3">
      <c r="A33" s="30"/>
      <c r="B33" s="57" t="s">
        <v>13</v>
      </c>
      <c r="C33" s="100">
        <f>SUBTOTAL(109,ΠραγματικάΈξοδαΕκπαίδευσηςΚαιΜετακινήσεων[Ιαν])</f>
        <v>2800</v>
      </c>
      <c r="D33" s="100">
        <f>SUBTOTAL(109,ΠραγματικάΈξοδαΕκπαίδευσηςΚαιΜετακινήσεων[Φεβ])</f>
        <v>4600</v>
      </c>
      <c r="E33" s="100">
        <f>SUBTOTAL(109,ΠραγματικάΈξοδαΕκπαίδευσηςΚαιΜετακινήσεων[Μάρ])</f>
        <v>2800</v>
      </c>
      <c r="F33" s="100">
        <f>SUBTOTAL(109,ΠραγματικάΈξοδαΕκπαίδευσηςΚαιΜετακινήσεων[Απρ])</f>
        <v>2800</v>
      </c>
      <c r="G33" s="100">
        <f>SUBTOTAL(109,ΠραγματικάΈξοδαΕκπαίδευσηςΚαιΜετακινήσεων[Μάι])</f>
        <v>2000</v>
      </c>
      <c r="H33" s="100">
        <f>SUBTOTAL(109,ΠραγματικάΈξοδαΕκπαίδευσηςΚαιΜετακινήσεων[Ιούν])</f>
        <v>6300</v>
      </c>
      <c r="I33" s="100">
        <f>SUBTOTAL(109,ΠραγματικάΈξοδαΕκπαίδευσηςΚαιΜετακινήσεων[Ιούλ])</f>
        <v>0</v>
      </c>
      <c r="J33" s="100">
        <f>SUBTOTAL(109,ΠραγματικάΈξοδαΕκπαίδευσηςΚαιΜετακινήσεων[Αύγ])</f>
        <v>0</v>
      </c>
      <c r="K33" s="100">
        <f>SUBTOTAL(109,ΠραγματικάΈξοδαΕκπαίδευσηςΚαιΜετακινήσεων[Σεπ])</f>
        <v>0</v>
      </c>
      <c r="L33" s="100">
        <f>SUBTOTAL(109,ΠραγματικάΈξοδαΕκπαίδευσηςΚαιΜετακινήσεων[Οκτ])</f>
        <v>0</v>
      </c>
      <c r="M33" s="100">
        <f>SUBTOTAL(109,ΠραγματικάΈξοδαΕκπαίδευσηςΚαιΜετακινήσεων[Νοε])</f>
        <v>0</v>
      </c>
      <c r="N33" s="100">
        <f>SUBTOTAL(109,ΠραγματικάΈξοδαΕκπαίδευσηςΚαιΜετακινήσεων[Δεκ])</f>
        <v>0</v>
      </c>
      <c r="O33" s="101">
        <f>SUBTOTAL(109,ΠραγματικάΈξοδαΕκπαίδευσηςΚαιΜετακινήσεων[ΕΤΟΣ])</f>
        <v>21300</v>
      </c>
    </row>
    <row r="34" spans="1:16" ht="21" customHeight="1" x14ac:dyDescent="0.3">
      <c r="A34" s="30"/>
      <c r="B34" s="70"/>
      <c r="C34" s="70"/>
      <c r="D34" s="86"/>
      <c r="E34" s="86"/>
      <c r="F34" s="86"/>
      <c r="G34" s="86"/>
      <c r="H34" s="86"/>
      <c r="I34" s="86"/>
      <c r="J34" s="86"/>
      <c r="K34" s="86"/>
      <c r="L34" s="86"/>
      <c r="M34" s="86"/>
      <c r="N34" s="86"/>
      <c r="O34" s="86"/>
    </row>
    <row r="35" spans="1:16" ht="24.95" customHeight="1" thickBot="1" x14ac:dyDescent="0.35">
      <c r="A35" s="30"/>
      <c r="B35" s="25" t="s">
        <v>35</v>
      </c>
      <c r="C35" s="26" t="s">
        <v>37</v>
      </c>
      <c r="D35" s="26" t="s">
        <v>39</v>
      </c>
      <c r="E35" s="26" t="s">
        <v>41</v>
      </c>
      <c r="F35" s="26" t="s">
        <v>43</v>
      </c>
      <c r="G35" s="26" t="s">
        <v>45</v>
      </c>
      <c r="H35" s="26" t="s">
        <v>47</v>
      </c>
      <c r="I35" s="26" t="s">
        <v>49</v>
      </c>
      <c r="J35" s="26" t="s">
        <v>51</v>
      </c>
      <c r="K35" s="26" t="s">
        <v>55</v>
      </c>
      <c r="L35" s="26" t="s">
        <v>57</v>
      </c>
      <c r="M35" s="26" t="s">
        <v>60</v>
      </c>
      <c r="N35" s="26" t="s">
        <v>62</v>
      </c>
      <c r="O35" s="60" t="s">
        <v>64</v>
      </c>
    </row>
    <row r="36" spans="1:16" ht="24.95" customHeight="1" thickBot="1" x14ac:dyDescent="0.35">
      <c r="A36" s="30"/>
      <c r="B36" s="59" t="s">
        <v>67</v>
      </c>
      <c r="C36" s="109">
        <f>ΠραγματικάΈξοδαΕκπαίδευσηςΚαιΜετακινήσεων[[#Totals],[Ιαν]]+ΠραγματικάΈξοδαΜάρκετινγκ[[#Totals],[Ιαν]]+ΠραγματικάΈξοδαΓραφείου[[#Totals],[Ιαν]]+ΠραγματικάΈξοδαΥπαλλήλων[[#Totals],[Ιαν]]</f>
        <v>129682</v>
      </c>
      <c r="D36" s="110">
        <f>ΠραγματικάΈξοδαΕκπαίδευσηςΚαιΜετακινήσεων[[#Totals],[Φεβ]]+ΠραγματικάΈξοδαΜάρκετινγκ[[#Totals],[Φεβ]]+ΠραγματικάΈξοδαΓραφείου[[#Totals],[Φεβ]]+ΠραγματικάΈξοδαΥπαλλήλων[[#Totals],[Φεβ]]</f>
        <v>127804</v>
      </c>
      <c r="E36" s="110">
        <f>ΠραγματικάΈξοδαΕκπαίδευσηςΚαιΜετακινήσεων[[#Totals],[Μάρ]]+ΠραγματικάΈξοδαΜάρκετινγκ[[#Totals],[Μάρ]]+ΠραγματικάΈξοδαΓραφείου[[#Totals],[Μάρ]]+ΠραγματικάΈξοδαΥπαλλήλων[[#Totals],[Μάρ]]</f>
        <v>125565</v>
      </c>
      <c r="F36" s="110">
        <f>ΠραγματικάΈξοδαΕκπαίδευσηςΚαιΜετακινήσεων[[#Totals],[Απρ]]+ΠραγματικάΈξοδαΜάρκετινγκ[[#Totals],[Απρ]]+ΠραγματικάΈξοδαΓραφείου[[#Totals],[Απρ]]+ΠραγματικάΈξοδαΥπαλλήλων[[#Totals],[Απρ]]</f>
        <v>137394</v>
      </c>
      <c r="G36" s="110">
        <f>ΠραγματικάΈξοδαΕκπαίδευσηςΚαιΜετακινήσεων[[#Totals],[Μάι]]+ΠραγματικάΈξοδαΜάρκετινγκ[[#Totals],[Μάι]]+ΠραγματικάΈξοδαΓραφείου[[#Totals],[Μάι]]+ΠραγματικάΈξοδαΥπαλλήλων[[#Totals],[Μάι]]</f>
        <v>128255</v>
      </c>
      <c r="H36" s="110">
        <f>ΠραγματικάΈξοδαΕκπαίδευσηςΚαιΜετακινήσεων[[#Totals],[Ιούν]]+ΠραγματικάΈξοδαΜάρκετινγκ[[#Totals],[Ιούν]]+ΠραγματικάΈξοδαΓραφείου[[#Totals],[Ιούν]]+ΠραγματικάΈξοδαΥπαλλήλων[[#Totals],[Ιούν]]</f>
        <v>134239</v>
      </c>
      <c r="I36" s="110">
        <f>ΠραγματικάΈξοδαΕκπαίδευσηςΚαιΜετακινήσεων[[#Totals],[Ιούλ]]+ΠραγματικάΈξοδαΜάρκετινγκ[[#Totals],[Ιούλ]]+ΠραγματικάΈξοδαΓραφείου[[#Totals],[Ιούλ]]+ΠραγματικάΈξοδαΥπαλλήλων[[#Totals],[Ιούλ]]</f>
        <v>0</v>
      </c>
      <c r="J36" s="110">
        <f>ΠραγματικάΈξοδαΕκπαίδευσηςΚαιΜετακινήσεων[[#Totals],[Αύγ]]+ΠραγματικάΈξοδαΜάρκετινγκ[[#Totals],[Αύγ]]+ΠραγματικάΈξοδαΓραφείου[[#Totals],[Αύγ]]+ΠραγματικάΈξοδαΥπαλλήλων[[#Totals],[Αύγ]]</f>
        <v>0</v>
      </c>
      <c r="K36" s="110">
        <f>ΠραγματικάΈξοδαΕκπαίδευσηςΚαιΜετακινήσεων[[#Totals],[Σεπ]]+ΠραγματικάΈξοδαΜάρκετινγκ[[#Totals],[Σεπ]]+ΠραγματικάΈξοδαΓραφείου[[#Totals],[Σεπ]]+ΠραγματικάΈξοδαΥπαλλήλων[[#Totals],[Σεπ]]</f>
        <v>0</v>
      </c>
      <c r="L36" s="110">
        <f>ΠραγματικάΈξοδαΕκπαίδευσηςΚαιΜετακινήσεων[[#Totals],[Οκτ]]+ΠραγματικάΈξοδαΜάρκετινγκ[[#Totals],[Οκτ]]+ΠραγματικάΈξοδαΓραφείου[[#Totals],[Οκτ]]+ΠραγματικάΈξοδαΥπαλλήλων[[#Totals],[Οκτ]]</f>
        <v>0</v>
      </c>
      <c r="M36" s="110">
        <f>ΠραγματικάΈξοδαΥπαλλήλων[[#Totals],[Νοέ]]+ΠραγματικάΈξοδαΕκπαίδευσηςΚαιΜετακινήσεων[[#Totals],[Νοε]]+ΠραγματικάΈξοδαΜάρκετινγκ[[#Totals],[Νοε]]+ΠραγματικάΈξοδαΓραφείου[[#Totals],[Νοε]]</f>
        <v>0</v>
      </c>
      <c r="N36" s="110">
        <f>ΠραγματικάΈξοδαΕκπαίδευσηςΚαιΜετακινήσεων[[#Totals],[Δεκ]]+ΠραγματικάΈξοδαΜάρκετινγκ[[#Totals],[Δεκ]]+ΠραγματικάΈξοδαΓραφείου[[#Totals],[Δεκ]]+ΠραγματικάΈξοδαΥπαλλήλων[[#Totals],[Δεκ]]</f>
        <v>0</v>
      </c>
      <c r="O36" s="110">
        <f>ΠραγματικάΈξοδαΕκπαίδευσηςΚαιΜετακινήσεων[[#Totals],[ΕΤΟΣ]]+ΠραγματικάΈξοδαΜάρκετινγκ[[#Totals],[ΕΤΟΣ]]+ΠραγματικάΈξοδαΓραφείου[[#Totals],[ΕΤΟΣ]]+ΠραγματικάΈξοδαΥπαλλήλων[[#Totals],[ΕΤΟΣ]]</f>
        <v>782939</v>
      </c>
      <c r="P36"/>
    </row>
    <row r="37" spans="1:16" ht="24.95" customHeight="1" thickBot="1" x14ac:dyDescent="0.35">
      <c r="A37" s="30"/>
      <c r="B37" s="59" t="s">
        <v>68</v>
      </c>
      <c r="C37" s="111">
        <f>SUM($C$36:C36)</f>
        <v>129682</v>
      </c>
      <c r="D37" s="112">
        <f>SUM($C$36:D36)</f>
        <v>257486</v>
      </c>
      <c r="E37" s="112">
        <f>SUM($C$36:E36)</f>
        <v>383051</v>
      </c>
      <c r="F37" s="112">
        <f>SUM($C$36:F36)</f>
        <v>520445</v>
      </c>
      <c r="G37" s="112">
        <f>SUM($C$36:G36)</f>
        <v>648700</v>
      </c>
      <c r="H37" s="113">
        <f>SUM($C$36:H36)</f>
        <v>782939</v>
      </c>
      <c r="I37" s="112">
        <f>SUM($C$36:I36)</f>
        <v>782939</v>
      </c>
      <c r="J37" s="112">
        <f>SUM($C$36:J36)</f>
        <v>782939</v>
      </c>
      <c r="K37" s="112">
        <f>SUM($C$36:K36)</f>
        <v>782939</v>
      </c>
      <c r="L37" s="112">
        <f>SUM($C$36:L36)</f>
        <v>782939</v>
      </c>
      <c r="M37" s="113">
        <f>SUM($C$36:M36)</f>
        <v>782939</v>
      </c>
      <c r="N37" s="112">
        <f>SUM($C$36:N36)</f>
        <v>782939</v>
      </c>
      <c r="O37" s="113"/>
      <c r="P37"/>
    </row>
    <row r="38" spans="1:16" ht="21" customHeight="1" x14ac:dyDescent="0.3">
      <c r="L38" s="11"/>
      <c r="M38" s="11"/>
      <c r="N38" s="11"/>
      <c r="O38" s="11"/>
    </row>
  </sheetData>
  <mergeCells count="2">
    <mergeCell ref="K2:M2"/>
    <mergeCell ref="K3:M3"/>
  </mergeCells>
  <dataValidations count="9">
    <dataValidation allowBlank="1" showInputMessage="1" showErrorMessage="1" prompt="Σε αυτό το κελί βρίσκεται το σύμβολο κράτησης θέσης λογότυπου." sqref="N2" xr:uid="{C95257D8-3930-4F5C-8D70-88B292233801}"/>
    <dataValidation allowBlank="1" showInputMessage="1" showErrorMessage="1" prompt="Τα συνολικά πραγματικά έξοδα υπολογίζονται αυτόματα στον πίνακα Συνολικών πραγματικών εξόδων που ξεκινά στο κελί στα δεξιά." sqref="A4" xr:uid="{177C6CBD-70F5-4EE0-A8BD-78C9CA33B2BD}"/>
    <dataValidation allowBlank="1" showInputMessage="1" showErrorMessage="1" prompt="Εισαγάγετε τα έξοδα υπαλλήλων στον πίνακα Πραγματικά έξοδα υπαλλήλων που ξεκινά στο κελί στα δεξιά.Η επόμενη οδηγία βρίσκεται στο κελί Α10." sqref="A5" xr:uid="{C3141D3D-0B91-4F53-BE3F-38687FD87D6B}"/>
    <dataValidation allowBlank="1" showInputMessage="1" showErrorMessage="1" prompt="Εισαγάγετε τα έξοδα γραφείου στον πίνακα Πραγματικά έξοδα γραφείου που ξεκινά στο κελί στα δεξιά.Η επόμενη οδηγία βρίσκεται στο κελί Α21." sqref="A10" xr:uid="{6B251561-6C81-4CE6-8EBF-9D5790C7CB5E}"/>
    <dataValidation allowBlank="1" showInputMessage="1" showErrorMessage="1" prompt="Εισαγάγετε τα έξοδα μάρκετινγκ στον πίνακα Πραγματικά έξοδα μάρκετινγκ που ξεκινά στο κελί στα δεξιά.Η επόμενη οδηγία βρίσκεται στο κελί Α30." sqref="A21" xr:uid="{D284BFB1-3C99-4A34-BA1D-2099E5838FB2}"/>
    <dataValidation allowBlank="1" showInputMessage="1" showErrorMessage="1" prompt="Εισαγάγετε τα έξοδα εκπαίδευσης και μετακινήσεων στον πίνακα Πραγματικών εξόδων εκπαίδευσης και μετακινήσεων που ξεκινά στο κελί στα δεξιά. Η επόμενη οδηγία βρίσκεται στο κελί Α35." sqref="A30" xr:uid="{255C7F8A-67BD-4F48-9D93-C907D407CF4C}"/>
    <dataValidation allowBlank="1" showInputMessage="1" showErrorMessage="1" prompt="Εισαγάγετε τα προγραμματισμένα έξοδα υπαλλήλων, γραφείου, μάρκετινγκ, εκπαίδευσης ή μετακίνησης σε αντίστοιχους πίνακες. Τα σύνολα υπολογίζονται αυτόματα. Οδηγίες χρήσης του φύλλου εργασίας βρίσκονται σε αυτήν τη στήλη. Ξεκινήστε με το βέλος προς τα κάτω." sqref="A1" xr:uid="{79AE6394-A51C-466A-B4A1-C38D88BF4EBB}"/>
    <dataValidation allowBlank="1" showInputMessage="1" showErrorMessage="1" prompt="Η επωνυμία της εταιρείας ενημερώνεται αυτόματα στο κελί στα δεξιά. Ο τίτλος αυτού του φύλλου εργασίας βρίσκεται στο κελί Κ2. Εισαγάγετε το λογότυπο στο κελί N2." sqref="A2" xr:uid="{26A4B1D9-8F73-440F-9A07-A3F7DBC9AEEF}"/>
    <dataValidation allowBlank="1" showInputMessage="1" showErrorMessage="1" prompt="Στο κελί K3 βρίσκεται συμβουλή." sqref="A3" xr:uid="{7DD6B845-A534-4A07-B96C-7DC7C0D747FC}"/>
  </dataValidations>
  <pageMargins left="0.7" right="0.7" top="0.75" bottom="0.75" header="0.3" footer="0.3"/>
  <pageSetup paperSize="9" fitToHeight="0" orientation="portrait" r:id="rId1"/>
  <ignoredErrors>
    <ignoredError sqref="B2 O31:O33 O22:O28 O11:O19" emptyCellReference="1"/>
    <ignoredError sqref="C37:O37 C7:H7 C6:N6 O7 C36:M36 N36:O36" calculatedColumn="1"/>
    <ignoredError sqref="O6 I7:N7" emptyCellReference="1" calculatedColumn="1"/>
  </ignoredErrors>
  <drawing r:id="rId2"/>
  <tableParts count="5">
    <tablePart r:id="rId3"/>
    <tablePart r:id="rId4"/>
    <tablePart r:id="rId5"/>
    <tablePart r:id="rId6"/>
    <tablePart r:id="rId7"/>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sheetPr>
  <dimension ref="A1:P38"/>
  <sheetViews>
    <sheetView showGridLines="0" zoomScaleNormal="100" workbookViewId="0"/>
  </sheetViews>
  <sheetFormatPr defaultColWidth="9.140625" defaultRowHeight="21" customHeight="1" x14ac:dyDescent="0.3"/>
  <cols>
    <col min="1" max="1" width="4.7109375" style="1" customWidth="1"/>
    <col min="2" max="2" width="56.7109375" style="2" customWidth="1"/>
    <col min="3" max="14" width="15.7109375" style="2" customWidth="1"/>
    <col min="15" max="15" width="16.28515625" style="2" customWidth="1"/>
    <col min="16" max="16" width="4.7109375" style="1" customWidth="1"/>
    <col min="17" max="16384" width="9.140625" style="2"/>
  </cols>
  <sheetData>
    <row r="1" spans="1:16" s="1" customFormat="1" ht="24" customHeight="1" x14ac:dyDescent="0.3">
      <c r="A1" s="31"/>
      <c r="B1" s="7"/>
      <c r="C1" s="7"/>
      <c r="D1" s="7"/>
      <c r="E1" s="7"/>
      <c r="F1" s="4"/>
      <c r="G1" s="4"/>
      <c r="H1" s="4"/>
      <c r="I1" s="4"/>
      <c r="J1" s="4"/>
      <c r="K1" s="4"/>
      <c r="L1" s="4"/>
      <c r="M1" s="4"/>
      <c r="N1" s="4"/>
      <c r="O1" s="4"/>
      <c r="P1" s="53" t="s">
        <v>65</v>
      </c>
    </row>
    <row r="2" spans="1:16" s="1" customFormat="1" ht="45" customHeight="1" x14ac:dyDescent="0.35">
      <c r="A2" s="29"/>
      <c r="B2" s="72" t="str">
        <f>'ΠΡΟΓΡΑΜΜΑΤΙΣΜΕΝΑ ΕΞΟΔΑ'!B2:D3</f>
        <v>Επωνυμία εταιρείας</v>
      </c>
      <c r="C2" s="72"/>
      <c r="D2" s="72"/>
      <c r="E2" s="128"/>
      <c r="F2" s="5"/>
      <c r="G2" s="5"/>
      <c r="H2" s="5"/>
      <c r="I2" s="5"/>
      <c r="J2" s="5"/>
      <c r="K2" s="123" t="str">
        <f>τίτλος_φύλλου_εργασίας</f>
        <v>Λεπτομερείς εκτιμήσεις εξόδων</v>
      </c>
      <c r="L2" s="123"/>
      <c r="M2" s="123"/>
      <c r="N2" s="69"/>
      <c r="O2" s="69"/>
      <c r="P2" s="4"/>
    </row>
    <row r="3" spans="1:16" s="1" customFormat="1" ht="30" customHeight="1" x14ac:dyDescent="0.3">
      <c r="A3" s="29"/>
      <c r="B3" s="72"/>
      <c r="C3" s="72"/>
      <c r="D3" s="72"/>
      <c r="E3" s="129"/>
      <c r="F3" s="6"/>
      <c r="G3" s="6"/>
      <c r="H3" s="6"/>
      <c r="I3" s="6"/>
      <c r="J3" s="6"/>
      <c r="K3" s="125" t="s">
        <v>53</v>
      </c>
      <c r="L3" s="125"/>
      <c r="M3" s="125"/>
      <c r="N3" s="69"/>
      <c r="O3" s="69"/>
      <c r="P3" s="4"/>
    </row>
    <row r="4" spans="1:16" s="8" customFormat="1" ht="49.5" customHeight="1" x14ac:dyDescent="0.3">
      <c r="A4" s="30"/>
      <c r="B4" s="19" t="s">
        <v>69</v>
      </c>
      <c r="C4" s="76" t="s">
        <v>36</v>
      </c>
      <c r="D4" s="76" t="s">
        <v>38</v>
      </c>
      <c r="E4" s="76" t="s">
        <v>40</v>
      </c>
      <c r="F4" s="76" t="s">
        <v>42</v>
      </c>
      <c r="G4" s="76" t="s">
        <v>44</v>
      </c>
      <c r="H4" s="76" t="s">
        <v>46</v>
      </c>
      <c r="I4" s="76" t="s">
        <v>48</v>
      </c>
      <c r="J4" s="76" t="s">
        <v>50</v>
      </c>
      <c r="K4" s="76" t="s">
        <v>54</v>
      </c>
      <c r="L4" s="76" t="s">
        <v>56</v>
      </c>
      <c r="M4" s="76" t="s">
        <v>58</v>
      </c>
      <c r="N4" s="76" t="s">
        <v>61</v>
      </c>
      <c r="O4" s="76" t="s">
        <v>63</v>
      </c>
    </row>
    <row r="5" spans="1:16" ht="24.95" customHeight="1" thickBot="1" x14ac:dyDescent="0.35">
      <c r="A5" s="30"/>
      <c r="B5" s="50" t="s">
        <v>10</v>
      </c>
      <c r="C5" s="114" t="s">
        <v>37</v>
      </c>
      <c r="D5" s="114" t="s">
        <v>39</v>
      </c>
      <c r="E5" s="114" t="s">
        <v>41</v>
      </c>
      <c r="F5" s="114" t="s">
        <v>43</v>
      </c>
      <c r="G5" s="114" t="s">
        <v>45</v>
      </c>
      <c r="H5" s="114" t="s">
        <v>47</v>
      </c>
      <c r="I5" s="114" t="s">
        <v>49</v>
      </c>
      <c r="J5" s="114" t="s">
        <v>51</v>
      </c>
      <c r="K5" s="114" t="s">
        <v>55</v>
      </c>
      <c r="L5" s="114" t="s">
        <v>57</v>
      </c>
      <c r="M5" s="114" t="s">
        <v>59</v>
      </c>
      <c r="N5" s="114" t="s">
        <v>62</v>
      </c>
      <c r="O5" s="115" t="s">
        <v>63</v>
      </c>
    </row>
    <row r="6" spans="1:16" ht="24.95" customHeight="1" thickBot="1" x14ac:dyDescent="0.35">
      <c r="A6" s="30"/>
      <c r="B6" s="43" t="s">
        <v>11</v>
      </c>
      <c r="C6" s="96">
        <f>INDEX(Προγραμματισμένα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ογραμματισμέναΈξοδαΥπαλλήλων[#Headers],0))-INDEX(Πραγματικά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αγματικάΈξοδαΥπαλλήλων[#Headers],0))</f>
        <v>0</v>
      </c>
      <c r="D6" s="97">
        <f>INDEX(Προγραμματισμένα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ογραμματισμέναΈξοδαΥπαλλήλων[#Headers],0))-INDEX(Πραγματικά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αγματικάΈξοδαΥπαλλήλων[#Headers],0))</f>
        <v>0</v>
      </c>
      <c r="E6" s="97">
        <f>INDEX(Προγραμματισμένα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ογραμματισμέναΈξοδαΥπαλλήλων[#Headers],0))-INDEX(Πραγματικά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αγματικάΈξοδαΥπαλλήλων[#Headers],0))</f>
        <v>0</v>
      </c>
      <c r="F6" s="97">
        <f>INDEX(Προγραμματισμένα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ογραμματισμέναΈξοδαΥπαλλήλων[#Headers],0))-INDEX(Πραγματικά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αγματικάΈξοδαΥπαλλήλων[#Headers],0))</f>
        <v>-500</v>
      </c>
      <c r="G6" s="97">
        <f>INDEX(Προγραμματισμένα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ογραμματισμέναΈξοδαΥπαλλήλων[#Headers],0))-INDEX(Πραγματικά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αγματικάΈξοδαΥπαλλήλων[#Headers],0))</f>
        <v>-500</v>
      </c>
      <c r="H6" s="97">
        <f>INDEX(Προγραμματισμένα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ογραμματισμέναΈξοδαΥπαλλήλων[#Headers],0))-INDEX(Πραγματικά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αγματικάΈξοδαΥπαλλήλων[#Headers],0))</f>
        <v>-500</v>
      </c>
      <c r="I6" s="97">
        <f>INDEX(Προγραμματισμένα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ογραμματισμέναΈξοδαΥπαλλήλων[#Headers],0))-INDEX(Πραγματικά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αγματικάΈξοδαΥπαλλήλων[#Headers],0))</f>
        <v>87500</v>
      </c>
      <c r="J6" s="97">
        <f>INDEX(Προγραμματισμένα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ογραμματισμέναΈξοδαΥπαλλήλων[#Headers],0))-INDEX(Πραγματικά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αγματικάΈξοδαΥπαλλήλων[#Headers],0))</f>
        <v>92400</v>
      </c>
      <c r="K6" s="97">
        <f>INDEX(Προγραμματισμένα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ογραμματισμέναΈξοδαΥπαλλήλων[#Headers],0))-INDEX(Πραγματικά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αγματικάΈξοδαΥπαλλήλων[#Headers],0))</f>
        <v>92400</v>
      </c>
      <c r="L6" s="97">
        <f>INDEX(Προγραμματισμένα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ογραμματισμέναΈξοδαΥπαλλήλων[#Headers],0))-INDEX(Πραγματικά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αγματικάΈξοδαΥπαλλήλων[#Headers],0))</f>
        <v>92400</v>
      </c>
      <c r="M6" s="97">
        <f>INDEX(Προγραμματισμένα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ογραμματισμέναΈξοδαΥπαλλήλων[#Headers],0))-INDEX(Πραγματικά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αγματικάΈξοδαΥπαλλήλων[#Headers],0))</f>
        <v>92400</v>
      </c>
      <c r="N6" s="97">
        <f>INDEX(Προγραμματισμένα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ογραμματισμέναΈξοδαΥπαλλήλων[#Headers],0))-INDEX(Πραγματικά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αγματικάΈξοδαΥπαλλήλων[#Headers],0))</f>
        <v>92400</v>
      </c>
      <c r="O6" s="98">
        <f>SUM(ΔιακυμάνσειςΕξόδωνΥπαλλήλων[[#This Row],[Ιαν]:[Δεκ]])</f>
        <v>548000</v>
      </c>
    </row>
    <row r="7" spans="1:16" ht="24.95" customHeight="1" thickBot="1" x14ac:dyDescent="0.35">
      <c r="A7" s="30"/>
      <c r="B7" s="43" t="s">
        <v>12</v>
      </c>
      <c r="C7" s="96">
        <f>INDEX(Προγραμματισμένα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ογραμματισμέναΈξοδαΥπαλλήλων[#Headers],0))-INDEX(ΠραγματικάΈξοδαΥπαλλήλων[],MATCH(INDEX(ΔιακυμάνσειςΕξόδωνΥπαλλήλων[],ROW()-ROW(ΔιακυμάνσειςΕξόδωνΥπαλλήλων[[#Headers],[Ιαν]]),1),INDEX(ΠρογραμματισμέναΈξοδαΥπαλλήλων[],,1),0),MATCH(ΔιακυμάνσειςΕξόδωνΥπαλλήλων[[#Headers],[Ιαν]],ΠραγματικάΈξοδαΥπαλλήλων[#Headers],0))</f>
        <v>0</v>
      </c>
      <c r="D7" s="97">
        <f>INDEX(Προγραμματισμένα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ογραμματισμέναΈξοδαΥπαλλήλων[#Headers],0))-INDEX(ΠραγματικάΈξοδαΥπαλλήλων[],MATCH(INDEX(ΔιακυμάνσειςΕξόδωνΥπαλλήλων[],ROW()-ROW(ΔιακυμάνσειςΕξόδωνΥπαλλήλων[[#Headers],[Φεβ]]),1),INDEX(ΠρογραμματισμέναΈξοδαΥπαλλήλων[],,1),0),MATCH(ΔιακυμάνσειςΕξόδωνΥπαλλήλων[[#Headers],[Φεβ]],ΠραγματικάΈξοδαΥπαλλήλων[#Headers],0))</f>
        <v>0</v>
      </c>
      <c r="E7" s="97">
        <f>INDEX(Προγραμματισμένα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ογραμματισμέναΈξοδαΥπαλλήλων[#Headers],0))-INDEX(ΠραγματικάΈξοδαΥπαλλήλων[],MATCH(INDEX(ΔιακυμάνσειςΕξόδωνΥπαλλήλων[],ROW()-ROW(ΔιακυμάνσειςΕξόδωνΥπαλλήλων[[#Headers],[Μάρ]]),1),INDEX(ΠρογραμματισμέναΈξοδαΥπαλλήλων[],,1),0),MATCH(ΔιακυμάνσειςΕξόδωνΥπαλλήλων[[#Headers],[Μάρ]],ΠραγματικάΈξοδαΥπαλλήλων[#Headers],0))</f>
        <v>0</v>
      </c>
      <c r="F7" s="97">
        <f>INDEX(Προγραμματισμένα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ογραμματισμέναΈξοδαΥπαλλήλων[#Headers],0))-INDEX(ΠραγματικάΈξοδαΥπαλλήλων[],MATCH(INDEX(ΔιακυμάνσειςΕξόδωνΥπαλλήλων[],ROW()-ROW(ΔιακυμάνσειςΕξόδωνΥπαλλήλων[[#Headers],[Απρ]]),1),INDEX(ΠρογραμματισμέναΈξοδαΥπαλλήλων[],,1),0),MATCH(ΔιακυμάνσειςΕξόδωνΥπαλλήλων[[#Headers],[Απρ]],ΠραγματικάΈξοδαΥπαλλήλων[#Headers],0))</f>
        <v>-135</v>
      </c>
      <c r="G7" s="97">
        <f>INDEX(Προγραμματισμένα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ογραμματισμέναΈξοδαΥπαλλήλων[#Headers],0))-INDEX(ΠραγματικάΈξοδαΥπαλλήλων[],MATCH(INDEX(ΔιακυμάνσειςΕξόδωνΥπαλλήλων[],ROW()-ROW(ΔιακυμάνσειςΕξόδωνΥπαλλήλων[[#Headers],[Μάι]]),1),INDEX(ΠρογραμματισμέναΈξοδαΥπαλλήλων[],,1),0),MATCH(ΔιακυμάνσειςΕξόδωνΥπαλλήλων[[#Headers],[Μάι]],ΠραγματικάΈξοδαΥπαλλήλων[#Headers],0))</f>
        <v>-135</v>
      </c>
      <c r="H7" s="97">
        <f>INDEX(Προγραμματισμένα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ογραμματισμέναΈξοδαΥπαλλήλων[#Headers],0))-INDEX(ΠραγματικάΈξοδαΥπαλλήλων[],MATCH(INDEX(ΔιακυμάνσειςΕξόδωνΥπαλλήλων[],ROW()-ROW(ΔιακυμάνσειςΕξόδωνΥπαλλήλων[[#Headers],[Ιούν]]),1),INDEX(ΠρογραμματισμέναΈξοδαΥπαλλήλων[],,1),0),MATCH(ΔιακυμάνσειςΕξόδωνΥπαλλήλων[[#Headers],[Ιούν]],ΠραγματικάΈξοδαΥπαλλήλων[#Headers],0))</f>
        <v>-135</v>
      </c>
      <c r="I7" s="97">
        <f>INDEX(Προγραμματισμένα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ογραμματισμέναΈξοδαΥπαλλήλων[#Headers],0))-INDEX(ΠραγματικάΈξοδαΥπαλλήλων[],MATCH(INDEX(ΔιακυμάνσειςΕξόδωνΥπαλλήλων[],ROW()-ROW(ΔιακυμάνσειςΕξόδωνΥπαλλήλων[[#Headers],[Ιούλ]]),1),INDEX(ΠρογραμματισμέναΈξοδαΥπαλλήλων[],,1),0),MATCH(ΔιακυμάνσειςΕξόδωνΥπαλλήλων[[#Headers],[Ιούλ]],ΠραγματικάΈξοδαΥπαλλήλων[#Headers],0))</f>
        <v>23625</v>
      </c>
      <c r="J7" s="97">
        <f>INDEX(Προγραμματισμένα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ογραμματισμέναΈξοδαΥπαλλήλων[#Headers],0))-INDEX(ΠραγματικάΈξοδαΥπαλλήλων[],MATCH(INDEX(ΔιακυμάνσειςΕξόδωνΥπαλλήλων[],ROW()-ROW(ΔιακυμάνσειςΕξόδωνΥπαλλήλων[[#Headers],[Αύγ]]),1),INDEX(ΠρογραμματισμέναΈξοδαΥπαλλήλων[],,1),0),MATCH(ΔιακυμάνσειςΕξόδωνΥπαλλήλων[[#Headers],[Αύγ]],ΠραγματικάΈξοδαΥπαλλήλων[#Headers],0))</f>
        <v>24948</v>
      </c>
      <c r="K7" s="97">
        <f>INDEX(Προγραμματισμένα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ογραμματισμέναΈξοδαΥπαλλήλων[#Headers],0))-INDEX(ΠραγματικάΈξοδαΥπαλλήλων[],MATCH(INDEX(ΔιακυμάνσειςΕξόδωνΥπαλλήλων[],ROW()-ROW(ΔιακυμάνσειςΕξόδωνΥπαλλήλων[[#Headers],[Σεπ]]),1),INDEX(ΠρογραμματισμέναΈξοδαΥπαλλήλων[],,1),0),MATCH(ΔιακυμάνσειςΕξόδωνΥπαλλήλων[[#Headers],[Σεπ]],ΠραγματικάΈξοδαΥπαλλήλων[#Headers],0))</f>
        <v>24948</v>
      </c>
      <c r="L7" s="97">
        <f>INDEX(Προγραμματισμένα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ογραμματισμέναΈξοδαΥπαλλήλων[#Headers],0))-INDEX(ΠραγματικάΈξοδαΥπαλλήλων[],MATCH(INDEX(ΔιακυμάνσειςΕξόδωνΥπαλλήλων[],ROW()-ROW(ΔιακυμάνσειςΕξόδωνΥπαλλήλων[[#Headers],[Οκτ]]),1),INDEX(ΠρογραμματισμέναΈξοδαΥπαλλήλων[],,1),0),MATCH(ΔιακυμάνσειςΕξόδωνΥπαλλήλων[[#Headers],[Οκτ]],ΠραγματικάΈξοδαΥπαλλήλων[#Headers],0))</f>
        <v>24948</v>
      </c>
      <c r="M7" s="97">
        <f>INDEX(Προγραμματισμένα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ογραμματισμέναΈξοδαΥπαλλήλων[#Headers],0))-INDEX(ΠραγματικάΈξοδαΥπαλλήλων[],MATCH(INDEX(ΔιακυμάνσειςΕξόδωνΥπαλλήλων[],ROW()-ROW(ΔιακυμάνσειςΕξόδωνΥπαλλήλων[[#Headers],[Νοέ]]),1),INDEX(ΠρογραμματισμέναΈξοδαΥπαλλήλων[],,1),0),MATCH(ΔιακυμάνσειςΕξόδωνΥπαλλήλων[[#Headers],[Νοέ]],ΠραγματικάΈξοδαΥπαλλήλων[#Headers],0))</f>
        <v>24948</v>
      </c>
      <c r="N7" s="97">
        <f>INDEX(Προγραμματισμένα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ογραμματισμέναΈξοδαΥπαλλήλων[#Headers],0))-INDEX(ΠραγματικάΈξοδαΥπαλλήλων[],MATCH(INDEX(ΔιακυμάνσειςΕξόδωνΥπαλλήλων[],ROW()-ROW(ΔιακυμάνσειςΕξόδωνΥπαλλήλων[[#Headers],[Δεκ]]),1),INDEX(ΠρογραμματισμέναΈξοδαΥπαλλήλων[],,1),0),MATCH(ΔιακυμάνσειςΕξόδωνΥπαλλήλων[[#Headers],[Δεκ]],ΠραγματικάΈξοδαΥπαλλήλων[#Headers],0))</f>
        <v>24948</v>
      </c>
      <c r="O7" s="98">
        <f>SUM(ΔιακυμάνσειςΕξόδωνΥπαλλήλων[[#This Row],[Ιαν]:[Δεκ]])</f>
        <v>147960</v>
      </c>
    </row>
    <row r="8" spans="1:16" ht="24.95" customHeight="1" x14ac:dyDescent="0.3">
      <c r="A8" s="30"/>
      <c r="B8" s="61" t="s">
        <v>13</v>
      </c>
      <c r="C8" s="106">
        <f>SUBTOTAL(109,ΔιακυμάνσειςΕξόδωνΥπαλλήλων[Ιαν])</f>
        <v>0</v>
      </c>
      <c r="D8" s="106">
        <f>SUBTOTAL(109,ΔιακυμάνσειςΕξόδωνΥπαλλήλων[Φεβ])</f>
        <v>0</v>
      </c>
      <c r="E8" s="106">
        <f>SUBTOTAL(109,ΔιακυμάνσειςΕξόδωνΥπαλλήλων[Μάρ])</f>
        <v>0</v>
      </c>
      <c r="F8" s="106">
        <f>SUBTOTAL(109,ΔιακυμάνσειςΕξόδωνΥπαλλήλων[Απρ])</f>
        <v>-635</v>
      </c>
      <c r="G8" s="106">
        <f>SUBTOTAL(109,ΔιακυμάνσειςΕξόδωνΥπαλλήλων[Μάι])</f>
        <v>-635</v>
      </c>
      <c r="H8" s="106">
        <f>SUBTOTAL(109,ΔιακυμάνσειςΕξόδωνΥπαλλήλων[Ιούν])</f>
        <v>-635</v>
      </c>
      <c r="I8" s="106">
        <f>SUBTOTAL(109,ΔιακυμάνσειςΕξόδωνΥπαλλήλων[Ιούλ])</f>
        <v>111125</v>
      </c>
      <c r="J8" s="106">
        <f>SUBTOTAL(109,ΔιακυμάνσειςΕξόδωνΥπαλλήλων[Αύγ])</f>
        <v>117348</v>
      </c>
      <c r="K8" s="106">
        <f>SUBTOTAL(109,ΔιακυμάνσειςΕξόδωνΥπαλλήλων[Σεπ])</f>
        <v>117348</v>
      </c>
      <c r="L8" s="106">
        <f>SUBTOTAL(109,ΔιακυμάνσειςΕξόδωνΥπαλλήλων[Οκτ])</f>
        <v>117348</v>
      </c>
      <c r="M8" s="106">
        <f>SUBTOTAL(109,ΔιακυμάνσειςΕξόδωνΥπαλλήλων[Νοέ])</f>
        <v>117348</v>
      </c>
      <c r="N8" s="106">
        <f>SUBTOTAL(109,ΔιακυμάνσειςΕξόδωνΥπαλλήλων[Δεκ])</f>
        <v>117348</v>
      </c>
      <c r="O8" s="107">
        <f>SUBTOTAL(109,ΔιακυμάνσειςΕξόδωνΥπαλλήλων[ΕΤΟΣ])</f>
        <v>695960</v>
      </c>
    </row>
    <row r="9" spans="1:16" ht="21" customHeight="1" x14ac:dyDescent="0.3">
      <c r="A9" s="30"/>
      <c r="B9" s="70"/>
      <c r="C9" s="70"/>
      <c r="D9" s="85"/>
      <c r="E9" s="85"/>
      <c r="F9" s="85"/>
      <c r="G9" s="85"/>
      <c r="H9" s="85"/>
      <c r="I9" s="85"/>
      <c r="J9" s="85"/>
      <c r="K9" s="85"/>
      <c r="L9" s="85"/>
      <c r="M9" s="85"/>
      <c r="N9" s="85"/>
      <c r="O9" s="86"/>
    </row>
    <row r="10" spans="1:16" ht="24.95" customHeight="1" thickBot="1" x14ac:dyDescent="0.35">
      <c r="A10" s="30"/>
      <c r="B10" s="46" t="s">
        <v>14</v>
      </c>
      <c r="C10" s="94" t="s">
        <v>37</v>
      </c>
      <c r="D10" s="94" t="s">
        <v>39</v>
      </c>
      <c r="E10" s="94" t="s">
        <v>41</v>
      </c>
      <c r="F10" s="94" t="s">
        <v>43</v>
      </c>
      <c r="G10" s="94" t="s">
        <v>45</v>
      </c>
      <c r="H10" s="94" t="s">
        <v>47</v>
      </c>
      <c r="I10" s="94" t="s">
        <v>49</v>
      </c>
      <c r="J10" s="94" t="s">
        <v>51</v>
      </c>
      <c r="K10" s="94" t="s">
        <v>55</v>
      </c>
      <c r="L10" s="94" t="s">
        <v>57</v>
      </c>
      <c r="M10" s="94" t="s">
        <v>60</v>
      </c>
      <c r="N10" s="94" t="s">
        <v>62</v>
      </c>
      <c r="O10" s="95" t="s">
        <v>63</v>
      </c>
    </row>
    <row r="11" spans="1:16" ht="24.95" customHeight="1" thickBot="1" x14ac:dyDescent="0.35">
      <c r="A11" s="30"/>
      <c r="B11" s="54" t="s">
        <v>15</v>
      </c>
      <c r="C11"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0</v>
      </c>
      <c r="D11"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0</v>
      </c>
      <c r="E11"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0</v>
      </c>
      <c r="F11"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0</v>
      </c>
      <c r="G11"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0</v>
      </c>
      <c r="H11"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0</v>
      </c>
      <c r="I11"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9800</v>
      </c>
      <c r="J11"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9800</v>
      </c>
      <c r="K11"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9800</v>
      </c>
      <c r="L11"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9800</v>
      </c>
      <c r="M11"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9800</v>
      </c>
      <c r="N11"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9800</v>
      </c>
      <c r="O11" s="98">
        <f>SUM(ΔιακυμάνσειςΕξόδωνΓραφείου[[#This Row],[Ιαν]:[Δεκ]])</f>
        <v>58800</v>
      </c>
    </row>
    <row r="12" spans="1:16" ht="24.95" customHeight="1" thickBot="1" x14ac:dyDescent="0.35">
      <c r="A12" s="30"/>
      <c r="B12" s="54" t="s">
        <v>16</v>
      </c>
      <c r="C12"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-4</v>
      </c>
      <c r="D12"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-30</v>
      </c>
      <c r="E12"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15</v>
      </c>
      <c r="F12"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-130</v>
      </c>
      <c r="G12"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13</v>
      </c>
      <c r="H12"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12</v>
      </c>
      <c r="I12"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100</v>
      </c>
      <c r="J12"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100</v>
      </c>
      <c r="K12"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100</v>
      </c>
      <c r="L12"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100</v>
      </c>
      <c r="M12"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400</v>
      </c>
      <c r="N12"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400</v>
      </c>
      <c r="O12" s="98">
        <f>SUM(ΔιακυμάνσειςΕξόδωνΓραφείου[[#This Row],[Ιαν]:[Δεκ]])</f>
        <v>1076</v>
      </c>
    </row>
    <row r="13" spans="1:16" ht="24.95" customHeight="1" thickBot="1" x14ac:dyDescent="0.35">
      <c r="A13" s="30"/>
      <c r="B13" s="54" t="s">
        <v>17</v>
      </c>
      <c r="C13"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12</v>
      </c>
      <c r="D13"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22</v>
      </c>
      <c r="E13"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32</v>
      </c>
      <c r="F13"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1</v>
      </c>
      <c r="G13"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-6</v>
      </c>
      <c r="H13"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10</v>
      </c>
      <c r="I13"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300</v>
      </c>
      <c r="J13"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300</v>
      </c>
      <c r="K13"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300</v>
      </c>
      <c r="L13"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300</v>
      </c>
      <c r="M13"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300</v>
      </c>
      <c r="N13"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300</v>
      </c>
      <c r="O13" s="98">
        <f>SUM(ΔιακυμάνσειςΕξόδωνΓραφείου[[#This Row],[Ιαν]:[Δεκ]])</f>
        <v>1871</v>
      </c>
    </row>
    <row r="14" spans="1:16" ht="24.95" customHeight="1" thickBot="1" x14ac:dyDescent="0.35">
      <c r="A14" s="30"/>
      <c r="B14" s="54" t="s">
        <v>18</v>
      </c>
      <c r="C14"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5</v>
      </c>
      <c r="D14"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7</v>
      </c>
      <c r="E14"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6</v>
      </c>
      <c r="F14"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4</v>
      </c>
      <c r="G14"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6</v>
      </c>
      <c r="H14"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4</v>
      </c>
      <c r="I14"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40</v>
      </c>
      <c r="J14"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40</v>
      </c>
      <c r="K14"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40</v>
      </c>
      <c r="L14"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40</v>
      </c>
      <c r="M14"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40</v>
      </c>
      <c r="N14"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40</v>
      </c>
      <c r="O14" s="98">
        <f>SUM(ΔιακυμάνσειςΕξόδωνΓραφείου[[#This Row],[Ιαν]:[Δεκ]])</f>
        <v>272</v>
      </c>
    </row>
    <row r="15" spans="1:16" ht="24.95" customHeight="1" thickBot="1" x14ac:dyDescent="0.35">
      <c r="A15" s="30"/>
      <c r="B15" s="54" t="s">
        <v>19</v>
      </c>
      <c r="C15"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26</v>
      </c>
      <c r="D15"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15</v>
      </c>
      <c r="E15"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-15</v>
      </c>
      <c r="F15"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5</v>
      </c>
      <c r="G15"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5</v>
      </c>
      <c r="H15"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30</v>
      </c>
      <c r="I15"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250</v>
      </c>
      <c r="J15"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250</v>
      </c>
      <c r="K15"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250</v>
      </c>
      <c r="L15"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250</v>
      </c>
      <c r="M15"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250</v>
      </c>
      <c r="N15"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250</v>
      </c>
      <c r="O15" s="98">
        <f>SUM(ΔιακυμάνσειςΕξόδωνΓραφείου[[#This Row],[Ιαν]:[Δεκ]])</f>
        <v>1566</v>
      </c>
    </row>
    <row r="16" spans="1:16" ht="24.95" customHeight="1" thickBot="1" x14ac:dyDescent="0.35">
      <c r="A16" s="30"/>
      <c r="B16" s="54" t="s">
        <v>20</v>
      </c>
      <c r="C16"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0</v>
      </c>
      <c r="D16"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0</v>
      </c>
      <c r="E16"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0</v>
      </c>
      <c r="F16"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0</v>
      </c>
      <c r="G16"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0</v>
      </c>
      <c r="H16"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0</v>
      </c>
      <c r="I16"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180</v>
      </c>
      <c r="J16"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180</v>
      </c>
      <c r="K16"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180</v>
      </c>
      <c r="L16"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180</v>
      </c>
      <c r="M16"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180</v>
      </c>
      <c r="N16"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180</v>
      </c>
      <c r="O16" s="98">
        <f>SUM(ΔιακυμάνσειςΕξόδωνΓραφείου[[#This Row],[Ιαν]:[Δεκ]])</f>
        <v>1080</v>
      </c>
    </row>
    <row r="17" spans="1:15" ht="24.95" customHeight="1" thickBot="1" x14ac:dyDescent="0.35">
      <c r="A17" s="30"/>
      <c r="B17" s="54" t="s">
        <v>21</v>
      </c>
      <c r="C17"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-56</v>
      </c>
      <c r="D17"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58</v>
      </c>
      <c r="E17"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40</v>
      </c>
      <c r="F17"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-21</v>
      </c>
      <c r="G17"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-56</v>
      </c>
      <c r="H17"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-40</v>
      </c>
      <c r="I17"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200</v>
      </c>
      <c r="J17"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200</v>
      </c>
      <c r="K17"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200</v>
      </c>
      <c r="L17"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200</v>
      </c>
      <c r="M17"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200</v>
      </c>
      <c r="N17"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200</v>
      </c>
      <c r="O17" s="98">
        <f>SUM(ΔιακυμάνσειςΕξόδωνΓραφείου[[#This Row],[Ιαν]:[Δεκ]])</f>
        <v>1125</v>
      </c>
    </row>
    <row r="18" spans="1:15" ht="24.95" customHeight="1" thickBot="1" x14ac:dyDescent="0.35">
      <c r="A18" s="30"/>
      <c r="B18" s="54" t="s">
        <v>22</v>
      </c>
      <c r="C18" s="97">
        <f>INDEX(Προγραμματισμένα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ογραμματισμέναΈξοδαΓραφείου[#Headers],0))-INDEX(ΠραγματικάΈξοδαΓραφείου[],MATCH(INDEX(ΔιακυμάνσειςΕξόδωνΓραφείου[],ROW()-ROW(ΔιακυμάνσειςΕξόδωνΓραφείου[[#Headers],[Ιαν]]),1),INDEX(ΠρογραμματισμέναΈξοδαΓραφείου[],,1),0),MATCH(ΔιακυμάνσειςΕξόδωνΓραφείου[[#Headers],[Ιαν]],ΠραγματικάΈξοδαΓραφείου[#Headers],0))</f>
        <v>0</v>
      </c>
      <c r="D18" s="97">
        <f>INDEX(Προγραμματισμένα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ογραμματισμέναΈξοδαΓραφείου[#Headers],0))-INDEX(ΠραγματικάΈξοδαΓραφείου[],MATCH(INDEX(ΔιακυμάνσειςΕξόδωνΓραφείου[],ROW()-ROW(ΔιακυμάνσειςΕξόδωνΓραφείου[[#Headers],[Φεβ]]),1),INDEX(ΠρογραμματισμέναΈξοδαΓραφείου[],,1),0),MATCH(ΔιακυμάνσειςΕξόδωνΓραφείου[[#Headers],[Φεβ]],ΠραγματικάΈξοδαΓραφείου[#Headers],0))</f>
        <v>0</v>
      </c>
      <c r="E18" s="97">
        <f>INDEX(Προγραμματισμένα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ογραμματισμέναΈξοδαΓραφείου[#Headers],0))-INDEX(ΠραγματικάΈξοδαΓραφείου[],MATCH(INDEX(ΔιακυμάνσειςΕξόδωνΓραφείου[],ROW()-ROW(ΔιακυμάνσειςΕξόδωνΓραφείου[[#Headers],[Μάρ]]),1),INDEX(ΠρογραμματισμέναΈξοδαΓραφείου[],,1),0),MATCH(ΔιακυμάνσειςΕξόδωνΓραφείου[[#Headers],[Μάρ]],ΠραγματικάΈξοδαΓραφείου[#Headers],0))</f>
        <v>0</v>
      </c>
      <c r="F18" s="97">
        <f>INDEX(Προγραμματισμένα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ογραμματισμέναΈξοδαΓραφείου[#Headers],0))-INDEX(ΠραγματικάΈξοδαΓραφείου[],MATCH(INDEX(ΔιακυμάνσειςΕξόδωνΓραφείου[],ROW()-ROW(ΔιακυμάνσειςΕξόδωνΓραφείου[[#Headers],[Απρ]]),1),INDEX(ΠρογραμματισμέναΈξοδαΓραφείου[],,1),0),MATCH(ΔιακυμάνσειςΕξόδωνΓραφείου[[#Headers],[Απρ]],ΠραγματικάΈξοδαΓραφείου[#Headers],0))</f>
        <v>0</v>
      </c>
      <c r="G18" s="97">
        <f>INDEX(Προγραμματισμένα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ογραμματισμέναΈξοδαΓραφείου[#Headers],0))-INDEX(ΠραγματικάΈξοδαΓραφείου[],MATCH(INDEX(ΔιακυμάνσειςΕξόδωνΓραφείου[],ROW()-ROW(ΔιακυμάνσειςΕξόδωνΓραφείου[[#Headers],[Μάι]]),1),INDEX(ΠρογραμματισμέναΈξοδαΓραφείου[],,1),0),MATCH(ΔιακυμάνσειςΕξόδωνΓραφείου[[#Headers],[Μάι]],ΠραγματικάΈξοδαΓραφείου[#Headers],0))</f>
        <v>0</v>
      </c>
      <c r="H18" s="97">
        <f>INDEX(Προγραμματισμένα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ογραμματισμέναΈξοδαΓραφείου[#Headers],0))-INDEX(ΠραγματικάΈξοδαΓραφείου[],MATCH(INDEX(ΔιακυμάνσειςΕξόδωνΓραφείου[],ROW()-ROW(ΔιακυμάνσειςΕξόδωνΓραφείου[[#Headers],[Ιούν]]),1),INDEX(ΠρογραμματισμέναΈξοδαΓραφείου[],,1),0),MATCH(ΔιακυμάνσειςΕξόδωνΓραφείου[[#Headers],[Ιούν]],ΠραγματικάΈξοδαΓραφείου[#Headers],0))</f>
        <v>0</v>
      </c>
      <c r="I18" s="97">
        <f>INDEX(Προγραμματισμένα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ογραμματισμέναΈξοδαΓραφείου[#Headers],0))-INDEX(ΠραγματικάΈξοδαΓραφείου[],MATCH(INDEX(ΔιακυμάνσειςΕξόδωνΓραφείου[],ROW()-ROW(ΔιακυμάνσειςΕξόδωνΓραφείου[[#Headers],[Ιούλ]]),1),INDEX(ΠρογραμματισμέναΈξοδαΓραφείου[],,1),0),MATCH(ΔιακυμάνσειςΕξόδωνΓραφείου[[#Headers],[Ιούλ]],ΠραγματικάΈξοδαΓραφείου[#Headers],0))</f>
        <v>600</v>
      </c>
      <c r="J18" s="97">
        <f>INDEX(Προγραμματισμένα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ογραμματισμέναΈξοδαΓραφείου[#Headers],0))-INDEX(ΠραγματικάΈξοδαΓραφείου[],MATCH(INDEX(ΔιακυμάνσειςΕξόδωνΓραφείου[],ROW()-ROW(ΔιακυμάνσειςΕξόδωνΓραφείου[[#Headers],[Αύγ]]),1),INDEX(ΠρογραμματισμέναΈξοδαΓραφείου[],,1),0),MATCH(ΔιακυμάνσειςΕξόδωνΓραφείου[[#Headers],[Αύγ]],ΠραγματικάΈξοδαΓραφείου[#Headers],0))</f>
        <v>600</v>
      </c>
      <c r="K18" s="97">
        <f>INDEX(Προγραμματισμένα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ογραμματισμέναΈξοδαΓραφείου[#Headers],0))-INDEX(ΠραγματικάΈξοδαΓραφείου[],MATCH(INDEX(ΔιακυμάνσειςΕξόδωνΓραφείου[],ROW()-ROW(ΔιακυμάνσειςΕξόδωνΓραφείου[[#Headers],[Σεπ]]),1),INDEX(ΠρογραμματισμέναΈξοδαΓραφείου[],,1),0),MATCH(ΔιακυμάνσειςΕξόδωνΓραφείου[[#Headers],[Σεπ]],ΠραγματικάΈξοδαΓραφείου[#Headers],0))</f>
        <v>600</v>
      </c>
      <c r="L18" s="97">
        <f>INDEX(Προγραμματισμένα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ογραμματισμέναΈξοδαΓραφείου[#Headers],0))-INDEX(ΠραγματικάΈξοδαΓραφείου[],MATCH(INDEX(ΔιακυμάνσειςΕξόδωνΓραφείου[],ROW()-ROW(ΔιακυμάνσειςΕξόδωνΓραφείου[[#Headers],[Οκτ]]),1),INDEX(ΠρογραμματισμέναΈξοδαΓραφείου[],,1),0),MATCH(ΔιακυμάνσειςΕξόδωνΓραφείου[[#Headers],[Οκτ]],ΠραγματικάΈξοδαΓραφείου[#Headers],0))</f>
        <v>600</v>
      </c>
      <c r="M18" s="97">
        <f>INDEX(Προγραμματισμένα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ογραμματισμέναΈξοδαΓραφείου[#Headers],0))-INDEX(ΠραγματικάΈξοδαΓραφείου[],MATCH(INDEX(ΔιακυμάνσειςΕξόδωνΓραφείου[],ROW()-ROW(ΔιακυμάνσειςΕξόδωνΓραφείου[[#Headers],[Νοε]]),1),INDEX(ΠρογραμματισμέναΈξοδαΓραφείου[],,1),0),MATCH(ΔιακυμάνσειςΕξόδωνΓραφείου[[#Headers],[Νοε]],ΠραγματικάΈξοδαΓραφείου[#Headers],0))</f>
        <v>600</v>
      </c>
      <c r="N18" s="97">
        <f>INDEX(Προγραμματισμένα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ογραμματισμέναΈξοδαΓραφείου[#Headers],0))-INDEX(ΠραγματικάΈξοδαΓραφείου[],MATCH(INDEX(ΔιακυμάνσειςΕξόδωνΓραφείου[],ROW()-ROW(ΔιακυμάνσειςΕξόδωνΓραφείου[[#Headers],[Δεκ]]),1),INDEX(ΠρογραμματισμέναΈξοδαΓραφείου[],,1),0),MATCH(ΔιακυμάνσειςΕξόδωνΓραφείου[[#Headers],[Δεκ]],ΠραγματικάΈξοδαΓραφείου[#Headers],0))</f>
        <v>600</v>
      </c>
      <c r="O18" s="98">
        <f>SUM(ΔιακυμάνσειςΕξόδωνΓραφείου[[#This Row],[Ιαν]:[Δεκ]])</f>
        <v>3600</v>
      </c>
    </row>
    <row r="19" spans="1:15" ht="24.95" customHeight="1" x14ac:dyDescent="0.3">
      <c r="A19" s="30"/>
      <c r="B19" s="63" t="s">
        <v>13</v>
      </c>
      <c r="C19" s="116">
        <f>SUBTOTAL(109,ΔιακυμάνσειςΕξόδωνΓραφείου[Ιαν])</f>
        <v>-17</v>
      </c>
      <c r="D19" s="106">
        <f>SUBTOTAL(109,ΔιακυμάνσειςΕξόδωνΓραφείου[Φεβ])</f>
        <v>72</v>
      </c>
      <c r="E19" s="106">
        <f>SUBTOTAL(109,ΔιακυμάνσειςΕξόδωνΓραφείου[Μάρ])</f>
        <v>78</v>
      </c>
      <c r="F19" s="106">
        <f>SUBTOTAL(109,ΔιακυμάνσειςΕξόδωνΓραφείου[Απρ])</f>
        <v>-141</v>
      </c>
      <c r="G19" s="106">
        <f>SUBTOTAL(109,ΔιακυμάνσειςΕξόδωνΓραφείου[Μάι])</f>
        <v>-38</v>
      </c>
      <c r="H19" s="106">
        <f>SUBTOTAL(109,ΔιακυμάνσειςΕξόδωνΓραφείου[Ιούν])</f>
        <v>16</v>
      </c>
      <c r="I19" s="106">
        <f>SUBTOTAL(109,ΔιακυμάνσειςΕξόδωνΓραφείου[Ιούλ])</f>
        <v>11470</v>
      </c>
      <c r="J19" s="106">
        <f>SUBTOTAL(109,ΔιακυμάνσειςΕξόδωνΓραφείου[Αύγ])</f>
        <v>11470</v>
      </c>
      <c r="K19" s="106">
        <f>SUBTOTAL(109,ΔιακυμάνσειςΕξόδωνΓραφείου[Σεπ])</f>
        <v>11470</v>
      </c>
      <c r="L19" s="106">
        <f>SUBTOTAL(109,ΔιακυμάνσειςΕξόδωνΓραφείου[Οκτ])</f>
        <v>11470</v>
      </c>
      <c r="M19" s="106">
        <f>SUBTOTAL(109,ΔιακυμάνσειςΕξόδωνΓραφείου[Νοε])</f>
        <v>11770</v>
      </c>
      <c r="N19" s="106">
        <f>SUBTOTAL(109,ΔιακυμάνσειςΕξόδωνΓραφείου[Δεκ])</f>
        <v>11770</v>
      </c>
      <c r="O19" s="107">
        <f>SUBTOTAL(109,ΔιακυμάνσειςΕξόδωνΓραφείου[ΕΤΟΣ])</f>
        <v>69390</v>
      </c>
    </row>
    <row r="20" spans="1:15" ht="21" customHeight="1" x14ac:dyDescent="0.3">
      <c r="A20" s="30"/>
      <c r="B20" s="71"/>
      <c r="C20" s="71"/>
      <c r="D20" s="85"/>
      <c r="E20" s="85"/>
      <c r="F20" s="93"/>
      <c r="G20" s="93"/>
      <c r="H20" s="93"/>
      <c r="I20" s="93"/>
      <c r="J20" s="93"/>
      <c r="K20" s="93"/>
      <c r="L20" s="93"/>
      <c r="M20" s="93"/>
      <c r="N20" s="93"/>
      <c r="O20" s="86"/>
    </row>
    <row r="21" spans="1:15" ht="24.95" customHeight="1" thickBot="1" x14ac:dyDescent="0.35">
      <c r="A21" s="30"/>
      <c r="B21" s="49" t="s">
        <v>23</v>
      </c>
      <c r="C21" s="94" t="s">
        <v>37</v>
      </c>
      <c r="D21" s="94" t="s">
        <v>39</v>
      </c>
      <c r="E21" s="94" t="s">
        <v>41</v>
      </c>
      <c r="F21" s="94" t="s">
        <v>43</v>
      </c>
      <c r="G21" s="94" t="s">
        <v>45</v>
      </c>
      <c r="H21" s="94" t="s">
        <v>47</v>
      </c>
      <c r="I21" s="94" t="s">
        <v>49</v>
      </c>
      <c r="J21" s="94" t="s">
        <v>51</v>
      </c>
      <c r="K21" s="94" t="s">
        <v>55</v>
      </c>
      <c r="L21" s="94" t="s">
        <v>57</v>
      </c>
      <c r="M21" s="94" t="s">
        <v>60</v>
      </c>
      <c r="N21" s="94" t="s">
        <v>62</v>
      </c>
      <c r="O21" s="95" t="s">
        <v>63</v>
      </c>
    </row>
    <row r="22" spans="1:15" ht="24.95" customHeight="1" thickBot="1" x14ac:dyDescent="0.35">
      <c r="A22" s="30"/>
      <c r="B22" s="54" t="s">
        <v>24</v>
      </c>
      <c r="C22"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0</v>
      </c>
      <c r="D22"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0</v>
      </c>
      <c r="E22"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0</v>
      </c>
      <c r="F22"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0</v>
      </c>
      <c r="G22"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0</v>
      </c>
      <c r="H22"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0</v>
      </c>
      <c r="I22"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500</v>
      </c>
      <c r="J22"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500</v>
      </c>
      <c r="K22"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500</v>
      </c>
      <c r="L22"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500</v>
      </c>
      <c r="M22"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500</v>
      </c>
      <c r="N22"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500</v>
      </c>
      <c r="O22" s="98">
        <f>SUM(ΔιακυμάνσειςΕξόδωνΜάρκετινγκ[[#This Row],[Ιαν]:[Δεκ]])</f>
        <v>3000</v>
      </c>
    </row>
    <row r="23" spans="1:15" ht="24.95" customHeight="1" thickBot="1" x14ac:dyDescent="0.35">
      <c r="A23" s="30"/>
      <c r="B23" s="54" t="s">
        <v>25</v>
      </c>
      <c r="C23"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0</v>
      </c>
      <c r="D23"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0</v>
      </c>
      <c r="E23"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0</v>
      </c>
      <c r="F23"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0</v>
      </c>
      <c r="G23"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0</v>
      </c>
      <c r="H23"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-500</v>
      </c>
      <c r="I23"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200</v>
      </c>
      <c r="J23"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200</v>
      </c>
      <c r="K23"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200</v>
      </c>
      <c r="L23"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200</v>
      </c>
      <c r="M23"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200</v>
      </c>
      <c r="N23"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1000</v>
      </c>
      <c r="O23" s="98">
        <f>SUM(ΔιακυμάνσειςΕξόδωνΜάρκετινγκ[[#This Row],[Ιαν]:[Δεκ]])</f>
        <v>1500</v>
      </c>
    </row>
    <row r="24" spans="1:15" ht="24.95" customHeight="1" thickBot="1" x14ac:dyDescent="0.35">
      <c r="A24" s="30"/>
      <c r="B24" s="54" t="s">
        <v>26</v>
      </c>
      <c r="C24"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200</v>
      </c>
      <c r="D24"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0</v>
      </c>
      <c r="E24"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0</v>
      </c>
      <c r="F24"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-500</v>
      </c>
      <c r="G24"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0</v>
      </c>
      <c r="H24"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0</v>
      </c>
      <c r="I24"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5000</v>
      </c>
      <c r="J24"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0</v>
      </c>
      <c r="K24"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0</v>
      </c>
      <c r="L24"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5000</v>
      </c>
      <c r="M24"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0</v>
      </c>
      <c r="N24"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0</v>
      </c>
      <c r="O24" s="98">
        <f>SUM(ΔιακυμάνσειςΕξόδωνΜάρκετινγκ[[#This Row],[Ιαν]:[Δεκ]])</f>
        <v>9700</v>
      </c>
    </row>
    <row r="25" spans="1:15" ht="24.95" customHeight="1" thickBot="1" x14ac:dyDescent="0.35">
      <c r="A25" s="30"/>
      <c r="B25" s="54" t="s">
        <v>27</v>
      </c>
      <c r="C25"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100</v>
      </c>
      <c r="D25"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-300</v>
      </c>
      <c r="E25"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100</v>
      </c>
      <c r="F25"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100</v>
      </c>
      <c r="G25"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-400</v>
      </c>
      <c r="H25"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20</v>
      </c>
      <c r="I25"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200</v>
      </c>
      <c r="J25"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200</v>
      </c>
      <c r="K25"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200</v>
      </c>
      <c r="L25"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200</v>
      </c>
      <c r="M25"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200</v>
      </c>
      <c r="N25"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200</v>
      </c>
      <c r="O25" s="98">
        <f>SUM(ΔιακυμάνσειςΕξόδωνΜάρκετινγκ[[#This Row],[Ιαν]:[Δεκ]])</f>
        <v>820</v>
      </c>
    </row>
    <row r="26" spans="1:15" ht="24.95" customHeight="1" thickBot="1" x14ac:dyDescent="0.35">
      <c r="A26" s="30"/>
      <c r="B26" s="54" t="s">
        <v>28</v>
      </c>
      <c r="C26"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200</v>
      </c>
      <c r="D26"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-200</v>
      </c>
      <c r="E26"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-200</v>
      </c>
      <c r="F26"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300</v>
      </c>
      <c r="G26"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500</v>
      </c>
      <c r="H26"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-300</v>
      </c>
      <c r="I26"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2000</v>
      </c>
      <c r="J26"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5000</v>
      </c>
      <c r="K26"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2000</v>
      </c>
      <c r="L26"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2000</v>
      </c>
      <c r="M26"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2000</v>
      </c>
      <c r="N26"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5000</v>
      </c>
      <c r="O26" s="98">
        <f>SUM(ΔιακυμάνσειςΕξόδωνΜάρκετινγκ[[#This Row],[Ιαν]:[Δεκ]])</f>
        <v>18300</v>
      </c>
    </row>
    <row r="27" spans="1:15" ht="24.95" customHeight="1" thickBot="1" x14ac:dyDescent="0.35">
      <c r="A27" s="30"/>
      <c r="B27" s="54" t="s">
        <v>29</v>
      </c>
      <c r="C27" s="97">
        <f>INDEX(Προγραμματισμένα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ογραμματισμέναΈξοδαΜάρκετινγκ[#Headers],0))-INDEX(ΠραγματικάΈξοδαΜάρκετινγκ[],MATCH(INDEX(ΔιακυμάνσειςΕξόδωνΜάρκετινγκ[],ROW()-ROW(ΔιακυμάνσειςΕξόδωνΜάρκετινγκ[[#Headers],[Ιαν]]),1),INDEX(ΠρογραμματισμέναΈξοδαΜάρκετινγκ[],,1),0),MATCH(ΔιακυμάνσειςΕξόδωνΜάρκετινγκ[[#Headers],[Ιαν]],ΠραγματικάΈξοδαΜάρκετινγκ[#Headers],0))</f>
        <v>55</v>
      </c>
      <c r="D27" s="97">
        <f>INDEX(Προγραμματισμένα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ογραμματισμέναΈξοδαΜάρκετινγκ[#Headers],0))-INDEX(ΠραγματικάΈξοδαΜάρκετινγκ[],MATCH(INDEX(ΔιακυμάνσειςΕξόδωνΜάρκετινγκ[],ROW()-ROW(ΔιακυμάνσειςΕξόδωνΜάρκετινγκ[[#Headers],[Φεβ]]),1),INDEX(ΠρογραμματισμέναΈξοδαΜάρκετινγκ[],,1),0),MATCH(ΔιακυμάνσειςΕξόδωνΜάρκετινγκ[[#Headers],[Φεβ]],ΠραγματικάΈξοδαΜάρκετινγκ[#Headers],0))</f>
        <v>44</v>
      </c>
      <c r="E27" s="97">
        <f>INDEX(Προγραμματισμένα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ογραμματισμέναΈξοδαΜάρκετινγκ[#Headers],0))-INDEX(ΠραγματικάΈξοδαΜάρκετινγκ[],MATCH(INDEX(ΔιακυμάνσειςΕξόδωνΜάρκετινγκ[],ROW()-ROW(ΔιακυμάνσειςΕξόδωνΜάρκετινγκ[[#Headers],[Μάρ]]),1),INDEX(ΠρογραμματισμέναΈξοδαΜάρκετινγκ[],,1),0),MATCH(ΔιακυμάνσειςΕξόδωνΜάρκετινγκ[[#Headers],[Μάρ]],ΠραγματικάΈξοδαΜάρκετινγκ[#Headers],0))</f>
        <v>77</v>
      </c>
      <c r="F27" s="97">
        <f>INDEX(Προγραμματισμένα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ογραμματισμέναΈξοδαΜάρκετινγκ[#Headers],0))-INDEX(ΠραγματικάΈξοδαΜάρκετινγκ[],MATCH(INDEX(ΔιακυμάνσειςΕξόδωνΜάρκετινγκ[],ROW()-ROW(ΔιακυμάνσειςΕξόδωνΜάρκετινγκ[[#Headers],[Απρ]]),1),INDEX(ΠρογραμματισμέναΈξοδαΜάρκετινγκ[],,1),0),MATCH(ΔιακυμάνσειςΕξόδωνΜάρκετινγκ[[#Headers],[Απρ]],ΠραγματικάΈξοδαΜάρκετινγκ[#Headers],0))</f>
        <v>-23</v>
      </c>
      <c r="G27" s="97">
        <f>INDEX(Προγραμματισμένα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ογραμματισμέναΈξοδαΜάρκετινγκ[#Headers],0))-INDEX(ΠραγματικάΈξοδαΜάρκετινγκ[],MATCH(INDEX(ΔιακυμάνσειςΕξόδωνΜάρκετινγκ[],ROW()-ROW(ΔιακυμάνσειςΕξόδωνΜάρκετινγκ[[#Headers],[Μάι]]),1),INDEX(ΠρογραμματισμέναΈξοδαΜάρκετινγκ[],,1),0),MATCH(ΔιακυμάνσειςΕξόδωνΜάρκετινγκ[[#Headers],[Μάι]],ΠραγματικάΈξοδαΜάρκετινγκ[#Headers],0))</f>
        <v>13</v>
      </c>
      <c r="H27" s="97">
        <f>INDEX(Προγραμματισμένα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ογραμματισμέναΈξοδαΜάρκετινγκ[#Headers],0))-INDEX(ΠραγματικάΈξοδαΜάρκετινγκ[],MATCH(INDEX(ΔιακυμάνσειςΕξόδωνΜάρκετινγκ[],ROW()-ROW(ΔιακυμάνσειςΕξόδωνΜάρκετινγκ[[#Headers],[Ιούν]]),1),INDEX(ΠρογραμματισμέναΈξοδαΜάρκετινγκ[],,1),0),MATCH(ΔιακυμάνσειςΕξόδωνΜάρκετινγκ[[#Headers],[Ιούν]],ΠραγματικάΈξοδαΜάρκετινγκ[#Headers],0))</f>
        <v>-45</v>
      </c>
      <c r="I27" s="97">
        <f>INDEX(Προγραμματισμένα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ογραμματισμέναΈξοδαΜάρκετινγκ[#Headers],0))-INDEX(ΠραγματικάΈξοδαΜάρκετινγκ[],MATCH(INDEX(ΔιακυμάνσειςΕξόδωνΜάρκετινγκ[],ROW()-ROW(ΔιακυμάνσειςΕξόδωνΜάρκετινγκ[[#Headers],[Ιούλ]]),1),INDEX(ΠρογραμματισμέναΈξοδαΜάρκετινγκ[],,1),0),MATCH(ΔιακυμάνσειςΕξόδωνΜάρκετινγκ[[#Headers],[Ιούλ]],ΠραγματικάΈξοδαΜάρκετινγκ[#Headers],0))</f>
        <v>200</v>
      </c>
      <c r="J27" s="97">
        <f>INDEX(Προγραμματισμένα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ογραμματισμέναΈξοδαΜάρκετινγκ[#Headers],0))-INDEX(ΠραγματικάΈξοδαΜάρκετινγκ[],MATCH(INDEX(ΔιακυμάνσειςΕξόδωνΜάρκετινγκ[],ROW()-ROW(ΔιακυμάνσειςΕξόδωνΜάρκετινγκ[[#Headers],[Αύγ]]),1),INDEX(ΠρογραμματισμέναΈξοδαΜάρκετινγκ[],,1),0),MATCH(ΔιακυμάνσειςΕξόδωνΜάρκετινγκ[[#Headers],[Αύγ]],ΠραγματικάΈξοδαΜάρκετινγκ[#Headers],0))</f>
        <v>200</v>
      </c>
      <c r="K27" s="97">
        <f>INDEX(Προγραμματισμένα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ογραμματισμέναΈξοδαΜάρκετινγκ[#Headers],0))-INDEX(ΠραγματικάΈξοδαΜάρκετινγκ[],MATCH(INDEX(ΔιακυμάνσειςΕξόδωνΜάρκετινγκ[],ROW()-ROW(ΔιακυμάνσειςΕξόδωνΜάρκετινγκ[[#Headers],[Σεπ]]),1),INDEX(ΠρογραμματισμέναΈξοδαΜάρκετινγκ[],,1),0),MATCH(ΔιακυμάνσειςΕξόδωνΜάρκετινγκ[[#Headers],[Σεπ]],ΠραγματικάΈξοδαΜάρκετινγκ[#Headers],0))</f>
        <v>200</v>
      </c>
      <c r="L27" s="97">
        <f>INDEX(Προγραμματισμένα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ογραμματισμέναΈξοδαΜάρκετινγκ[#Headers],0))-INDEX(ΠραγματικάΈξοδαΜάρκετινγκ[],MATCH(INDEX(ΔιακυμάνσειςΕξόδωνΜάρκετινγκ[],ROW()-ROW(ΔιακυμάνσειςΕξόδωνΜάρκετινγκ[[#Headers],[Οκτ]]),1),INDEX(ΠρογραμματισμέναΈξοδαΜάρκετινγκ[],,1),0),MATCH(ΔιακυμάνσειςΕξόδωνΜάρκετινγκ[[#Headers],[Οκτ]],ΠραγματικάΈξοδαΜάρκετινγκ[#Headers],0))</f>
        <v>200</v>
      </c>
      <c r="M27" s="97">
        <f>INDEX(Προγραμματισμένα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ογραμματισμέναΈξοδαΜάρκετινγκ[#Headers],0))-INDEX(ΠραγματικάΈξοδαΜάρκετινγκ[],MATCH(INDEX(ΔιακυμάνσειςΕξόδωνΜάρκετινγκ[],ROW()-ROW(ΔιακυμάνσειςΕξόδωνΜάρκετινγκ[[#Headers],[Νοε]]),1),INDEX(ΠρογραμματισμέναΈξοδαΜάρκετινγκ[],,1),0),MATCH(ΔιακυμάνσειςΕξόδωνΜάρκετινγκ[[#Headers],[Νοε]],ΠραγματικάΈξοδαΜάρκετινγκ[#Headers],0))</f>
        <v>200</v>
      </c>
      <c r="N27" s="97">
        <f>INDEX(Προγραμματισμένα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ογραμματισμέναΈξοδαΜάρκετινγκ[#Headers],0))-INDEX(ΠραγματικάΈξοδαΜάρκετινγκ[],MATCH(INDEX(ΔιακυμάνσειςΕξόδωνΜάρκετινγκ[],ROW()-ROW(ΔιακυμάνσειςΕξόδωνΜάρκετινγκ[[#Headers],[Δεκ]]),1),INDEX(ΠρογραμματισμέναΈξοδαΜάρκετινγκ[],,1),0),MATCH(ΔιακυμάνσειςΕξόδωνΜάρκετινγκ[[#Headers],[Δεκ]],ΠραγματικάΈξοδαΜάρκετινγκ[#Headers],0))</f>
        <v>200</v>
      </c>
      <c r="O27" s="98">
        <f>SUM(ΔιακυμάνσειςΕξόδωνΜάρκετινγκ[[#This Row],[Ιαν]:[Δεκ]])</f>
        <v>1321</v>
      </c>
    </row>
    <row r="28" spans="1:15" ht="24.95" customHeight="1" x14ac:dyDescent="0.3">
      <c r="A28" s="30"/>
      <c r="B28" s="62" t="s">
        <v>13</v>
      </c>
      <c r="C28" s="106">
        <f>SUBTOTAL(109,ΔιακυμάνσειςΕξόδωνΜάρκετινγκ[Ιαν])</f>
        <v>555</v>
      </c>
      <c r="D28" s="106">
        <f>SUBTOTAL(109,ΔιακυμάνσειςΕξόδωνΜάρκετινγκ[Φεβ])</f>
        <v>-456</v>
      </c>
      <c r="E28" s="106">
        <f>SUBTOTAL(109,ΔιακυμάνσειςΕξόδωνΜάρκετινγκ[Μάρ])</f>
        <v>-23</v>
      </c>
      <c r="F28" s="106">
        <f>SUBTOTAL(109,ΔιακυμάνσειςΕξόδωνΜάρκετινγκ[Απρ])</f>
        <v>-123</v>
      </c>
      <c r="G28" s="106">
        <f>SUBTOTAL(109,ΔιακυμάνσειςΕξόδωνΜάρκετινγκ[Μάι])</f>
        <v>113</v>
      </c>
      <c r="H28" s="106">
        <f>SUBTOTAL(109,ΔιακυμάνσειςΕξόδωνΜάρκετινγκ[Ιούν])</f>
        <v>-825</v>
      </c>
      <c r="I28" s="106">
        <f>SUBTOTAL(109,ΔιακυμάνσειςΕξόδωνΜάρκετινγκ[Ιούλ])</f>
        <v>8100</v>
      </c>
      <c r="J28" s="106">
        <f>SUBTOTAL(109,ΔιακυμάνσειςΕξόδωνΜάρκετινγκ[Αύγ])</f>
        <v>6100</v>
      </c>
      <c r="K28" s="106">
        <f>SUBTOTAL(109,ΔιακυμάνσειςΕξόδωνΜάρκετινγκ[Σεπ])</f>
        <v>3100</v>
      </c>
      <c r="L28" s="106">
        <f>SUBTOTAL(109,ΔιακυμάνσειςΕξόδωνΜάρκετινγκ[Οκτ])</f>
        <v>8100</v>
      </c>
      <c r="M28" s="106">
        <f>SUBTOTAL(109,ΔιακυμάνσειςΕξόδωνΜάρκετινγκ[Νοε])</f>
        <v>3100</v>
      </c>
      <c r="N28" s="106">
        <f>SUBTOTAL(109,ΔιακυμάνσειςΕξόδωνΜάρκετινγκ[Δεκ])</f>
        <v>6900</v>
      </c>
      <c r="O28" s="107">
        <f>SUBTOTAL(109,ΔιακυμάνσειςΕξόδωνΜάρκετινγκ[ΕΤΟΣ])</f>
        <v>34641</v>
      </c>
    </row>
    <row r="29" spans="1:15" ht="21" customHeight="1" x14ac:dyDescent="0.3">
      <c r="A29" s="30"/>
      <c r="B29" s="70"/>
      <c r="C29" s="70"/>
      <c r="D29" s="93"/>
      <c r="E29" s="93"/>
      <c r="F29" s="93"/>
      <c r="G29" s="93"/>
      <c r="H29" s="93"/>
      <c r="I29" s="93"/>
      <c r="J29" s="93"/>
      <c r="K29" s="93"/>
      <c r="L29" s="93"/>
      <c r="M29" s="93"/>
      <c r="N29" s="93"/>
      <c r="O29" s="86"/>
    </row>
    <row r="30" spans="1:15" ht="24.95" customHeight="1" thickBot="1" x14ac:dyDescent="0.35">
      <c r="A30" s="30"/>
      <c r="B30" s="50" t="s">
        <v>30</v>
      </c>
      <c r="C30" s="94" t="s">
        <v>37</v>
      </c>
      <c r="D30" s="94" t="s">
        <v>39</v>
      </c>
      <c r="E30" s="94" t="s">
        <v>41</v>
      </c>
      <c r="F30" s="94" t="s">
        <v>43</v>
      </c>
      <c r="G30" s="94" t="s">
        <v>45</v>
      </c>
      <c r="H30" s="94" t="s">
        <v>47</v>
      </c>
      <c r="I30" s="94" t="s">
        <v>49</v>
      </c>
      <c r="J30" s="94" t="s">
        <v>51</v>
      </c>
      <c r="K30" s="94" t="s">
        <v>55</v>
      </c>
      <c r="L30" s="94" t="s">
        <v>57</v>
      </c>
      <c r="M30" s="94" t="s">
        <v>60</v>
      </c>
      <c r="N30" s="94" t="s">
        <v>62</v>
      </c>
      <c r="O30" s="95" t="s">
        <v>63</v>
      </c>
    </row>
    <row r="31" spans="1:15" ht="24.95" customHeight="1" thickBot="1" x14ac:dyDescent="0.35">
      <c r="A31" s="30"/>
      <c r="B31" s="54" t="s">
        <v>31</v>
      </c>
      <c r="C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αγματικάΈξοδαΕκπαίδευσηςΚαιΜετακινήσεων[#Headers],0))</f>
        <v>400</v>
      </c>
      <c r="D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αγματικάΈξοδαΕκπαίδευσηςΚαιΜετακινήσεων[#Headers],0))</f>
        <v>-400</v>
      </c>
      <c r="E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αγματικάΈξοδαΕκπαίδευσηςΚαιΜετακινήσεων[#Headers],0))</f>
        <v>600</v>
      </c>
      <c r="F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αγματικάΈξοδαΕκπαίδευσηςΚαιΜετακινήσεων[#Headers],0))</f>
        <v>400</v>
      </c>
      <c r="G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αγματικάΈξοδαΕκπαίδευσηςΚαιΜετακινήσεων[#Headers],0))</f>
        <v>800</v>
      </c>
      <c r="H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αγματικάΈξοδαΕκπαίδευσηςΚαιΜετακινήσεων[#Headers],0))</f>
        <v>-800</v>
      </c>
      <c r="I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αγματικάΈξοδαΕκπαίδευσηςΚαιΜετακινήσεων[#Headers],0))</f>
        <v>2000</v>
      </c>
      <c r="J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αγματικάΈξοδαΕκπαίδευσηςΚαιΜετακινήσεων[#Headers],0))</f>
        <v>2000</v>
      </c>
      <c r="K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αγματικάΈξοδαΕκπαίδευσηςΚαιΜετακινήσεων[#Headers],0))</f>
        <v>2000</v>
      </c>
      <c r="L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αγματικάΈξοδαΕκπαίδευσηςΚαιΜετακινήσεων[#Headers],0))</f>
        <v>2000</v>
      </c>
      <c r="M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αγματικάΈξοδαΕκπαίδευσηςΚαιΜετακινήσεων[#Headers],0))</f>
        <v>2000</v>
      </c>
      <c r="N31"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αγματικάΈξοδαΕκπαίδευσηςΚαιΜετακινήσεων[#Headers],0))</f>
        <v>2000</v>
      </c>
      <c r="O31" s="98">
        <f>SUM(ΔιακυμάνσειςΕξόδωνΕκπαίδευσηςΚαιΜετακινήσεων[[#This Row],[Ιαν]:[Δεκ]])</f>
        <v>13000</v>
      </c>
    </row>
    <row r="32" spans="1:15" ht="24.95" customHeight="1" thickBot="1" x14ac:dyDescent="0.35">
      <c r="A32" s="30"/>
      <c r="B32" s="54" t="s">
        <v>32</v>
      </c>
      <c r="C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αν]]),1),INDEX(ΠρογραμματισμέναΈξοδαΕκπαίδευσηςΚαιΜετακινήσεων[],,1),0),MATCH(ΔιακυμάνσειςΕξόδωνΕκπαίδευσηςΚαιΜετακινήσεων[[#Headers],[Ιαν]],ΠραγματικάΈξοδαΕκπαίδευσηςΚαιΜετακινήσεων[#Headers],0))</f>
        <v>800</v>
      </c>
      <c r="D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Φεβ]]),1),INDEX(ΠρογραμματισμέναΈξοδαΕκπαίδευσηςΚαιΜετακινήσεων[],,1),0),MATCH(ΔιακυμάνσειςΕξόδωνΕκπαίδευσηςΚαιΜετακινήσεων[[#Headers],[Φεβ]],ΠραγματικάΈξοδαΕκπαίδευσηςΚαιΜετακινήσεων[#Headers],0))</f>
        <v>-200</v>
      </c>
      <c r="E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ρ]]),1),INDEX(ΠρογραμματισμέναΈξοδαΕκπαίδευσηςΚαιΜετακινήσεων[],,1),0),MATCH(ΔιακυμάνσειςΕξόδωνΕκπαίδευσηςΚαιΜετακινήσεων[[#Headers],[Μάρ]],ΠραγματικάΈξοδαΕκπαίδευσηςΚαιΜετακινήσεων[#Headers],0))</f>
        <v>600</v>
      </c>
      <c r="F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πρ]]),1),INDEX(ΠρογραμματισμέναΈξοδαΕκπαίδευσηςΚαιΜετακινήσεων[],,1),0),MATCH(ΔιακυμάνσειςΕξόδωνΕκπαίδευσηςΚαιΜετακινήσεων[[#Headers],[Απρ]],ΠραγματικάΈξοδαΕκπαίδευσηςΚαιΜετακινήσεων[#Headers],0))</f>
        <v>800</v>
      </c>
      <c r="G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Μάι]]),1),INDEX(ΠρογραμματισμέναΈξοδαΕκπαίδευσηςΚαιΜετακινήσεων[],,1),0),MATCH(ΔιακυμάνσειςΕξόδωνΕκπαίδευσηςΚαιΜετακινήσεων[[#Headers],[Μάι]],ΠραγματικάΈξοδαΕκπαίδευσηςΚαιΜετακινήσεων[#Headers],0))</f>
        <v>1200</v>
      </c>
      <c r="H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ν]]),1),INDEX(ΠρογραμματισμέναΈξοδαΕκπαίδευσηςΚαιΜετακινήσεων[],,1),0),MATCH(ΔιακυμάνσειςΕξόδωνΕκπαίδευσηςΚαιΜετακινήσεων[[#Headers],[Ιούν]],ΠραγματικάΈξοδαΕκπαίδευσηςΚαιΜετακινήσεων[#Headers],0))</f>
        <v>-1500</v>
      </c>
      <c r="I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Ιούλ]]),1),INDEX(ΠρογραμματισμέναΈξοδαΕκπαίδευσηςΚαιΜετακινήσεων[],,1),0),MATCH(ΔιακυμάνσειςΕξόδωνΕκπαίδευσηςΚαιΜετακινήσεων[[#Headers],[Ιούλ]],ΠραγματικάΈξοδαΕκπαίδευσηςΚαιΜετακινήσεων[#Headers],0))</f>
        <v>2000</v>
      </c>
      <c r="J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Αύγ]]),1),INDEX(ΠρογραμματισμέναΈξοδαΕκπαίδευσηςΚαιΜετακινήσεων[],,1),0),MATCH(ΔιακυμάνσειςΕξόδωνΕκπαίδευσηςΚαιΜετακινήσεων[[#Headers],[Αύγ]],ΠραγματικάΈξοδαΕκπαίδευσηςΚαιΜετακινήσεων[#Headers],0))</f>
        <v>2000</v>
      </c>
      <c r="K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Σεπ]]),1),INDEX(ΠρογραμματισμέναΈξοδαΕκπαίδευσηςΚαιΜετακινήσεων[],,1),0),MATCH(ΔιακυμάνσειςΕξόδωνΕκπαίδευσηςΚαιΜετακινήσεων[[#Headers],[Σεπ]],ΠραγματικάΈξοδαΕκπαίδευσηςΚαιΜετακινήσεων[#Headers],0))</f>
        <v>2000</v>
      </c>
      <c r="L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Οκτ]]),1),INDEX(ΠρογραμματισμέναΈξοδαΕκπαίδευσηςΚαιΜετακινήσεων[],,1),0),MATCH(ΔιακυμάνσειςΕξόδωνΕκπαίδευσηςΚαιΜετακινήσεων[[#Headers],[Οκτ]],ΠραγματικάΈξοδαΕκπαίδευσηςΚαιΜετακινήσεων[#Headers],0))</f>
        <v>2000</v>
      </c>
      <c r="M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Νοε]]),1),INDEX(ΠρογραμματισμέναΈξοδαΕκπαίδευσηςΚαιΜετακινήσεων[],,1),0),MATCH(ΔιακυμάνσειςΕξόδωνΕκπαίδευσηςΚαιΜετακινήσεων[[#Headers],[Νοε]],ΠραγματικάΈξοδαΕκπαίδευσηςΚαιΜετακινήσεων[#Headers],0))</f>
        <v>2000</v>
      </c>
      <c r="N32" s="97">
        <f>INDEX(Προγραμματισμένα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ογραμματισμέναΈξοδαΕκπαίδευσηςΚαιΜετακινήσεων[#Headers],0))-INDEX(ΠραγματικάΈξοδαΕκπαίδευσηςΚαιΜετακινήσεων[],MATCH(INDEX(ΔιακυμάνσειςΕξόδωνΕκπαίδευσηςΚαιΜετακινήσεων[],ROW()-ROW(ΔιακυμάνσειςΕξόδωνΕκπαίδευσηςΚαιΜετακινήσεων[[#Headers],[Δεκ]]),1),INDEX(ΠρογραμματισμέναΈξοδαΕκπαίδευσηςΚαιΜετακινήσεων[],,1),0),MATCH(ΔιακυμάνσειςΕξόδωνΕκπαίδευσηςΚαιΜετακινήσεων[[#Headers],[Δεκ]],ΠραγματικάΈξοδαΕκπαίδευσηςΚαιΜετακινήσεων[#Headers],0))</f>
        <v>2000</v>
      </c>
      <c r="O32" s="98">
        <f>SUM(ΔιακυμάνσειςΕξόδωνΕκπαίδευσηςΚαιΜετακινήσεων[[#This Row],[Ιαν]:[Δεκ]])</f>
        <v>13700</v>
      </c>
    </row>
    <row r="33" spans="1:15" ht="24.95" customHeight="1" x14ac:dyDescent="0.3">
      <c r="A33" s="30"/>
      <c r="B33" s="64" t="s">
        <v>13</v>
      </c>
      <c r="C33" s="106">
        <f>SUBTOTAL(109,ΔιακυμάνσειςΕξόδωνΕκπαίδευσηςΚαιΜετακινήσεων[Ιαν])</f>
        <v>1200</v>
      </c>
      <c r="D33" s="106">
        <f>SUBTOTAL(109,ΔιακυμάνσειςΕξόδωνΕκπαίδευσηςΚαιΜετακινήσεων[Φεβ])</f>
        <v>-600</v>
      </c>
      <c r="E33" s="106">
        <f>SUBTOTAL(109,ΔιακυμάνσειςΕξόδωνΕκπαίδευσηςΚαιΜετακινήσεων[Μάρ])</f>
        <v>1200</v>
      </c>
      <c r="F33" s="106">
        <f>SUBTOTAL(109,ΔιακυμάνσειςΕξόδωνΕκπαίδευσηςΚαιΜετακινήσεων[Απρ])</f>
        <v>1200</v>
      </c>
      <c r="G33" s="106">
        <f>SUBTOTAL(109,ΔιακυμάνσειςΕξόδωνΕκπαίδευσηςΚαιΜετακινήσεων[Μάι])</f>
        <v>2000</v>
      </c>
      <c r="H33" s="106">
        <f>SUBTOTAL(109,ΔιακυμάνσειςΕξόδωνΕκπαίδευσηςΚαιΜετακινήσεων[Ιούν])</f>
        <v>-2300</v>
      </c>
      <c r="I33" s="106">
        <f>SUBTOTAL(109,ΔιακυμάνσειςΕξόδωνΕκπαίδευσηςΚαιΜετακινήσεων[Ιούλ])</f>
        <v>4000</v>
      </c>
      <c r="J33" s="106">
        <f>SUBTOTAL(109,ΔιακυμάνσειςΕξόδωνΕκπαίδευσηςΚαιΜετακινήσεων[Αύγ])</f>
        <v>4000</v>
      </c>
      <c r="K33" s="106">
        <f>SUBTOTAL(109,ΔιακυμάνσειςΕξόδωνΕκπαίδευσηςΚαιΜετακινήσεων[Σεπ])</f>
        <v>4000</v>
      </c>
      <c r="L33" s="106">
        <f>SUBTOTAL(109,ΔιακυμάνσειςΕξόδωνΕκπαίδευσηςΚαιΜετακινήσεων[Οκτ])</f>
        <v>4000</v>
      </c>
      <c r="M33" s="106">
        <f>SUBTOTAL(109,ΔιακυμάνσειςΕξόδωνΕκπαίδευσηςΚαιΜετακινήσεων[Νοε])</f>
        <v>4000</v>
      </c>
      <c r="N33" s="106">
        <f>SUBTOTAL(109,ΔιακυμάνσειςΕξόδωνΕκπαίδευσηςΚαιΜετακινήσεων[Δεκ])</f>
        <v>4000</v>
      </c>
      <c r="O33" s="107">
        <f>SUBTOTAL(109,ΔιακυμάνσειςΕξόδωνΕκπαίδευσηςΚαιΜετακινήσεων[ΕΤΟΣ])</f>
        <v>26700</v>
      </c>
    </row>
    <row r="34" spans="1:15" ht="21" customHeight="1" x14ac:dyDescent="0.3">
      <c r="A34" s="30"/>
      <c r="B34" s="70"/>
      <c r="C34" s="70"/>
      <c r="D34" s="86"/>
      <c r="E34" s="86"/>
      <c r="F34" s="86"/>
      <c r="G34" s="86"/>
      <c r="H34" s="86"/>
      <c r="I34" s="86"/>
      <c r="J34" s="86"/>
      <c r="K34" s="86"/>
      <c r="L34" s="86"/>
      <c r="M34" s="86"/>
      <c r="N34" s="86"/>
      <c r="O34" s="86"/>
    </row>
    <row r="35" spans="1:15" ht="24.95" customHeight="1" thickBot="1" x14ac:dyDescent="0.35">
      <c r="A35" s="38"/>
      <c r="B35" s="9" t="s">
        <v>33</v>
      </c>
      <c r="C35" s="26" t="s">
        <v>37</v>
      </c>
      <c r="D35" s="26" t="s">
        <v>39</v>
      </c>
      <c r="E35" s="26" t="s">
        <v>41</v>
      </c>
      <c r="F35" s="26" t="s">
        <v>43</v>
      </c>
      <c r="G35" s="26" t="s">
        <v>45</v>
      </c>
      <c r="H35" s="26" t="s">
        <v>47</v>
      </c>
      <c r="I35" s="26" t="s">
        <v>49</v>
      </c>
      <c r="J35" s="26" t="s">
        <v>51</v>
      </c>
      <c r="K35" s="26" t="s">
        <v>55</v>
      </c>
      <c r="L35" s="26" t="s">
        <v>57</v>
      </c>
      <c r="M35" s="26" t="s">
        <v>60</v>
      </c>
      <c r="N35" s="26" t="s">
        <v>62</v>
      </c>
      <c r="O35" s="26" t="s">
        <v>64</v>
      </c>
    </row>
    <row r="36" spans="1:15" ht="24.95" customHeight="1" thickBot="1" x14ac:dyDescent="0.35">
      <c r="A36" s="30"/>
      <c r="B36" s="10" t="s">
        <v>67</v>
      </c>
      <c r="C36" s="117">
        <f>ΔιακυμάνσειςΕξόδωνΕκπαίδευσηςΚαιΜετακινήσεων[[#Totals],[Ιαν]]+ΔιακυμάνσειςΕξόδωνΜάρκετινγκ[[#Totals],[Ιαν]]+ΔιακυμάνσειςΕξόδωνΓραφείου[[#Totals],[Ιαν]]+ΔιακυμάνσειςΕξόδωνΥπαλλήλων[[#Totals],[Ιαν]]</f>
        <v>1738</v>
      </c>
      <c r="D36" s="117">
        <f>ΔιακυμάνσειςΕξόδωνΕκπαίδευσηςΚαιΜετακινήσεων[[#Totals],[Φεβ]]+ΔιακυμάνσειςΕξόδωνΜάρκετινγκ[[#Totals],[Φεβ]]+ΔιακυμάνσειςΕξόδωνΓραφείου[[#Totals],[Φεβ]]+ΔιακυμάνσειςΕξόδωνΥπαλλήλων[[#Totals],[Φεβ]]</f>
        <v>-984</v>
      </c>
      <c r="E36" s="117">
        <f>ΔιακυμάνσειςΕξόδωνΕκπαίδευσηςΚαιΜετακινήσεων[[#Totals],[Μάρ]]+ΔιακυμάνσειςΕξόδωνΜάρκετινγκ[[#Totals],[Μάρ]]+ΔιακυμάνσειςΕξόδωνΓραφείου[[#Totals],[Μάρ]]+ΔιακυμάνσειςΕξόδωνΥπαλλήλων[[#Totals],[Μάρ]]</f>
        <v>1255</v>
      </c>
      <c r="F36" s="117">
        <f>ΔιακυμάνσειςΕξόδωνΕκπαίδευσηςΚαιΜετακινήσεων[[#Totals],[Απρ]]+ΔιακυμάνσειςΕξόδωνΜάρκετινγκ[[#Totals],[Απρ]]+ΔιακυμάνσειςΕξόδωνΓραφείου[[#Totals],[Απρ]]+ΔιακυμάνσειςΕξόδωνΥπαλλήλων[[#Totals],[Απρ]]</f>
        <v>301</v>
      </c>
      <c r="G36" s="117">
        <f>ΔιακυμάνσειςΕξόδωνΕκπαίδευσηςΚαιΜετακινήσεων[[#Totals],[Μάι]]+ΔιακυμάνσειςΕξόδωνΜάρκετινγκ[[#Totals],[Μάι]]+ΔιακυμάνσειςΕξόδωνΓραφείου[[#Totals],[Μάι]]+ΔιακυμάνσειςΕξόδωνΥπαλλήλων[[#Totals],[Μάι]]</f>
        <v>1440</v>
      </c>
      <c r="H36" s="117">
        <f>ΔιακυμάνσειςΕξόδωνΕκπαίδευσηςΚαιΜετακινήσεων[[#Totals],[Ιούν]]+ΔιακυμάνσειςΕξόδωνΜάρκετινγκ[[#Totals],[Ιούν]]+ΔιακυμάνσειςΕξόδωνΓραφείου[[#Totals],[Ιούν]]+ΔιακυμάνσειςΕξόδωνΥπαλλήλων[[#Totals],[Ιούν]]</f>
        <v>-3744</v>
      </c>
      <c r="I36" s="117">
        <f>ΔιακυμάνσειςΕξόδωνΕκπαίδευσηςΚαιΜετακινήσεων[[#Totals],[Ιούλ]]+ΔιακυμάνσειςΕξόδωνΜάρκετινγκ[[#Totals],[Ιούλ]]+ΔιακυμάνσειςΕξόδωνΓραφείου[[#Totals],[Ιούλ]]+ΔιακυμάνσειςΕξόδωνΥπαλλήλων[[#Totals],[Ιούλ]]</f>
        <v>134695</v>
      </c>
      <c r="J36" s="117">
        <f>ΔιακυμάνσειςΕξόδωνΕκπαίδευσηςΚαιΜετακινήσεων[[#Totals],[Αύγ]]+ΔιακυμάνσειςΕξόδωνΜάρκετινγκ[[#Totals],[Αύγ]]+ΔιακυμάνσειςΕξόδωνΓραφείου[[#Totals],[Αύγ]]+ΔιακυμάνσειςΕξόδωνΥπαλλήλων[[#Totals],[Αύγ]]</f>
        <v>138918</v>
      </c>
      <c r="K36" s="117">
        <f>ΔιακυμάνσειςΕξόδωνΕκπαίδευσηςΚαιΜετακινήσεων[[#Totals],[Σεπ]]+ΔιακυμάνσειςΕξόδωνΜάρκετινγκ[[#Totals],[Σεπ]]+ΔιακυμάνσειςΕξόδωνΓραφείου[[#Totals],[Σεπ]]+ΔιακυμάνσειςΕξόδωνΥπαλλήλων[[#Totals],[Σεπ]]</f>
        <v>135918</v>
      </c>
      <c r="L36" s="117">
        <f>ΔιακυμάνσειςΕξόδωνΕκπαίδευσηςΚαιΜετακινήσεων[[#Totals],[Οκτ]]+ΔιακυμάνσειςΕξόδωνΜάρκετινγκ[[#Totals],[Οκτ]]+ΔιακυμάνσειςΕξόδωνΓραφείου[[#Totals],[Οκτ]]+ΔιακυμάνσειςΕξόδωνΥπαλλήλων[[#Totals],[Οκτ]]</f>
        <v>140918</v>
      </c>
      <c r="M36" s="117">
        <f>ΔιακυμάνσειςΕξόδωνΥπαλλήλων[[#Totals],[Νοέ]]+ΔιακυμάνσειςΕξόδωνΕκπαίδευσηςΚαιΜετακινήσεων[[#Totals],[Νοε]]+ΔιακυμάνσειςΕξόδωνΜάρκετινγκ[[#Totals],[Νοε]]+ΔιακυμάνσειςΕξόδωνΓραφείου[[#Totals],[Νοε]]</f>
        <v>136218</v>
      </c>
      <c r="N36" s="117">
        <f>ΔιακυμάνσειςΕξόδωνΕκπαίδευσηςΚαιΜετακινήσεων[[#Totals],[Δεκ]]+ΔιακυμάνσειςΕξόδωνΜάρκετινγκ[[#Totals],[Δεκ]]+ΔιακυμάνσειςΕξόδωνΓραφείου[[#Totals],[Δεκ]]+ΔιακυμάνσειςΕξόδωνΥπαλλήλων[[#Totals],[Δεκ]]</f>
        <v>140018</v>
      </c>
      <c r="O36" s="117">
        <f>ΔιακυμάνσειςΕξόδωνΕκπαίδευσηςΚαιΜετακινήσεων[[#Totals],[ΕΤΟΣ]]+ΔιακυμάνσειςΕξόδωνΜάρκετινγκ[[#Totals],[ΕΤΟΣ]]+ΔιακυμάνσειςΕξόδωνΓραφείου[[#Totals],[ΕΤΟΣ]]+ΔιακυμάνσειςΕξόδωνΥπαλλήλων[[#Totals],[ΕΤΟΣ]]</f>
        <v>826691</v>
      </c>
    </row>
    <row r="37" spans="1:15" ht="24.95" customHeight="1" thickBot="1" x14ac:dyDescent="0.35">
      <c r="A37" s="30"/>
      <c r="B37" s="10" t="s">
        <v>68</v>
      </c>
      <c r="C37" s="118">
        <f>SUM($C$36:C36)</f>
        <v>1738</v>
      </c>
      <c r="D37" s="118">
        <f>SUM($C$36:D36)</f>
        <v>754</v>
      </c>
      <c r="E37" s="118">
        <f>SUM($C$36:E36)</f>
        <v>2009</v>
      </c>
      <c r="F37" s="118">
        <f>SUM($C$36:F36)</f>
        <v>2310</v>
      </c>
      <c r="G37" s="118">
        <f>SUM($C$36:G36)</f>
        <v>3750</v>
      </c>
      <c r="H37" s="118">
        <f>SUM($C$36:H36)</f>
        <v>6</v>
      </c>
      <c r="I37" s="118">
        <f>SUM($C$36:I36)</f>
        <v>134701</v>
      </c>
      <c r="J37" s="118">
        <f>SUM($C$36:J36)</f>
        <v>273619</v>
      </c>
      <c r="K37" s="118">
        <f>SUM($C$36:K36)</f>
        <v>409537</v>
      </c>
      <c r="L37" s="118">
        <f>SUM($C$36:L36)</f>
        <v>550455</v>
      </c>
      <c r="M37" s="118">
        <f>SUM($C$36:M36)</f>
        <v>686673</v>
      </c>
      <c r="N37" s="118">
        <f>SUM($C$36:N36)</f>
        <v>826691</v>
      </c>
      <c r="O37" s="118"/>
    </row>
    <row r="38" spans="1:15" ht="21" customHeight="1" x14ac:dyDescent="0.3">
      <c r="A38" s="30"/>
      <c r="D38" s="11"/>
    </row>
  </sheetData>
  <mergeCells count="2">
    <mergeCell ref="K2:M2"/>
    <mergeCell ref="K3:M3"/>
  </mergeCells>
  <conditionalFormatting sqref="C6:O8">
    <cfRule type="cellIs" dxfId="160" priority="5" operator="lessThan">
      <formula>0</formula>
    </cfRule>
  </conditionalFormatting>
  <conditionalFormatting sqref="C11:O19">
    <cfRule type="cellIs" dxfId="159" priority="4" operator="lessThan">
      <formula>0</formula>
    </cfRule>
  </conditionalFormatting>
  <conditionalFormatting sqref="C22:O28">
    <cfRule type="cellIs" dxfId="158" priority="3" operator="lessThan">
      <formula>0</formula>
    </cfRule>
  </conditionalFormatting>
  <conditionalFormatting sqref="C31:O33">
    <cfRule type="cellIs" dxfId="157" priority="2" operator="lessThan">
      <formula>0</formula>
    </cfRule>
  </conditionalFormatting>
  <conditionalFormatting sqref="C36:O37">
    <cfRule type="cellIs" dxfId="156" priority="1" operator="lessThan">
      <formula>0</formula>
    </cfRule>
  </conditionalFormatting>
  <dataValidations count="10">
    <dataValidation allowBlank="1" showInputMessage="1" showErrorMessage="1" prompt="Σε αυτό το κελί βρίσκεται το σύμβολο κράτησης θέσης λογότυπου." sqref="N2" xr:uid="{37781601-5DCB-461E-AE37-039617AC3765}"/>
    <dataValidation allowBlank="1" showInputMessage="1" showErrorMessage="1" prompt="Η ετικέτα Διακύμανσης εξόδων βρίσκεται στο κελί στα δεξιά, οι μήνες στα κελιά C4 έως N4 και η ετικέτα του Έτους στο κελί Ο4." sqref="A4" xr:uid="{30EF6476-989C-4E19-8BDE-66AFC1B5F398}"/>
    <dataValidation allowBlank="1" showInputMessage="1" showErrorMessage="1" prompt="Η διακύμανση στα έξοδα υπαλλήλων υπολογίζεται αυτόματα στον πίνακα Διακυμάνσεων εξόδων υπαλλήλων που ξεκινά στο κελί στα δεξιά. Η επόμενη οδηγία βρίσκεται στο κελί Α10." sqref="A5" xr:uid="{839F8F2D-41ED-4FCE-836B-A98A823A57CC}"/>
    <dataValidation allowBlank="1" showInputMessage="1" showErrorMessage="1" prompt="Η διακύμανση στα έξοδα γραφείου υπολογίζεται αυτόματα στον πίνακα Διακυμάνσεων εξόδων γραφείου που ξεκινά στο κελί στα δεξιά. Η επόμενη οδηγία βρίσκεται στο κελί Α21." sqref="A10" xr:uid="{27073073-4E55-44AA-82CF-0E84E7DE56D1}"/>
    <dataValidation allowBlank="1" showInputMessage="1" showErrorMessage="1" prompt="Η διακύμανση στα έξοδα μάρκετινγκ υπολογίζεται αυτόματα στον πίνακα Διακυμάνσεων εξόδων μάρκετινγκ που ξεκινά στο κελί στα δεξιά. Η επόμενη οδηγία βρίσκεται στο κελί Α30." sqref="A21" xr:uid="{DE322E29-78F0-4CAC-A794-538FBE82A952}"/>
    <dataValidation allowBlank="1" showInputMessage="1" showErrorMessage="1" prompt="Η διακύμανση στα έξοδα εκπαίδευσης και μετακινήσεων υπολογίζεται αυτόματα στον πίνακα Διακυμάνσεων εξόδων εκπαίδευσης και μετακινήσεων που ξεκινά στο κελί στα δεξιά. Η επόμενη οδηγία βρίσκεται στο κελί Α35." sqref="A30" xr:uid="{E7DC2698-49F1-46FA-BC02-81CE67BF794B}"/>
    <dataValidation allowBlank="1" showInputMessage="1" showErrorMessage="1" prompt="Οι διακυμάνσεις εξόδων υπολογίζονται αυτόματα στον πίνακα Συνολικών διακυμάνσεων που ξεκινά στο κελί στα δεξιά." sqref="A35" xr:uid="{96167FAC-0878-4372-B9C2-FE529C7ABF6D}"/>
    <dataValidation allowBlank="1" showInputMessage="1" showErrorMessage="1" prompt="Εισαγάγετε τα προγραμματισμένα έξοδα υπαλλήλων, γραφείου, μάρκετινγκ, εκπαίδευσης ή μετακίνησης σε αντίστοιχους πίνακες. Τα σύνολα υπολογίζονται αυτόματα. Οδηγίες χρήσης του φύλλου εργασίας βρίσκονται σε αυτήν τη στήλη. Ξεκινήστε με το βέλος προς τα κάτω." sqref="A1" xr:uid="{C935014E-97FD-4DC5-8990-FFCC7A693081}"/>
    <dataValidation allowBlank="1" showInputMessage="1" showErrorMessage="1" prompt="Η επωνυμία της εταιρείας ενημερώνεται αυτόματα στο κελί στα δεξιά. Ο τίτλος αυτού του φύλλου εργασίας βρίσκεται στο κελί Κ2. Εισαγάγετε το λογότυπο στο κελί N2." sqref="A2" xr:uid="{ACC2090E-7A1F-4581-8E9B-5F88818E0C50}"/>
    <dataValidation allowBlank="1" showInputMessage="1" showErrorMessage="1" prompt="Στο κελί K3 βρίσκεται συμβουλή." sqref="A3" xr:uid="{6033F748-E9D5-4DE6-B824-555D5C6CA4CF}"/>
  </dataValidations>
  <pageMargins left="0.7" right="0.7" top="0.75" bottom="0.75" header="0.3" footer="0.3"/>
  <pageSetup paperSize="9" fitToHeight="0" orientation="portrait" r:id="rId1"/>
  <ignoredErrors>
    <ignoredError sqref="B2" emptyCellReference="1"/>
    <ignoredError sqref="C37:O37 C36:M36 N36:O36" calculatedColumn="1"/>
  </ignoredErrors>
  <drawing r:id="rId2"/>
  <tableParts count="5">
    <tablePart r:id="rId3"/>
    <tablePart r:id="rId4"/>
    <tablePart r:id="rId5"/>
    <tablePart r:id="rId6"/>
    <tablePart r:id="rId7"/>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sheetPr>
  <dimension ref="A1:P39"/>
  <sheetViews>
    <sheetView showGridLines="0" zoomScaleNormal="100" workbookViewId="0"/>
  </sheetViews>
  <sheetFormatPr defaultColWidth="9.140625" defaultRowHeight="18.75" x14ac:dyDescent="0.3"/>
  <cols>
    <col min="1" max="1" width="4.7109375" style="35" customWidth="1"/>
    <col min="2" max="2" width="26.28515625" style="2" customWidth="1"/>
    <col min="3" max="3" width="28" style="2" bestFit="1" customWidth="1"/>
    <col min="4" max="4" width="24.28515625" style="2" customWidth="1"/>
    <col min="5" max="5" width="23.28515625" style="2" customWidth="1"/>
    <col min="6" max="6" width="24.5703125" style="2" customWidth="1"/>
    <col min="7" max="7" width="4.7109375" style="1" customWidth="1"/>
    <col min="8" max="8" width="9" customWidth="1"/>
    <col min="9" max="16384" width="9.140625" style="2"/>
  </cols>
  <sheetData>
    <row r="1" spans="1:16" s="1" customFormat="1" ht="24" customHeight="1" x14ac:dyDescent="0.3">
      <c r="A1" s="32"/>
      <c r="B1" s="7"/>
      <c r="C1" s="7"/>
      <c r="D1" s="7"/>
      <c r="E1" s="4"/>
      <c r="F1" s="4"/>
      <c r="G1" s="53" t="s">
        <v>65</v>
      </c>
      <c r="I1"/>
      <c r="J1"/>
      <c r="K1"/>
      <c r="L1"/>
      <c r="M1"/>
      <c r="N1"/>
      <c r="O1"/>
      <c r="P1" t="s">
        <v>65</v>
      </c>
    </row>
    <row r="2" spans="1:16" s="1" customFormat="1" ht="45" customHeight="1" x14ac:dyDescent="0.35">
      <c r="A2" s="32"/>
      <c r="B2" s="72" t="str">
        <f>'ΠΡΟΓΡΑΜΜΑΤΙΣΜΕΝΑ ΕΞΟΔΑ'!B2:D3</f>
        <v>Επωνυμία εταιρείας</v>
      </c>
      <c r="C2" s="72"/>
      <c r="D2" s="72"/>
      <c r="E2" s="12"/>
      <c r="F2" s="74"/>
      <c r="G2" s="74"/>
      <c r="I2"/>
      <c r="J2"/>
      <c r="K2"/>
      <c r="L2"/>
      <c r="M2"/>
      <c r="N2"/>
      <c r="O2"/>
      <c r="P2"/>
    </row>
    <row r="3" spans="1:16" s="1" customFormat="1" ht="30" customHeight="1" x14ac:dyDescent="0.3">
      <c r="A3" s="32"/>
      <c r="B3" s="72"/>
      <c r="C3" s="72"/>
      <c r="D3" s="72"/>
      <c r="E3" s="126" t="str">
        <f>τίτλος_φύλλου_εργασίας</f>
        <v>Λεπτομερείς εκτιμήσεις εξόδων</v>
      </c>
      <c r="F3" s="126"/>
      <c r="G3" s="126"/>
      <c r="I3"/>
      <c r="J3"/>
      <c r="K3"/>
      <c r="L3"/>
      <c r="M3"/>
      <c r="N3"/>
      <c r="O3"/>
      <c r="P3"/>
    </row>
    <row r="4" spans="1:16" customFormat="1" ht="18.75" customHeight="1" x14ac:dyDescent="0.2">
      <c r="A4" s="24"/>
    </row>
    <row r="5" spans="1:16" ht="24.95" customHeight="1" thickBot="1" x14ac:dyDescent="0.35">
      <c r="A5" s="33"/>
      <c r="B5" s="13" t="s">
        <v>70</v>
      </c>
      <c r="C5" s="14" t="s">
        <v>71</v>
      </c>
      <c r="D5" s="15" t="s">
        <v>72</v>
      </c>
      <c r="E5" s="13" t="s">
        <v>73</v>
      </c>
      <c r="F5" s="16" t="s">
        <v>74</v>
      </c>
      <c r="G5" s="8"/>
      <c r="I5"/>
      <c r="J5"/>
      <c r="K5"/>
      <c r="L5"/>
      <c r="M5"/>
      <c r="N5"/>
      <c r="O5"/>
      <c r="P5"/>
    </row>
    <row r="6" spans="1:16" ht="24.95" customHeight="1" thickBot="1" x14ac:dyDescent="0.35">
      <c r="A6" s="34"/>
      <c r="B6" s="65" t="s">
        <v>10</v>
      </c>
      <c r="C6" s="119">
        <f>ΠρογραμματισμέναΈξοδαΥπαλλήλων[[#Totals],[ΕΤΟΣ]]</f>
        <v>1355090</v>
      </c>
      <c r="D6" s="119">
        <f>ΠραγματικάΈξοδαΥπαλλήλων[[#Totals],[ΕΤΟΣ]]</f>
        <v>659130</v>
      </c>
      <c r="E6" s="119">
        <f>C6-D6</f>
        <v>695960</v>
      </c>
      <c r="F6" s="18">
        <f>E6/C6</f>
        <v>0.5135895032802249</v>
      </c>
    </row>
    <row r="7" spans="1:16" ht="24.95" customHeight="1" thickBot="1" x14ac:dyDescent="0.35">
      <c r="A7" s="33"/>
      <c r="B7" s="65" t="str">
        <f>'ΠΡΟΓΡΑΜΜΑΤΙΣΜΕΝΑ ΕΞΟΔΑ'!B10</f>
        <v>Έξοδα γραφείου</v>
      </c>
      <c r="C7" s="119">
        <f>ΠρογραμματισμέναΈξοδαΓραφείου[[#Totals],[ΕΤΟΣ]]</f>
        <v>138740</v>
      </c>
      <c r="D7" s="119">
        <f>ΠραγματικάΈξοδαΓραφείου[[#Totals],[ΕΤΟΣ]]</f>
        <v>69350</v>
      </c>
      <c r="E7" s="119">
        <f>C7-D7</f>
        <v>69390</v>
      </c>
      <c r="F7" s="18">
        <f>E7/C7</f>
        <v>0.50014415453366012</v>
      </c>
    </row>
    <row r="8" spans="1:16" ht="24.95" customHeight="1" thickBot="1" x14ac:dyDescent="0.35">
      <c r="A8" s="33"/>
      <c r="B8" s="17" t="str">
        <f>'ΠΡΟΓΡΑΜΜΑΤΙΣΜΕΝΑ ΕΞΟΔΑ'!B21</f>
        <v>Έξοδα μάρκετινγκ</v>
      </c>
      <c r="C8" s="119">
        <f>ΠρογραμματισμέναΈξοδαΜάρκετινγκ[[#Totals],[ΕΤΟΣ]]</f>
        <v>67800</v>
      </c>
      <c r="D8" s="119">
        <f>ΠραγματικάΈξοδαΜάρκετινγκ[[#Totals],[ΕΤΟΣ]]</f>
        <v>33159</v>
      </c>
      <c r="E8" s="119">
        <f>C8-D8</f>
        <v>34641</v>
      </c>
      <c r="F8" s="18">
        <f>E8/C8</f>
        <v>0.51092920353982296</v>
      </c>
    </row>
    <row r="9" spans="1:16" ht="24.95" customHeight="1" thickBot="1" x14ac:dyDescent="0.35">
      <c r="A9" s="33"/>
      <c r="B9" s="17" t="str">
        <f>'ΠΡΟΓΡΑΜΜΑΤΙΣΜΕΝΑ ΕΞΟΔΑ'!B30</f>
        <v>Εκπαίδευση/Ταξίδια</v>
      </c>
      <c r="C9" s="119">
        <f>ΠρογραμματισμέναΈξοδαΕκπαίδευσηςΚαιΜετακινήσεων[[#Totals],[ΕΤΟΣ]]</f>
        <v>48000</v>
      </c>
      <c r="D9" s="119">
        <f>ΠραγματικάΈξοδαΕκπαίδευσηςΚαιΜετακινήσεων[[#Totals],[ΕΤΟΣ]]</f>
        <v>21300</v>
      </c>
      <c r="E9" s="119">
        <f>C9-D9</f>
        <v>26700</v>
      </c>
      <c r="F9" s="18">
        <f>E9/C9</f>
        <v>0.55625000000000002</v>
      </c>
    </row>
    <row r="10" spans="1:16" ht="24.95" customHeight="1" x14ac:dyDescent="0.3">
      <c r="A10" s="33"/>
      <c r="B10" s="36" t="str">
        <f>'ΠΡΟΓΡΑΜΜΑΤΙΣΜΕΝΑ ΕΞΟΔΑ'!B35</f>
        <v>ΣΥΝΟΛΑ</v>
      </c>
      <c r="C10" s="120">
        <f>'ΠΡΟΓΡΑΜΜΑΤΙΣΜΕΝΑ ΕΞΟΔΑ'!O36</f>
        <v>1609630</v>
      </c>
      <c r="D10" s="120">
        <f>'ΠΡΑΓΜΑΤΙΚΑ ΕΞΟΔΑ'!O36</f>
        <v>782939</v>
      </c>
      <c r="E10" s="120">
        <f>C10-D10</f>
        <v>826691</v>
      </c>
      <c r="F10" s="37">
        <f>E10/C10</f>
        <v>0.51359070096854553</v>
      </c>
    </row>
    <row r="11" spans="1:16" x14ac:dyDescent="0.3">
      <c r="A11" s="33"/>
      <c r="B11" s="67"/>
      <c r="C11" s="75"/>
      <c r="D11" s="75"/>
      <c r="E11" s="75"/>
      <c r="F11" s="3"/>
    </row>
    <row r="12" spans="1:16" ht="300" customHeight="1" x14ac:dyDescent="0.3">
      <c r="A12" s="33"/>
      <c r="B12" s="127"/>
      <c r="C12" s="127"/>
      <c r="D12" s="127"/>
      <c r="E12" s="127"/>
      <c r="F12" s="127"/>
      <c r="G12"/>
    </row>
    <row r="13" spans="1:16" ht="18.75" customHeight="1" x14ac:dyDescent="0.3">
      <c r="A13" s="33"/>
      <c r="B13" s="68"/>
    </row>
    <row r="14" spans="1:16" x14ac:dyDescent="0.3">
      <c r="A14" s="33"/>
      <c r="B14" s="68"/>
      <c r="C14" s="71"/>
      <c r="D14" s="71"/>
      <c r="E14" s="71"/>
      <c r="F14" s="71"/>
    </row>
    <row r="15" spans="1:16" x14ac:dyDescent="0.3">
      <c r="A15" s="33"/>
      <c r="B15" s="68"/>
      <c r="C15" s="71"/>
      <c r="D15" s="71"/>
      <c r="E15" s="71"/>
      <c r="F15" s="71"/>
    </row>
    <row r="16" spans="1:16" x14ac:dyDescent="0.3">
      <c r="A16" s="33"/>
      <c r="B16" s="68"/>
      <c r="C16" s="71"/>
      <c r="D16" s="71"/>
      <c r="E16" s="71"/>
      <c r="F16" s="71"/>
    </row>
    <row r="17" spans="1:6" x14ac:dyDescent="0.3">
      <c r="A17" s="33"/>
      <c r="B17" s="68"/>
      <c r="C17" s="71"/>
      <c r="D17" s="71"/>
      <c r="E17" s="71"/>
      <c r="F17" s="71"/>
    </row>
    <row r="18" spans="1:6" x14ac:dyDescent="0.3">
      <c r="A18" s="33"/>
      <c r="B18" s="68"/>
      <c r="C18" s="71"/>
      <c r="D18" s="71"/>
      <c r="E18" s="71"/>
      <c r="F18" s="71"/>
    </row>
    <row r="19" spans="1:6" x14ac:dyDescent="0.3">
      <c r="A19" s="33"/>
      <c r="B19" s="71"/>
      <c r="C19" s="71"/>
      <c r="D19" s="71"/>
      <c r="E19" s="71"/>
      <c r="F19" s="71"/>
    </row>
    <row r="20" spans="1:6" x14ac:dyDescent="0.3">
      <c r="A20" s="33"/>
      <c r="B20" s="71"/>
      <c r="C20" s="71"/>
      <c r="D20" s="71"/>
      <c r="E20" s="71"/>
      <c r="F20" s="71"/>
    </row>
    <row r="21" spans="1:6" x14ac:dyDescent="0.3">
      <c r="A21" s="33"/>
      <c r="B21" s="71"/>
      <c r="C21" s="71"/>
      <c r="D21" s="71"/>
      <c r="E21" s="71"/>
      <c r="F21" s="71"/>
    </row>
    <row r="22" spans="1:6" x14ac:dyDescent="0.3">
      <c r="A22" s="33"/>
      <c r="B22" s="68"/>
      <c r="C22" s="71"/>
      <c r="D22" s="71"/>
      <c r="E22" s="71"/>
      <c r="F22" s="71"/>
    </row>
    <row r="23" spans="1:6" x14ac:dyDescent="0.3">
      <c r="A23" s="33"/>
      <c r="B23" s="68"/>
      <c r="C23" s="71"/>
      <c r="D23" s="71"/>
      <c r="E23" s="71"/>
      <c r="F23" s="71"/>
    </row>
    <row r="24" spans="1:6" x14ac:dyDescent="0.3">
      <c r="A24" s="33"/>
      <c r="B24" s="68"/>
      <c r="C24" s="71"/>
      <c r="D24" s="71"/>
      <c r="E24" s="71"/>
      <c r="F24" s="71"/>
    </row>
    <row r="25" spans="1:6" x14ac:dyDescent="0.3">
      <c r="A25" s="33"/>
      <c r="B25" s="68"/>
      <c r="C25" s="71"/>
      <c r="D25" s="71"/>
      <c r="E25" s="71"/>
      <c r="F25" s="71"/>
    </row>
    <row r="26" spans="1:6" x14ac:dyDescent="0.3">
      <c r="A26" s="33"/>
      <c r="B26" s="68"/>
      <c r="C26" s="71"/>
      <c r="D26" s="71"/>
      <c r="E26" s="71"/>
      <c r="F26" s="71"/>
    </row>
    <row r="27" spans="1:6" x14ac:dyDescent="0.3">
      <c r="A27" s="33"/>
      <c r="B27" s="68"/>
      <c r="C27" s="71"/>
      <c r="D27" s="71"/>
      <c r="E27" s="71"/>
      <c r="F27" s="71"/>
    </row>
    <row r="28" spans="1:6" x14ac:dyDescent="0.3">
      <c r="A28" s="33"/>
      <c r="B28" s="71"/>
      <c r="C28" s="71"/>
      <c r="D28" s="71"/>
      <c r="E28" s="71"/>
      <c r="F28" s="71"/>
    </row>
    <row r="29" spans="1:6" x14ac:dyDescent="0.3">
      <c r="A29" s="33"/>
      <c r="B29" s="71"/>
      <c r="C29" s="71"/>
      <c r="D29" s="71"/>
      <c r="E29" s="71"/>
      <c r="F29" s="71"/>
    </row>
    <row r="30" spans="1:6" x14ac:dyDescent="0.3">
      <c r="A30" s="33"/>
      <c r="B30" s="71"/>
      <c r="C30" s="71"/>
      <c r="D30" s="71"/>
      <c r="E30" s="71"/>
      <c r="F30" s="71"/>
    </row>
    <row r="31" spans="1:6" x14ac:dyDescent="0.3">
      <c r="A31" s="33"/>
      <c r="B31" s="68"/>
      <c r="C31" s="71"/>
      <c r="D31" s="71"/>
      <c r="E31" s="71"/>
      <c r="F31" s="71"/>
    </row>
    <row r="32" spans="1:6" x14ac:dyDescent="0.3">
      <c r="A32" s="33"/>
      <c r="B32" s="68"/>
      <c r="C32" s="71"/>
      <c r="D32" s="71"/>
      <c r="E32" s="71"/>
      <c r="F32" s="71"/>
    </row>
    <row r="33" spans="1:6" x14ac:dyDescent="0.3">
      <c r="A33" s="33"/>
      <c r="B33" s="71"/>
      <c r="C33" s="71"/>
      <c r="D33" s="71"/>
      <c r="E33" s="71"/>
      <c r="F33" s="71"/>
    </row>
    <row r="34" spans="1:6" x14ac:dyDescent="0.3">
      <c r="A34" s="33"/>
      <c r="B34" s="71"/>
      <c r="C34" s="71"/>
      <c r="D34" s="71"/>
      <c r="E34" s="71"/>
      <c r="F34" s="71"/>
    </row>
    <row r="35" spans="1:6" x14ac:dyDescent="0.3">
      <c r="A35" s="33"/>
      <c r="B35" s="71"/>
      <c r="C35" s="71"/>
      <c r="D35" s="71"/>
      <c r="E35" s="71"/>
      <c r="F35" s="71"/>
    </row>
    <row r="36" spans="1:6" x14ac:dyDescent="0.3">
      <c r="A36" s="33"/>
      <c r="B36" s="73"/>
      <c r="C36" s="71"/>
      <c r="D36" s="71"/>
      <c r="E36" s="71"/>
      <c r="F36" s="71"/>
    </row>
    <row r="37" spans="1:6" x14ac:dyDescent="0.3">
      <c r="A37" s="33"/>
      <c r="B37" s="73"/>
      <c r="C37" s="71"/>
      <c r="D37" s="71"/>
      <c r="E37" s="71"/>
      <c r="F37" s="71"/>
    </row>
    <row r="38" spans="1:6" x14ac:dyDescent="0.3">
      <c r="A38" s="33"/>
    </row>
    <row r="39" spans="1:6" x14ac:dyDescent="0.3">
      <c r="A39" s="33"/>
    </row>
  </sheetData>
  <mergeCells count="2">
    <mergeCell ref="E3:G3"/>
    <mergeCell ref="B12:F12"/>
  </mergeCells>
  <dataValidations count="8">
    <dataValidation allowBlank="1" showInputMessage="1" showErrorMessage="1" prompt="Σε αυτό το κελί βρίσκεται το γράφημα πίτας που εμφανίζει τα προγραμματισμένα έξοδα σε διάφορες κατηγορίες." sqref="B12:F12" xr:uid="{B2131E0D-FC0E-41E0-A823-1146E5092945}"/>
    <dataValidation allowBlank="1" showInputMessage="1" showErrorMessage="1" prompt="Τα ετήσια προγραμματισμένα και πραγματικά έξοδα, οι διακυμάνσεις εξόδων και το ποσοστό διακύμανσης ενημερώνονται αυτόματα για κάθε κατηγορία εξόδων. Οδηγίες χρήσης του φύλλου εργασίας βρίσκονται σε αυτήν τη στήλη. Ξεκινήστε με το βέλος προς τα κάτω." sqref="A1" xr:uid="{2B6B986C-CF09-4535-B287-5D9961D543F9}"/>
    <dataValidation allowBlank="1" showInputMessage="1" showErrorMessage="1" prompt="Η επωνυμία της εταιρείας ενημερώνεται αυτόματα στο κελί στα δεξιά. Εισαγάγετε το λογότυπο στο κελί F2." sqref="A2" xr:uid="{54F690A8-E3B2-49FE-B037-4CB57E2B08A1}"/>
    <dataValidation allowBlank="1" showInputMessage="1" showErrorMessage="1" prompt="Ο τίτλος αυτού του φύλλου εργασίας βρίσκεται στο κελί E3. Η επόμενη οδηγία βρίσκεται στο κελί A5." sqref="A3" xr:uid="{FED07153-5704-491F-BD0F-28D4A0F15619}"/>
    <dataValidation allowBlank="1" showInputMessage="1" showErrorMessage="1" prompt="Τα προγραμματισμένα έξοδα, τα πραγματικά έξοδα, η διακύμανση εξόδων και το ποσοστό διακύμανσης υπολογίζονται αυτόματα στον πίνακα Ανάλυσης που ξεκινά στο κελί στα δεξιά. Η επόμενη οδηγία βρίσκεται στο κελί A12." sqref="A5" xr:uid="{17A4F301-0551-4056-B357-1FCC3532C5BE}"/>
    <dataValidation allowBlank="1" showInputMessage="1" showErrorMessage="1" prompt="Το γράφημα πίτας προγραμματισμένων εξόδων βρίσκεται στο κελί στα δεξιά και το γράφημα πίτας πραγματικών εξόδων στο κελί D12. Η επόμενη οδηγία βρίσκεται στο κελί A14." sqref="A12" xr:uid="{FE13E92D-A1BA-4BB9-9C16-0CDEB5285C6E}"/>
    <dataValidation allowBlank="1" showInputMessage="1" showErrorMessage="1" prompt="Το γράφημα που εμφανίζει τα προγραμματισμένα έξοδα, τα πραγματικά έξοδα και τη διακύμανση στα μηνιαία έξοδα βρίσκεται στο κελί στα δεξιά." sqref="A14" xr:uid="{A5F374DB-643C-44A4-B534-F79A39786B80}"/>
    <dataValidation allowBlank="1" showInputMessage="1" showErrorMessage="1" prompt="Σε αυτό το κελί βρίσκεται το σύμβολο κράτησης θέσης λογότυπου." sqref="F2:G2" xr:uid="{831A4984-168B-4337-BAEA-80B7246F2962}"/>
  </dataValidations>
  <pageMargins left="0.7" right="0.7" top="0.75" bottom="0.75" header="0.3" footer="0.3"/>
  <pageSetup paperSize="9" orientation="portrait" r:id="rId1"/>
  <ignoredErrors>
    <ignoredError sqref="B2"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69CB1A22-CE44-4532-A0DB-84194B783BC7}">
  <ds:schemaRefs>
    <ds:schemaRef ds:uri="http://schemas.microsoft.com/sharepoint/v3/contenttype/forms"/>
  </ds:schemaRefs>
</ds:datastoreItem>
</file>

<file path=customXml/itemProps22.xml><?xml version="1.0" encoding="utf-8"?>
<ds:datastoreItem xmlns:ds="http://schemas.openxmlformats.org/officeDocument/2006/customXml" ds:itemID="{153F0F1A-F818-48F9-BE67-B9DBEFF91A6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7C5DBCFF-B01D-443B-958D-5BBBD3E2E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TM04035489</ap:Template>
  <ap:DocSecurity>0</ap:DocSecurity>
  <ap:ScaleCrop>false</ap:ScaleCrop>
  <ap:HeadingPairs>
    <vt:vector baseType="variant" size="4">
      <vt:variant>
        <vt:lpstr>Worksheets</vt:lpstr>
      </vt:variant>
      <vt:variant>
        <vt:i4>5</vt:i4>
      </vt:variant>
      <vt:variant>
        <vt:lpstr>Named Ranges</vt:lpstr>
      </vt:variant>
      <vt:variant>
        <vt:i4>1</vt:i4>
      </vt:variant>
    </vt:vector>
  </ap:HeadingPairs>
  <ap:TitlesOfParts>
    <vt:vector baseType="lpstr" size="6">
      <vt:lpstr>ΕΝΑΡΞΗ</vt:lpstr>
      <vt:lpstr>ΠΡΟΓΡΑΜΜΑΤΙΣΜΕΝΑ ΕΞΟΔΑ</vt:lpstr>
      <vt:lpstr>ΠΡΑΓΜΑΤΙΚΑ ΕΞΟΔΑ</vt:lpstr>
      <vt:lpstr>ΔΙΑΚΥΜΑΝΣΕΙΣ ΕΞΟΔΩΝ</vt:lpstr>
      <vt:lpstr>ΑΝΑΛΥΣΗ ΕΞΟΔΩΝ</vt:lpstr>
      <vt:lpstr>τίτλος_φύλλου_εργασίας</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2022-02-14T06:36:37Z</dcterms:created>
  <dcterms:modified xsi:type="dcterms:W3CDTF">2022-05-25T08:55:19Z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