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vml" ContentType="application/vnd.openxmlformats-officedocument.vmlDrawing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41.xml" ContentType="application/vnd.openxmlformats-officedocument.spreadsheetml.table+xml"/>
  <Override PartName="/xl/tables/table92.xml" ContentType="application/vnd.openxmlformats-officedocument.spreadsheetml.table+xml"/>
  <Override PartName="/xl/tables/table33.xml" ContentType="application/vnd.openxmlformats-officedocument.spreadsheetml.table+xml"/>
  <Override PartName="/xl/tables/table84.xml" ContentType="application/vnd.openxmlformats-officedocument.spreadsheetml.table+xml"/>
  <Override PartName="/xl/drawings/drawing11.xml" ContentType="application/vnd.openxmlformats-officedocument.drawing+xml"/>
  <Override PartName="/xl/tables/table125.xml" ContentType="application/vnd.openxmlformats-officedocument.spreadsheetml.table+xml"/>
  <Override PartName="/xl/tables/table26.xml" ContentType="application/vnd.openxmlformats-officedocument.spreadsheetml.table+xml"/>
  <Override PartName="/xl/tables/table77.xml" ContentType="application/vnd.openxmlformats-officedocument.spreadsheetml.table+xml"/>
  <Override PartName="/xl/tables/table18.xml" ContentType="application/vnd.openxmlformats-officedocument.spreadsheetml.table+xml"/>
  <Override PartName="/xl/tables/table119.xml" ContentType="application/vnd.openxmlformats-officedocument.spreadsheetml.table+xml"/>
  <Override PartName="/xl/tables/table610.xml" ContentType="application/vnd.openxmlformats-officedocument.spreadsheetml.table+xml"/>
  <Override PartName="/xl/ctrlProps/ctrlProp1.xml" ContentType="application/vnd.ms-excel.controlproperties+xml"/>
  <Override PartName="/xl/tables/table511.xml" ContentType="application/vnd.openxmlformats-officedocument.spreadsheetml.table+xml"/>
  <Override PartName="/xl/tables/table10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autoCompressPictures="0"/>
  <xr:revisionPtr revIDLastSave="5" documentId="13_ncr:1_{C35A71B1-BCBE-4D59-B71A-4E29238B8C1B}" xr6:coauthVersionLast="47" xr6:coauthVersionMax="47" xr10:uidLastSave="{D0769DF0-EE1A-4F20-A7FA-2192B5CED5C7}"/>
  <bookViews>
    <workbookView xWindow="-120" yWindow="-120" windowWidth="28050" windowHeight="15465" xr2:uid="{00000000-000D-0000-FFFF-FFFF00000000}"/>
  </bookViews>
  <sheets>
    <sheet name="Začátek" sheetId="2" r:id="rId1"/>
    <sheet name="Roční kalendář" sheetId="1" r:id="rId2"/>
  </sheets>
  <definedNames>
    <definedName name="Ne1Bře">DATE(RokKalendáře,3,1)-WEEKDAY(DATE(RokKalendáře,3,1))+1</definedName>
    <definedName name="Ne1Čer">DATE(RokKalendáře,6,1)-WEEKDAY(DATE(RokKalendáře,6,1))+1</definedName>
    <definedName name="Ne1Čvc">DATE(RokKalendáře,7,1)-WEEKDAY(DATE(RokKalendáře,7,1))+1</definedName>
    <definedName name="Ne1Dub">DATE(RokKalendáře,4,1)-WEEKDAY(DATE(RokKalendáře,4,1))+1</definedName>
    <definedName name="Ne1Kvě">DATE(RokKalendáře,5,1)-WEEKDAY(DATE(RokKalendáře,5,1))+1</definedName>
    <definedName name="Ne1Led">DATE(RokKalendáře,1,1)-WEEKDAY(DATE(RokKalendáře,1,1))+1</definedName>
    <definedName name="Ne1Lis">DATE(RokKalendáře,11,1)-WEEKDAY(DATE(RokKalendáře,11,1))+1</definedName>
    <definedName name="Ne1Pro">DATE(RokKalendáře,12,1)-WEEKDAY(DATE(RokKalendáře,12,1))+1</definedName>
    <definedName name="Ne1Říj">DATE(RokKalendáře,10,1)-WEEKDAY(DATE(RokKalendáře,10,1))+1</definedName>
    <definedName name="Ne1Srp">DATE(RokKalendáře,8,1)-WEEKDAY(DATE(RokKalendáře,8,1))+1</definedName>
    <definedName name="Ne1Úno">DATE(RokKalendáře,2,1)-WEEKDAY(DATE(RokKalendáře,2,1))+1</definedName>
    <definedName name="Ne1Zář">DATE(RokKalendáře,9,1)-WEEKDAY(DATE(RokKalendáře,9,1))+1</definedName>
    <definedName name="_xlnm.Print_Area" localSheetId="1">'Roční kalendář'!$B$1:$W$55</definedName>
    <definedName name="RokKalendáře">'Roční kalendář'!$C$1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<sst xmlns="http://schemas.openxmlformats.org/spreadsheetml/2006/main" count="135" uniqueCount="58">
  <si>
    <t>INFORMACE O TÉTO ŠABLONĚ</t>
  </si>
  <si>
    <t>Tato šablona slouží k vytvoření osobního kalendáře pro malou firmu na libovolný rok.</t>
  </si>
  <si>
    <t>Vyplňte název společnosti a kontakty a přidejte logo společnosti.</t>
  </si>
  <si>
    <t>Vyberte rok a zadejte důležitá data a příležitosti.</t>
  </si>
  <si>
    <t>Poznámka: </t>
  </si>
  <si>
    <t xml:space="preserve">Další pokyny jsou k dispozici na listu ROČNÍ KALENDÁŘ ve sloupci A. Tento text je záměrně skrytý. Pokud ho chcete odebrat, vyberte sloupec A a stiskněte klávesu DELETE. </t>
  </si>
  <si>
    <t>Další informace o tabulkách můžete získat tak, že v tabulce stisknete klávesy SHIFT a F10, vyberete možnost TABULKA a pak vyberete ALTERNATIVNÍ TEXT.</t>
  </si>
  <si>
    <t>V tomto listu můžete vytvořit kalendář pro malou firmu na libovolný rok. V buňkách v tomto sloupci jsou užitečné pokyny k tomu, jak tento list používat. Vyberte číselník v buňce vpravo pro změnu roku v buňce C1. V buňce U1 je popisek Důležitá data.</t>
  </si>
  <si>
    <t>V buňce napravo je k dispozici tip.</t>
  </si>
  <si>
    <t>Vybraný roční kalendář je v buňkách C3 až Q55, lednový kalendář je v buňkách C4 až I10 a únorový kalendář je v buňkách K4 až Q10. Popisek Leden je v buňce C3 a Únor v buňce K3. V buňkách U3 až U42 zadejte důležitá data a příležitosti.</t>
  </si>
  <si>
    <t>Tabulka lednového kalendáře je v buňkách C4 až I10 a tabulka únorového kalendáře je v buňkách K4 až Q10. Další pokyn je v buňce A12.</t>
  </si>
  <si>
    <t>Popisek Březen je v buňce C12 a Duben v buňce K12.</t>
  </si>
  <si>
    <t>Tabulka březnového kalendáře je v buňkách C13 až I19 a tabulka dubnového kalendáře v buňkách K13 až Q19. Další pokyn je v buňce A21.</t>
  </si>
  <si>
    <t>Popisek Květen je v buňce C21 a Červen v buňce K21.</t>
  </si>
  <si>
    <t>Tabulka květnového kalendáře je v buňkách C22 až I28 a tabulka červnového kalendáře v buňkách K22 až Q28. Další pokyn je v buňce A30.</t>
  </si>
  <si>
    <t>Popisek Červenec je v buňce C30 a Srpen v buňce K30.</t>
  </si>
  <si>
    <t>Tabulka červencového kalendáře je v buňkách C31 až I37 a tabulka srpnového kalendáře v buňkách K31 až Q37. Další pokyn je v buňce A39.</t>
  </si>
  <si>
    <t>Popisek Září je v buňce C39 a Říjen v buňce K39.</t>
  </si>
  <si>
    <t>Tabulka zářijového kalendáře je v buňkách C40 až I46 a tabulka říjnového kalendáře v buňkách K40 až Q46. Další pokyn je v buňce A44.</t>
  </si>
  <si>
    <t>Do buňky U44 zadejte ulici a číslo domu.</t>
  </si>
  <si>
    <t>Do buňky U45 zadejte město a PSČ. Další pokyn je v buňce A47.</t>
  </si>
  <si>
    <t>Do buňky U47 zadejte telefonní číslo společnosti.</t>
  </si>
  <si>
    <t>Popisek Listopad je v buňce C48 a Prosinec v buňce K48. Do buňky U48 zadejte e-mailovou adresu.</t>
  </si>
  <si>
    <t>Tabulka listopadového kalendáře je v buňkách C49 až I55 a tabulka prosincového kalendáře v buňkách K49 až Q55. Další pokyn je v buňce A51.</t>
  </si>
  <si>
    <t>Do buňky U51 přidejte logo společnosti.</t>
  </si>
  <si>
    <t>Pomocí číselníku můžete změnit kalendářní rok.</t>
  </si>
  <si>
    <t>LEDEN</t>
  </si>
  <si>
    <t>PO</t>
  </si>
  <si>
    <t>BŘEZEN</t>
  </si>
  <si>
    <t>KVĚTEN</t>
  </si>
  <si>
    <t>ČERVENEC</t>
  </si>
  <si>
    <t>ZÁŘÍ</t>
  </si>
  <si>
    <t>LISTOPAD</t>
  </si>
  <si>
    <t>ÚT</t>
  </si>
  <si>
    <t>ST</t>
  </si>
  <si>
    <t>ČT</t>
  </si>
  <si>
    <t>PÁ</t>
  </si>
  <si>
    <t>SO</t>
  </si>
  <si>
    <t>NE</t>
  </si>
  <si>
    <t>ÚNOR</t>
  </si>
  <si>
    <t>DUBEN</t>
  </si>
  <si>
    <t>ČERVEN</t>
  </si>
  <si>
    <t>SRPEN</t>
  </si>
  <si>
    <t>ŘÍJEN</t>
  </si>
  <si>
    <t>PROSINEC</t>
  </si>
  <si>
    <t>DŮLEŽITÁ DATA</t>
  </si>
  <si>
    <t>1. LEDNA</t>
  </si>
  <si>
    <t>NOVÝ ROK</t>
  </si>
  <si>
    <t>14. ÚNORA</t>
  </si>
  <si>
    <t>VALENTÝN</t>
  </si>
  <si>
    <t>22. ÚNORA</t>
  </si>
  <si>
    <t>DEN OTEVŘENÝCH DVEŘÍ</t>
  </si>
  <si>
    <t>Ulice a číslo domu</t>
  </si>
  <si>
    <t>PSČ a město</t>
  </si>
  <si>
    <t>Telefon</t>
  </si>
  <si>
    <t>E-mail</t>
  </si>
  <si>
    <t>Webové stránky</t>
  </si>
  <si>
    <t>V této buňce je zástupný symbol loga.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</si>
</sst>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dd"/>
  </numFmts>
  <fonts count="38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8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0" fillId="0" borderId="2" applyNumberFormat="0" applyFill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5" applyNumberFormat="0" applyAlignment="0" applyProtection="0"/>
    <xf numFmtId="0" fontId="31" fillId="8" borderId="6" applyNumberFormat="0" applyAlignment="0" applyProtection="0"/>
    <xf numFmtId="0" fontId="32" fillId="8" borderId="5" applyNumberFormat="0" applyAlignment="0" applyProtection="0"/>
    <xf numFmtId="0" fontId="33" fillId="0" borderId="7" applyNumberFormat="0" applyFill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23" fillId="10" borderId="9" applyNumberFormat="0" applyFont="0" applyAlignment="0" applyProtection="0"/>
    <xf numFmtId="0" fontId="3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2" borderId="0" xfId="0" applyFill="1"/>
    <xf numFmtId="49" fontId="0" fillId="0" borderId="0" xfId="0" applyNumberFormat="1"/>
    <xf numFmtId="49" fontId="12" fillId="0" borderId="0" xfId="0" applyNumberFormat="1" applyFont="1"/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left"/>
    </xf>
    <xf numFmtId="0" fontId="11" fillId="0" borderId="0" xfId="0" applyFont="1"/>
    <xf numFmtId="49" fontId="14" fillId="0" borderId="0" xfId="0" applyNumberFormat="1" applyFont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49" fontId="17" fillId="0" borderId="1" xfId="0" applyNumberFormat="1" applyFont="1" applyBorder="1"/>
    <xf numFmtId="49" fontId="17" fillId="0" borderId="0" xfId="0" applyNumberFormat="1" applyFont="1"/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2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wrapText="1"/>
    </xf>
    <xf numFmtId="166" fontId="3" fillId="0" borderId="0" xfId="0" applyNumberFormat="1" applyFont="1" applyAlignment="1">
      <alignment vertical="center"/>
    </xf>
    <xf numFmtId="166" fontId="0" fillId="0" borderId="0" xfId="0" applyNumberFormat="1"/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indent="2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2" borderId="0" xfId="0" applyNumberFormat="1" applyFill="1"/>
    <xf numFmtId="167" fontId="0" fillId="0" borderId="0" xfId="0" applyNumberFormat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166" fontId="0" fillId="0" borderId="0" xfId="0" applyNumberFormat="1" applyAlignment="1">
      <alignment horizontal="center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2" builtinId="3" customBuiltin="1"/>
    <cellStyle name="Čárky bez des. míst" xfId="3" builtinId="6" customBuiltin="1"/>
    <cellStyle name="Kontrolní buňka" xfId="18" builtinId="23" customBuiltin="1"/>
    <cellStyle name="Měna" xfId="4" builtinId="4" customBuiltin="1"/>
    <cellStyle name="Měny bez des. míst" xfId="5" builtinId="7" customBuiltin="1"/>
    <cellStyle name="Nadpis 1" xfId="8" builtinId="16" customBuiltin="1"/>
    <cellStyle name="Nadpis 2" xfId="1" builtinId="17" customBuiltin="1"/>
    <cellStyle name="Nadpis 3" xfId="9" builtinId="18" customBuiltin="1"/>
    <cellStyle name="Nadpis 4" xfId="10" builtinId="19" customBuiltin="1"/>
    <cellStyle name="Název" xfId="7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6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7" formatCode="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trlProps/ctrlProp1.xml><?xml version="1.0" encoding="utf-8"?>
<formControlPr xmlns="http://schemas.microsoft.com/office/spreadsheetml/2009/9/main" objectType="Spin" dx="16" fmlaLink="$C$1" max="2999" min="1900" page="10" val="2022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43.jpg" Id="rId2" /><Relationship Type="http://schemas.openxmlformats.org/officeDocument/2006/relationships/image" Target="/xl/media/image34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isty" descr="Šest listů umístěných po dvojicích a samostatně v různých vzdálenostech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Číselník" descr="Use the spinner button to change calendar year or enter year in cell C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Zástupný symbol loga pro přidání loga společnost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0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33229B8-1B88-4F1F-8FB4-DD09863B6B21}" name="Duben" displayName="Duben" ref="K13:Q19" totalsRowShown="0" headerRowDxfId="26" dataDxfId="25">
  <autoFilter ref="K13:Q19" xr:uid="{023AAA8B-599D-4DD7-9B47-299A3FFC00C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3A3BA78-F866-4F30-BC39-936CFAEA815A}" name="PO" dataDxfId="24"/>
    <tableColumn id="2" xr3:uid="{0254C3C1-F1BB-40F1-A18F-21E91977EE53}" name="ÚT" dataDxfId="23"/>
    <tableColumn id="3" xr3:uid="{C7755A12-A0CC-4F60-93D4-C919836CA309}" name="ST" dataDxfId="22"/>
    <tableColumn id="4" xr3:uid="{82522450-2E91-46D3-B3E7-1AAB18C97CE5}" name="ČT" dataDxfId="21"/>
    <tableColumn id="5" xr3:uid="{DFACDB8E-BE59-41D9-9E8B-38AB9BA5A92B}" name="PÁ" dataDxfId="20"/>
    <tableColumn id="6" xr3:uid="{64B8503A-65D1-4534-A8A1-DAE95B900A45}" name="SO" dataDxfId="19"/>
    <tableColumn id="7" xr3:uid="{65CD88A0-3D5F-46A0-8B33-E2CF40A9104A}" name="NE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Duben v této tabulce se automaticky aktualizuje názvy a daty pracovních dnů."/>
    </ext>
  </extLst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A2AE65F-4F5F-4539-A5DC-D2140139BCE6}" name="Únor" displayName="Únor" ref="K4:Q10" totalsRowShown="0" headerRowDxfId="17" dataDxfId="16">
  <autoFilter ref="K4:Q10" xr:uid="{610DCB61-C9D8-4072-96BD-2D669E0FAB8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C4C6C16-204E-44D5-B098-C9D229366098}" name="PO" dataDxfId="15"/>
    <tableColumn id="2" xr3:uid="{C6CD5C6F-CF91-4F35-B84B-AD12AA5267FB}" name="ÚT" dataDxfId="14"/>
    <tableColumn id="3" xr3:uid="{9BDA20AF-BB53-48D1-A451-57268ED65452}" name="ST" dataDxfId="13"/>
    <tableColumn id="4" xr3:uid="{3404FDF8-ACC1-45AC-8414-A54CCAEE5983}" name="ČT" dataDxfId="12"/>
    <tableColumn id="5" xr3:uid="{B0CA7D5E-4DA5-48D4-9D32-CCEBB2B7C1D4}" name="PÁ" dataDxfId="11"/>
    <tableColumn id="6" xr3:uid="{0C197BE0-3C8D-4A05-9555-54A2049E1930}" name="SO" dataDxfId="10"/>
    <tableColumn id="7" xr3:uid="{9637FE45-D42A-4BDA-BFC9-5691C984419E}" name="NE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Únor v této tabulce se automaticky aktualizuje názvy a daty pracovních dnů. "/>
    </ext>
  </extLst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8AED6C3-3B40-48D6-848F-ECF430F4B778}" name="Leden" displayName="Leden" ref="C4:I10" totalsRowShown="0" headerRowDxfId="8" dataDxfId="7">
  <autoFilter ref="C4:I10" xr:uid="{88568651-C9EB-4E22-ADF8-AF307D60FB1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D08E625-E389-49CD-A4F1-235667DDA1FB}" name="PO" dataDxfId="6"/>
    <tableColumn id="2" xr3:uid="{75530CFD-B4AD-4D7F-B600-AAB405F13F73}" name="ÚT" dataDxfId="5"/>
    <tableColumn id="3" xr3:uid="{FBE5DEA2-935E-4CDB-8F4B-6DA495232F54}" name="ST" dataDxfId="4"/>
    <tableColumn id="4" xr3:uid="{C3545009-9649-4B2D-9DF4-38AA968488C7}" name="ČT" dataDxfId="3"/>
    <tableColumn id="5" xr3:uid="{66242A36-16C2-4785-B8BE-E7522FB57E7F}" name="PÁ" dataDxfId="2"/>
    <tableColumn id="6" xr3:uid="{0C7FC9B3-E733-414B-918A-07CAC4D1424B}" name="SO" dataDxfId="1"/>
    <tableColumn id="7" xr3:uid="{A966067F-058A-45AC-B3F6-BDEA651BC587}" name="NE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Leden v této tabulce se automaticky aktualizuje názvy a daty pracovních dnů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6EB45C-792F-4720-AFFA-4773EA34D50B}" name="Září" displayName="Září" ref="C40:I46" totalsRowShown="0" headerRowDxfId="107" dataDxfId="106">
  <autoFilter ref="C40:I46" xr:uid="{7BD4247D-A8C8-4AE6-828F-1130997D9BB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EE42E89-928C-4C22-A961-7E885A45822D}" name="PO" dataDxfId="105"/>
    <tableColumn id="2" xr3:uid="{AC077B57-4B5B-44D9-B680-1542FAA47835}" name="ÚT" dataDxfId="104"/>
    <tableColumn id="3" xr3:uid="{26C6390A-ED56-4389-921B-E823E3B142FA}" name="ST" dataDxfId="103"/>
    <tableColumn id="4" xr3:uid="{6297A621-248D-4715-936B-3C7C8FAC9F73}" name="ČT" dataDxfId="102"/>
    <tableColumn id="5" xr3:uid="{65439D0F-0987-4361-AACE-888F0AD02F41}" name="PÁ" dataDxfId="101"/>
    <tableColumn id="6" xr3:uid="{001F5D5B-2CE2-4830-B87A-47310907E17B}" name="SO" dataDxfId="100"/>
    <tableColumn id="7" xr3:uid="{92559195-CB73-43D5-AD89-B537C8DAFB16}" name="NE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Září v této tabulce se automaticky aktualizuje názvy a daty pracovních dnů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780AF45-5D0B-4D82-A104-EC33AB3AAABC}" name="Říjen" displayName="Říjen" ref="K40:Q46" totalsRowShown="0" headerRowDxfId="98" dataDxfId="97">
  <autoFilter ref="K40:Q46" xr:uid="{F5C87179-9167-449C-9551-AE5292621A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E83FF77-4BE3-4402-B310-F79BA1795D6B}" name="PO" dataDxfId="96"/>
    <tableColumn id="2" xr3:uid="{BC214BD9-B1AA-437E-9F2A-96512D1FC1EF}" name="ÚT" dataDxfId="95"/>
    <tableColumn id="3" xr3:uid="{DEF1622E-55E3-4D12-BCF7-2C2AD5CA979E}" name="ST" dataDxfId="94"/>
    <tableColumn id="4" xr3:uid="{F867F210-9EED-4C0D-8B37-DA1447D6A197}" name="ČT" dataDxfId="93"/>
    <tableColumn id="5" xr3:uid="{CE9078E8-C980-4A0A-A8D3-2FD8424176E3}" name="PÁ" dataDxfId="92"/>
    <tableColumn id="6" xr3:uid="{515CFAB1-C4A6-417A-9486-443828202D84}" name="SO" dataDxfId="91"/>
    <tableColumn id="7" xr3:uid="{4B8E7248-85D1-4C1F-B418-3B6A982A7CFB}" name="NE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Říjen v této tabulce se automaticky aktualizuje názvy a daty pracovních dnů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A8A860-1B1C-477C-8F5B-037CA6D60998}" name="Prosinec" displayName="Prosinec" ref="K49:Q55" totalsRowShown="0" headerRowDxfId="89" dataDxfId="88">
  <autoFilter ref="K49:Q55" xr:uid="{AE48E127-E30D-4A27-8551-E2A886E83C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7048C4D-C2DF-46BD-A5C9-B2C096C9FB62}" name="PO" dataDxfId="87"/>
    <tableColumn id="2" xr3:uid="{0B2EF454-81AB-4D52-AA3C-B690EE44D185}" name="ÚT" dataDxfId="86"/>
    <tableColumn id="3" xr3:uid="{330729B5-C644-4537-822D-A57AA2A6AFCB}" name="ST" dataDxfId="85"/>
    <tableColumn id="4" xr3:uid="{B075B448-2CB0-4CF8-8793-E5F852FB6BF4}" name="ČT" dataDxfId="84"/>
    <tableColumn id="5" xr3:uid="{3DD95F2E-3155-449D-8E77-13FA75DB345D}" name="PÁ" dataDxfId="83"/>
    <tableColumn id="6" xr3:uid="{14159A6B-D249-4320-B25E-77E7CE8A7B70}" name="SO" dataDxfId="82"/>
    <tableColumn id="7" xr3:uid="{120B0F7F-66B4-43D6-A5A0-273402CB3A21}" name="NE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Prosinec v této tabulce se automaticky aktualizuje názvy a daty pracovních dnů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D967C8-7081-403B-BA98-B9E5AE58E7CA}" name="Listopad" displayName="Listopad" ref="C49:I55" totalsRowShown="0" headerRowDxfId="80" dataDxfId="79">
  <autoFilter ref="C49:I55" xr:uid="{18BAEB8B-DB52-4501-B02D-A0E4349FAC3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91C006-42BC-4E2D-BF6A-BE6F37B8B800}" name="PO" dataDxfId="78"/>
    <tableColumn id="2" xr3:uid="{1938D43D-8FD5-4C3A-BBDE-168F7D05611A}" name="ÚT" dataDxfId="77"/>
    <tableColumn id="3" xr3:uid="{4842CF04-FF41-4DB4-969F-4FF7FB3902A6}" name="ST" dataDxfId="76"/>
    <tableColumn id="4" xr3:uid="{E599A265-8BBA-452F-8721-124F4941D44A}" name="ČT" dataDxfId="75"/>
    <tableColumn id="5" xr3:uid="{503B45A2-4B8C-40CA-A557-BE247E21EBE0}" name="PÁ" dataDxfId="74"/>
    <tableColumn id="6" xr3:uid="{11596C05-FA11-4530-A6EA-61D3235356BC}" name="SO" dataDxfId="73"/>
    <tableColumn id="7" xr3:uid="{0AEE3C18-6495-4572-AF73-82B176FF576D}" name="NE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Listopad v této tabulce se automaticky aktualizuje názvy a daty pracovních dnů."/>
    </ext>
  </extLst>
</table>
</file>

<file path=xl/tables/table5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93C1060-32D3-4798-8C5C-D8EC60209D45}" name="Srpen" displayName="Srpen" ref="K31:Q37" totalsRowShown="0" headerRowDxfId="71" dataDxfId="70">
  <autoFilter ref="K31:Q37" xr:uid="{BF200729-0103-4A7A-9F1A-8C896181E4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37ACFF2-D98C-4302-A4DC-B2CD7F51DBCB}" name="PO" dataDxfId="69"/>
    <tableColumn id="2" xr3:uid="{2ADFD18E-73CF-40C6-9E7E-AC4C740BC59D}" name="ÚT" dataDxfId="68"/>
    <tableColumn id="3" xr3:uid="{BBC74DA7-83A6-4D91-BF4B-5F328BDDADC6}" name="ST" dataDxfId="67"/>
    <tableColumn id="4" xr3:uid="{8C330E47-2E4D-412E-815A-0394E6AE9382}" name="ČT" dataDxfId="66"/>
    <tableColumn id="5" xr3:uid="{7DE51A02-5E8E-45A2-8DAD-8BCA97881B5B}" name="PÁ" dataDxfId="65"/>
    <tableColumn id="6" xr3:uid="{F1DBB649-6704-4D40-9CEA-DF15F983A06C}" name="SO" dataDxfId="64"/>
    <tableColumn id="7" xr3:uid="{51A41C29-8B84-44D3-9FBF-8CFD330AE630}" name="NE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Srpen v této tabulce se automaticky aktualizuje názvy a daty pracovních dnů."/>
    </ext>
  </extLst>
</table>
</file>

<file path=xl/tables/table6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F34819D-AB97-4F99-A0A0-D10139D84156}" name="Červenec" displayName="Červenec" ref="C31:I37" totalsRowShown="0" headerRowDxfId="62" dataDxfId="61">
  <autoFilter ref="C31:I37" xr:uid="{CE87FFBF-56D6-414D-8F19-D541DDAC9D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AC3573E-5603-40F0-BB61-A49AC0DCDC68}" name="PO" dataDxfId="60"/>
    <tableColumn id="2" xr3:uid="{568E5AFD-291F-45CA-83FA-D2B689223DA6}" name="ÚT" dataDxfId="59"/>
    <tableColumn id="3" xr3:uid="{C8C03194-1D08-49BA-A13F-C8057F21DCFD}" name="ST" dataDxfId="58"/>
    <tableColumn id="4" xr3:uid="{FA9F7A80-5142-4B66-A4DB-DD0C92AD12F8}" name="ČT" dataDxfId="57"/>
    <tableColumn id="5" xr3:uid="{B161F7ED-ED60-4234-A636-5B7151552BEE}" name="PÁ" dataDxfId="56"/>
    <tableColumn id="6" xr3:uid="{B35D3CFE-C366-4BB1-8DB2-4AA956526C0F}" name="SO" dataDxfId="55"/>
    <tableColumn id="7" xr3:uid="{AE059A51-FD33-4417-8D42-3C2CFA91888E}" name="NE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Červenec v této tabulce se automaticky aktualizuje názvy a daty pracovních dnů."/>
    </ext>
  </extLst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B9987B7-53E6-4450-8C9D-39A47FFE4134}" name="Červen" displayName="Červen" ref="K22:Q28" totalsRowShown="0" headerRowDxfId="53" dataDxfId="52">
  <autoFilter ref="K22:Q28" xr:uid="{7057847F-74B8-4861-B2F4-DF1BEFB360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B86102EA-1BCA-43D2-BF1B-CDC69B4F8D11}" name="PO" dataDxfId="51"/>
    <tableColumn id="2" xr3:uid="{C194C86A-B8C3-4374-966A-22BFA0B87048}" name="ÚT" dataDxfId="50"/>
    <tableColumn id="3" xr3:uid="{59B5196A-9902-475A-80A7-EFF51EFA062C}" name="ST" dataDxfId="49"/>
    <tableColumn id="4" xr3:uid="{40178AF9-C419-4535-8950-10F3AF777975}" name="ČT" dataDxfId="48"/>
    <tableColumn id="5" xr3:uid="{BDB3553D-E653-45F5-90BF-B9941CEE517B}" name="PÁ" dataDxfId="47"/>
    <tableColumn id="6" xr3:uid="{C391E899-8C56-4F85-BC13-979EA10FF077}" name="SO" dataDxfId="46"/>
    <tableColumn id="7" xr3:uid="{AF6B7E0C-93D9-4615-ABA0-6086AA3DDB65}" name="NE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Červen v této tabulce se automaticky aktualizuje názvy a daty pracovních dnů.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7944E7C-9B8A-4194-B034-46E5D0A26219}" name="Květen" displayName="Květen" ref="C22:I28" totalsRowShown="0" headerRowDxfId="44" dataDxfId="43">
  <autoFilter ref="C22:I28" xr:uid="{B526D7A0-2417-4315-B717-973C3BE43D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6AE9DEF-4B20-42DF-860F-E5FEA1931544}" name="PO" dataDxfId="42"/>
    <tableColumn id="2" xr3:uid="{0D18FAF9-1362-4AF0-B56F-782045BC6DB7}" name="ÚT" dataDxfId="41"/>
    <tableColumn id="3" xr3:uid="{8FBCF9B5-6CA8-4EB0-9DF9-D8F0F6F9C6BC}" name="ST" dataDxfId="40"/>
    <tableColumn id="4" xr3:uid="{4F7F0F7F-47CD-4FF1-9E35-1B24099D080C}" name="ČT" dataDxfId="39"/>
    <tableColumn id="5" xr3:uid="{DF92B16F-6BC5-4BDE-98FB-CDC534ADD668}" name="PÁ" dataDxfId="38"/>
    <tableColumn id="6" xr3:uid="{D029CFB9-380E-45BB-8A4B-FA3072C21946}" name="SO" dataDxfId="37"/>
    <tableColumn id="7" xr3:uid="{478495E3-4C1A-4928-9264-BB651B96552E}" name="NE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Květen v této tabulce se automaticky aktualizuje názvy a daty pracovních dnů."/>
    </ext>
  </extLst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B45672E-D812-4A32-A068-364BB71226F2}" name="Březen" displayName="Březen" ref="C13:I19" totalsRowShown="0" headerRowDxfId="35" dataDxfId="34">
  <autoFilter ref="C13:I19" xr:uid="{AF600F25-0571-4E74-8055-BF9579FE3A8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55D00B5-F11C-4847-A168-315955A9AFBB}" name="PO" dataDxfId="33"/>
    <tableColumn id="2" xr3:uid="{DD8FDA0B-3E4D-4BE5-ABD0-6A4A10D7346F}" name="ÚT" dataDxfId="32"/>
    <tableColumn id="3" xr3:uid="{525A03B4-FE60-4320-8824-28642BB0B1ED}" name="ST" dataDxfId="31"/>
    <tableColumn id="4" xr3:uid="{AFB9B421-9871-4103-9D22-CD1267615538}" name="ČT" dataDxfId="30"/>
    <tableColumn id="5" xr3:uid="{F3F809D4-B280-4CB6-AD4F-5694D0CD7653}" name="PÁ" dataDxfId="29"/>
    <tableColumn id="6" xr3:uid="{43B35C36-7B34-4608-8FC7-292BFAB1A110}" name="SO" dataDxfId="28"/>
    <tableColumn id="7" xr3:uid="{2A162B00-2D10-4072-99A5-4D8A31ECAC84}" name="NE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Kalendář Březen v této tabulce se automaticky aktualizuje názvy a daty pracovních dnů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2.jpeg" Id="rId2" /><Relationship Type="http://schemas.openxmlformats.org/officeDocument/2006/relationships/image" Target="/xl/media/image12.jpeg" Id="rId1" /></Relationships>
</file>

<file path=xl/theme/theme1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41.xml" Id="rId8" /><Relationship Type="http://schemas.openxmlformats.org/officeDocument/2006/relationships/table" Target="/xl/tables/table92.xml" Id="rId13" /><Relationship Type="http://schemas.openxmlformats.org/officeDocument/2006/relationships/vmlDrawing" Target="/xl/drawings/vmlDrawing1.vml" Id="rId3" /><Relationship Type="http://schemas.openxmlformats.org/officeDocument/2006/relationships/table" Target="/xl/tables/table33.xml" Id="rId7" /><Relationship Type="http://schemas.openxmlformats.org/officeDocument/2006/relationships/table" Target="/xl/tables/table84.xml" Id="rId12" /><Relationship Type="http://schemas.openxmlformats.org/officeDocument/2006/relationships/drawing" Target="/xl/drawings/drawing11.xml" Id="rId2" /><Relationship Type="http://schemas.openxmlformats.org/officeDocument/2006/relationships/table" Target="/xl/tables/table125.xml" Id="rId16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6.xml" Id="rId6" /><Relationship Type="http://schemas.openxmlformats.org/officeDocument/2006/relationships/table" Target="/xl/tables/table77.xml" Id="rId11" /><Relationship Type="http://schemas.openxmlformats.org/officeDocument/2006/relationships/table" Target="/xl/tables/table18.xml" Id="rId5" /><Relationship Type="http://schemas.openxmlformats.org/officeDocument/2006/relationships/table" Target="/xl/tables/table119.xml" Id="rId15" /><Relationship Type="http://schemas.openxmlformats.org/officeDocument/2006/relationships/table" Target="/xl/tables/table610.xml" Id="rId10" /><Relationship Type="http://schemas.openxmlformats.org/officeDocument/2006/relationships/ctrlProp" Target="/xl/ctrlProps/ctrlProp1.xml" Id="rId4" /><Relationship Type="http://schemas.openxmlformats.org/officeDocument/2006/relationships/table" Target="/xl/tables/table511.xml" Id="rId9" /><Relationship Type="http://schemas.openxmlformats.org/officeDocument/2006/relationships/table" Target="/xl/tables/table10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67F1-E720-4B76-B254-0DA3BCA662D8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2.83203125" style="22" customWidth="1"/>
    <col min="3" max="3" width="2.83203125" customWidth="1"/>
  </cols>
  <sheetData>
    <row r="1" spans="2:2" ht="30" customHeight="1" x14ac:dyDescent="0.2">
      <c r="B1" s="19" t="s">
        <v>0</v>
      </c>
    </row>
    <row r="2" spans="2:2" ht="30" customHeight="1" x14ac:dyDescent="0.2">
      <c r="B2" s="18" t="s">
        <v>1</v>
      </c>
    </row>
    <row r="3" spans="2:2" ht="30" customHeight="1" x14ac:dyDescent="0.2">
      <c r="B3" s="18" t="s">
        <v>2</v>
      </c>
    </row>
    <row r="4" spans="2:2" ht="30" customHeight="1" x14ac:dyDescent="0.2">
      <c r="B4" s="18" t="s">
        <v>3</v>
      </c>
    </row>
    <row r="5" spans="2:2" ht="30" customHeight="1" x14ac:dyDescent="0.25">
      <c r="B5" s="21" t="s">
        <v>4</v>
      </c>
    </row>
    <row r="6" spans="2:2" ht="65.25" customHeight="1" x14ac:dyDescent="0.2">
      <c r="B6" s="26" t="s">
        <v>5</v>
      </c>
    </row>
    <row r="7" spans="2:2" ht="30" x14ac:dyDescent="0.2">
      <c r="B7" s="20" t="s">
        <v>6</v>
      </c>
    </row>
    <row r="8" spans="2:2" ht="15" x14ac:dyDescent="0.2">
      <c r="B8" s="1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O69"/>
  <sheetViews>
    <sheetView showGridLines="0" zoomScaleNormal="100" workbookViewId="0"/>
  </sheetViews>
  <sheetFormatPr defaultColWidth="9.5" defaultRowHeight="11.25" x14ac:dyDescent="0.2"/>
  <cols>
    <col min="1" max="1" width="2.5" style="25" customWidth="1"/>
    <col min="2" max="2" width="5.1640625" customWidth="1"/>
    <col min="3" max="3" width="6.83203125" customWidth="1"/>
    <col min="4" max="4" width="7.6640625" customWidth="1"/>
    <col min="5" max="5" width="6.5" customWidth="1"/>
    <col min="6" max="6" width="7.33203125" customWidth="1"/>
    <col min="7" max="7" width="6.83203125" customWidth="1"/>
    <col min="8" max="8" width="6" customWidth="1"/>
    <col min="9" max="9" width="6.5" customWidth="1"/>
    <col min="10" max="11" width="5" customWidth="1"/>
    <col min="12" max="12" width="5.33203125" customWidth="1"/>
    <col min="13" max="13" width="5" customWidth="1"/>
    <col min="14" max="14" width="5.33203125" customWidth="1"/>
    <col min="15" max="15" width="5.5" customWidth="1"/>
    <col min="16" max="16" width="5" customWidth="1"/>
    <col min="17" max="17" width="5.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41" ht="30" customHeight="1" x14ac:dyDescent="0.2">
      <c r="A1" s="23" t="s">
        <v>7</v>
      </c>
      <c r="B1" s="10"/>
      <c r="C1" s="32">
        <v>2022</v>
      </c>
      <c r="D1" s="32"/>
      <c r="E1" s="32"/>
      <c r="F1" s="32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"/>
      <c r="T1" s="10"/>
      <c r="U1" s="13" t="s">
        <v>45</v>
      </c>
      <c r="V1" s="10"/>
      <c r="W1" s="10"/>
    </row>
    <row r="2" spans="1:41" ht="15" customHeight="1" x14ac:dyDescent="0.2">
      <c r="A2" s="24" t="s">
        <v>8</v>
      </c>
      <c r="B2" s="27" t="s">
        <v>25</v>
      </c>
      <c r="C2" s="27"/>
      <c r="D2" s="27"/>
      <c r="E2" s="27"/>
      <c r="F2" s="27"/>
      <c r="G2" s="27"/>
      <c r="H2" s="27"/>
      <c r="I2" s="27"/>
      <c r="J2" s="27"/>
      <c r="S2" s="3"/>
    </row>
    <row r="3" spans="1:41" ht="15" customHeight="1" x14ac:dyDescent="0.25">
      <c r="A3" s="25" t="s">
        <v>9</v>
      </c>
      <c r="C3" s="33" t="s">
        <v>26</v>
      </c>
      <c r="D3" s="33"/>
      <c r="E3" s="33"/>
      <c r="F3" s="33"/>
      <c r="G3" s="33"/>
      <c r="H3" s="33"/>
      <c r="I3" s="33"/>
      <c r="J3" s="2"/>
      <c r="K3" s="34" t="s">
        <v>39</v>
      </c>
      <c r="L3" s="34"/>
      <c r="M3" s="34"/>
      <c r="N3" s="34"/>
      <c r="O3" s="34"/>
      <c r="P3" s="34"/>
      <c r="Q3" s="34"/>
      <c r="S3" s="3"/>
      <c r="U3" s="16" t="s">
        <v>46</v>
      </c>
      <c r="V3" s="1"/>
      <c r="W3" s="1"/>
    </row>
    <row r="4" spans="1:41" ht="15" customHeight="1" x14ac:dyDescent="0.2">
      <c r="A4" s="24" t="s">
        <v>10</v>
      </c>
      <c r="C4" s="17" t="s">
        <v>27</v>
      </c>
      <c r="D4" s="17" t="s">
        <v>33</v>
      </c>
      <c r="E4" s="17" t="s">
        <v>34</v>
      </c>
      <c r="F4" s="17" t="s">
        <v>35</v>
      </c>
      <c r="G4" s="17" t="s">
        <v>36</v>
      </c>
      <c r="H4" s="17" t="s">
        <v>37</v>
      </c>
      <c r="I4" s="17" t="s">
        <v>38</v>
      </c>
      <c r="J4" s="1"/>
      <c r="K4" s="17" t="s">
        <v>27</v>
      </c>
      <c r="L4" s="17" t="s">
        <v>33</v>
      </c>
      <c r="M4" s="17" t="s">
        <v>34</v>
      </c>
      <c r="N4" s="17" t="s">
        <v>35</v>
      </c>
      <c r="O4" s="17" t="s">
        <v>36</v>
      </c>
      <c r="P4" s="17" t="s">
        <v>37</v>
      </c>
      <c r="Q4" s="17" t="s">
        <v>38</v>
      </c>
      <c r="S4" s="3"/>
      <c r="U4" s="9" t="s">
        <v>47</v>
      </c>
      <c r="V4" s="1"/>
      <c r="W4" s="1"/>
    </row>
    <row r="5" spans="1:41" ht="15" customHeight="1" x14ac:dyDescent="0.2">
      <c r="A5" s="24"/>
      <c r="C5" s="31" t="str">
        <f>IF(DAY(Ne1Led)=1,"",IF(AND(YEAR(Ne1Led+1)=RokKalendáře,MONTH(Ne1Led+1)=1),Ne1Led+1,""))</f>
        <v/>
      </c>
      <c r="D5" s="31" t="str">
        <f>IF(DAY(Ne1Led)=1,"",IF(AND(YEAR(Ne1Led+2)=RokKalendáře,MONTH(Ne1Led+2)=1),Ne1Led+2,""))</f>
        <v/>
      </c>
      <c r="E5" s="31" t="str">
        <f>IF(DAY(Ne1Led)=1,"",IF(AND(YEAR(Ne1Led+3)=RokKalendáře,MONTH(Ne1Led+3)=1),Ne1Led+3,""))</f>
        <v/>
      </c>
      <c r="F5" s="31" t="str">
        <f>IF(DAY(Ne1Led)=1,"",IF(AND(YEAR(Ne1Led+4)=RokKalendáře,MONTH(Ne1Led+4)=1),Ne1Led+4,""))</f>
        <v/>
      </c>
      <c r="G5" s="31" t="str">
        <f>IF(DAY(Ne1Led)=1,"",IF(AND(YEAR(Ne1Led+5)=RokKalendáře,MONTH(Ne1Led+5)=1),Ne1Led+5,""))</f>
        <v/>
      </c>
      <c r="H5" s="31">
        <f>IF(DAY(Ne1Led)=1,"",IF(AND(YEAR(Ne1Led+6)=RokKalendáře,MONTH(Ne1Led+6)=1),Ne1Led+6,""))</f>
        <v>44562</v>
      </c>
      <c r="I5" s="31">
        <f>IF(DAY(Ne1Led)=1,IF(AND(YEAR(Ne1Led)=RokKalendáře,MONTH(Ne1Led)=1),Ne1Led,""),IF(AND(YEAR(Ne1Led+7)=RokKalendáře,MONTH(Ne1Led+7)=1),Ne1Led+7,""))</f>
        <v>44563</v>
      </c>
      <c r="J5" s="28"/>
      <c r="K5" s="31" t="str">
        <f>IF(DAY(Ne1Úno)=1,"",IF(AND(YEAR(Ne1Úno+1)=RokKalendáře,MONTH(Ne1Úno+1)=2),Ne1Úno+1,""))</f>
        <v/>
      </c>
      <c r="L5" s="31">
        <f>IF(DAY(Ne1Úno)=1,"",IF(AND(YEAR(Ne1Úno+2)=RokKalendáře,MONTH(Ne1Úno+2)=2),Ne1Úno+2,""))</f>
        <v>44593</v>
      </c>
      <c r="M5" s="31">
        <f>IF(DAY(Ne1Úno)=1,"",IF(AND(YEAR(Ne1Úno+3)=RokKalendáře,MONTH(Ne1Úno+3)=2),Ne1Úno+3,""))</f>
        <v>44594</v>
      </c>
      <c r="N5" s="31">
        <f>IF(DAY(Ne1Úno)=1,"",IF(AND(YEAR(Ne1Úno+4)=RokKalendáře,MONTH(Ne1Úno+4)=2),Ne1Úno+4,""))</f>
        <v>44595</v>
      </c>
      <c r="O5" s="31">
        <f>IF(DAY(Ne1Úno)=1,"",IF(AND(YEAR(Ne1Úno+5)=RokKalendáře,MONTH(Ne1Úno+5)=2),Ne1Úno+5,""))</f>
        <v>44596</v>
      </c>
      <c r="P5" s="31">
        <f>IF(DAY(Ne1Úno)=1,"",IF(AND(YEAR(Ne1Úno+6)=RokKalendáře,MONTH(Ne1Úno+6)=2),Ne1Úno+6,""))</f>
        <v>44597</v>
      </c>
      <c r="Q5" s="31">
        <f>IF(DAY(Ne1Úno)=1,IF(AND(YEAR(Ne1Úno)=RokKalendáře,MONTH(Ne1Úno)=2),Ne1Úno,""),IF(AND(YEAR(Ne1Úno+7)=RokKalendáře,MONTH(Ne1Úno+7)=2),Ne1Úno+7,""))</f>
        <v>44598</v>
      </c>
      <c r="S5" s="3"/>
      <c r="U5" s="6"/>
      <c r="V5" s="1"/>
      <c r="W5" s="1"/>
    </row>
    <row r="6" spans="1:41" ht="15" customHeight="1" x14ac:dyDescent="0.2">
      <c r="A6" s="24"/>
      <c r="C6" s="31">
        <f>IF(DAY(Ne1Led)=1,IF(AND(YEAR(Ne1Led+1)=RokKalendáře,MONTH(Ne1Led+1)=1),Ne1Led+1,""),IF(AND(YEAR(Ne1Led+8)=RokKalendáře,MONTH(Ne1Led+8)=1),Ne1Led+8,""))</f>
        <v>44564</v>
      </c>
      <c r="D6" s="31">
        <f>IF(DAY(Ne1Led)=1,IF(AND(YEAR(Ne1Led+2)=RokKalendáře,MONTH(Ne1Led+2)=1),Ne1Led+2,""),IF(AND(YEAR(Ne1Led+9)=RokKalendáře,MONTH(Ne1Led+9)=1),Ne1Led+9,""))</f>
        <v>44565</v>
      </c>
      <c r="E6" s="31">
        <f>IF(DAY(Ne1Led)=1,IF(AND(YEAR(Ne1Led+3)=RokKalendáře,MONTH(Ne1Led+3)=1),Ne1Led+3,""),IF(AND(YEAR(Ne1Led+10)=RokKalendáře,MONTH(Ne1Led+10)=1),Ne1Led+10,""))</f>
        <v>44566</v>
      </c>
      <c r="F6" s="31">
        <f>IF(DAY(Ne1Led)=1,IF(AND(YEAR(Ne1Led+4)=RokKalendáře,MONTH(Ne1Led+4)=1),Ne1Led+4,""),IF(AND(YEAR(Ne1Led+11)=RokKalendáře,MONTH(Ne1Led+11)=1),Ne1Led+11,""))</f>
        <v>44567</v>
      </c>
      <c r="G6" s="31">
        <f>IF(DAY(Ne1Led)=1,IF(AND(YEAR(Ne1Led+5)=RokKalendáře,MONTH(Ne1Led+5)=1),Ne1Led+5,""),IF(AND(YEAR(Ne1Led+12)=RokKalendáře,MONTH(Ne1Led+12)=1),Ne1Led+12,""))</f>
        <v>44568</v>
      </c>
      <c r="H6" s="31">
        <f>IF(DAY(Ne1Led)=1,IF(AND(YEAR(Ne1Led+6)=RokKalendáře,MONTH(Ne1Led+6)=1),Ne1Led+6,""),IF(AND(YEAR(Ne1Led+13)=RokKalendáře,MONTH(Ne1Led+13)=1),Ne1Led+13,""))</f>
        <v>44569</v>
      </c>
      <c r="I6" s="31">
        <f>IF(DAY(Ne1Led)=1,IF(AND(YEAR(Ne1Led+7)=RokKalendáře,MONTH(Ne1Led+7)=1),Ne1Led+7,""),IF(AND(YEAR(Ne1Led+14)=RokKalendáře,MONTH(Ne1Led+14)=1),Ne1Led+14,""))</f>
        <v>44570</v>
      </c>
      <c r="J6" s="28"/>
      <c r="K6" s="31">
        <f>IF(DAY(Ne1Úno)=1,IF(AND(YEAR(Ne1Úno+1)=RokKalendáře,MONTH(Ne1Úno+1)=2),Ne1Úno+1,""),IF(AND(YEAR(Ne1Úno+8)=RokKalendáře,MONTH(Ne1Úno+8)=2),Ne1Úno+8,""))</f>
        <v>44599</v>
      </c>
      <c r="L6" s="31">
        <f>IF(DAY(Ne1Úno)=1,IF(AND(YEAR(Ne1Úno+2)=RokKalendáře,MONTH(Ne1Úno+2)=2),Ne1Úno+2,""),IF(AND(YEAR(Ne1Úno+9)=RokKalendáře,MONTH(Ne1Úno+9)=2),Ne1Úno+9,""))</f>
        <v>44600</v>
      </c>
      <c r="M6" s="31">
        <f>IF(DAY(Ne1Úno)=1,IF(AND(YEAR(Ne1Úno+3)=RokKalendáře,MONTH(Ne1Úno+3)=2),Ne1Úno+3,""),IF(AND(YEAR(Ne1Úno+10)=RokKalendáře,MONTH(Ne1Úno+10)=2),Ne1Úno+10,""))</f>
        <v>44601</v>
      </c>
      <c r="N6" s="31">
        <f>IF(DAY(Ne1Úno)=1,IF(AND(YEAR(Ne1Úno+4)=RokKalendáře,MONTH(Ne1Úno+4)=2),Ne1Úno+4,""),IF(AND(YEAR(Ne1Úno+11)=RokKalendáře,MONTH(Ne1Úno+11)=2),Ne1Úno+11,""))</f>
        <v>44602</v>
      </c>
      <c r="O6" s="31">
        <f>IF(DAY(Ne1Úno)=1,IF(AND(YEAR(Ne1Úno+5)=RokKalendáře,MONTH(Ne1Úno+5)=2),Ne1Úno+5,""),IF(AND(YEAR(Ne1Úno+12)=RokKalendáře,MONTH(Ne1Úno+12)=2),Ne1Úno+12,""))</f>
        <v>44603</v>
      </c>
      <c r="P6" s="31">
        <f>IF(DAY(Ne1Úno)=1,IF(AND(YEAR(Ne1Úno+6)=RokKalendáře,MONTH(Ne1Úno+6)=2),Ne1Úno+6,""),IF(AND(YEAR(Ne1Úno+13)=RokKalendáře,MONTH(Ne1Úno+13)=2),Ne1Úno+13,""))</f>
        <v>44604</v>
      </c>
      <c r="Q6" s="31">
        <f>IF(DAY(Ne1Úno)=1,IF(AND(YEAR(Ne1Úno+7)=RokKalendáře,MONTH(Ne1Úno+7)=2),Ne1Úno+7,""),IF(AND(YEAR(Ne1Úno+14)=RokKalendáře,MONTH(Ne1Úno+14)=2),Ne1Úno+14,""))</f>
        <v>44605</v>
      </c>
      <c r="S6" s="3"/>
      <c r="U6" s="16" t="s">
        <v>48</v>
      </c>
      <c r="V6" s="1"/>
      <c r="W6" s="1"/>
    </row>
    <row r="7" spans="1:41" ht="15" customHeight="1" x14ac:dyDescent="0.2">
      <c r="C7" s="31">
        <f>IF(DAY(Ne1Led)=1,IF(AND(YEAR(Ne1Led+8)=RokKalendáře,MONTH(Ne1Led+8)=1),Ne1Led+8,""),IF(AND(YEAR(Ne1Led+15)=RokKalendáře,MONTH(Ne1Led+15)=1),Ne1Led+15,""))</f>
        <v>44571</v>
      </c>
      <c r="D7" s="31">
        <f>IF(DAY(Ne1Led)=1,IF(AND(YEAR(Ne1Led+9)=RokKalendáře,MONTH(Ne1Led+9)=1),Ne1Led+9,""),IF(AND(YEAR(Ne1Led+16)=RokKalendáře,MONTH(Ne1Led+16)=1),Ne1Led+16,""))</f>
        <v>44572</v>
      </c>
      <c r="E7" s="31">
        <f>IF(DAY(Ne1Led)=1,IF(AND(YEAR(Ne1Led+10)=RokKalendáře,MONTH(Ne1Led+10)=1),Ne1Led+10,""),IF(AND(YEAR(Ne1Led+17)=RokKalendáře,MONTH(Ne1Led+17)=1),Ne1Led+17,""))</f>
        <v>44573</v>
      </c>
      <c r="F7" s="31">
        <f>IF(DAY(Ne1Led)=1,IF(AND(YEAR(Ne1Led+11)=RokKalendáře,MONTH(Ne1Led+11)=1),Ne1Led+11,""),IF(AND(YEAR(Ne1Led+18)=RokKalendáře,MONTH(Ne1Led+18)=1),Ne1Led+18,""))</f>
        <v>44574</v>
      </c>
      <c r="G7" s="31">
        <f>IF(DAY(Ne1Led)=1,IF(AND(YEAR(Ne1Led+12)=RokKalendáře,MONTH(Ne1Led+12)=1),Ne1Led+12,""),IF(AND(YEAR(Ne1Led+19)=RokKalendáře,MONTH(Ne1Led+19)=1),Ne1Led+19,""))</f>
        <v>44575</v>
      </c>
      <c r="H7" s="31">
        <f>IF(DAY(Ne1Led)=1,IF(AND(YEAR(Ne1Led+13)=RokKalendáře,MONTH(Ne1Led+13)=1),Ne1Led+13,""),IF(AND(YEAR(Ne1Led+20)=RokKalendáře,MONTH(Ne1Led+20)=1),Ne1Led+20,""))</f>
        <v>44576</v>
      </c>
      <c r="I7" s="31">
        <f>IF(DAY(Ne1Led)=1,IF(AND(YEAR(Ne1Led+14)=RokKalendáře,MONTH(Ne1Led+14)=1),Ne1Led+14,""),IF(AND(YEAR(Ne1Led+21)=RokKalendáře,MONTH(Ne1Led+21)=1),Ne1Led+21,""))</f>
        <v>44577</v>
      </c>
      <c r="J7" s="28"/>
      <c r="K7" s="31">
        <f>IF(DAY(Ne1Úno)=1,IF(AND(YEAR(Ne1Úno+8)=RokKalendáře,MONTH(Ne1Úno+8)=2),Ne1Úno+8,""),IF(AND(YEAR(Ne1Úno+15)=RokKalendáře,MONTH(Ne1Úno+15)=2),Ne1Úno+15,""))</f>
        <v>44606</v>
      </c>
      <c r="L7" s="31">
        <f>IF(DAY(Ne1Úno)=1,IF(AND(YEAR(Ne1Úno+9)=RokKalendáře,MONTH(Ne1Úno+9)=2),Ne1Úno+9,""),IF(AND(YEAR(Ne1Úno+16)=RokKalendáře,MONTH(Ne1Úno+16)=2),Ne1Úno+16,""))</f>
        <v>44607</v>
      </c>
      <c r="M7" s="31">
        <f>IF(DAY(Ne1Úno)=1,IF(AND(YEAR(Ne1Úno+10)=RokKalendáře,MONTH(Ne1Úno+10)=2),Ne1Úno+10,""),IF(AND(YEAR(Ne1Úno+17)=RokKalendáře,MONTH(Ne1Úno+17)=2),Ne1Úno+17,""))</f>
        <v>44608</v>
      </c>
      <c r="N7" s="31">
        <f>IF(DAY(Ne1Úno)=1,IF(AND(YEAR(Ne1Úno+11)=RokKalendáře,MONTH(Ne1Úno+11)=2),Ne1Úno+11,""),IF(AND(YEAR(Ne1Úno+18)=RokKalendáře,MONTH(Ne1Úno+18)=2),Ne1Úno+18,""))</f>
        <v>44609</v>
      </c>
      <c r="O7" s="31">
        <f>IF(DAY(Ne1Úno)=1,IF(AND(YEAR(Ne1Úno+12)=RokKalendáře,MONTH(Ne1Úno+12)=2),Ne1Úno+12,""),IF(AND(YEAR(Ne1Úno+19)=RokKalendáře,MONTH(Ne1Úno+19)=2),Ne1Úno+19,""))</f>
        <v>44610</v>
      </c>
      <c r="P7" s="31">
        <f>IF(DAY(Ne1Úno)=1,IF(AND(YEAR(Ne1Úno+13)=RokKalendáře,MONTH(Ne1Úno+13)=2),Ne1Úno+13,""),IF(AND(YEAR(Ne1Úno+20)=RokKalendáře,MONTH(Ne1Úno+20)=2),Ne1Úno+20,""))</f>
        <v>44611</v>
      </c>
      <c r="Q7" s="31">
        <f>IF(DAY(Ne1Úno)=1,IF(AND(YEAR(Ne1Úno+14)=RokKalendáře,MONTH(Ne1Úno+14)=2),Ne1Úno+14,""),IF(AND(YEAR(Ne1Úno+21)=RokKalendáře,MONTH(Ne1Úno+21)=2),Ne1Úno+21,""))</f>
        <v>44612</v>
      </c>
      <c r="S7" s="3"/>
      <c r="U7" s="9" t="s">
        <v>49</v>
      </c>
      <c r="V7" s="1"/>
      <c r="W7" s="1"/>
    </row>
    <row r="8" spans="1:41" ht="15" customHeight="1" x14ac:dyDescent="0.2">
      <c r="C8" s="31">
        <f>IF(DAY(Ne1Led)=1,IF(AND(YEAR(Ne1Led+15)=RokKalendáře,MONTH(Ne1Led+15)=1),Ne1Led+15,""),IF(AND(YEAR(Ne1Led+22)=RokKalendáře,MONTH(Ne1Led+22)=1),Ne1Led+22,""))</f>
        <v>44578</v>
      </c>
      <c r="D8" s="31">
        <f>IF(DAY(Ne1Led)=1,IF(AND(YEAR(Ne1Led+16)=RokKalendáře,MONTH(Ne1Led+16)=1),Ne1Led+16,""),IF(AND(YEAR(Ne1Led+23)=RokKalendáře,MONTH(Ne1Led+23)=1),Ne1Led+23,""))</f>
        <v>44579</v>
      </c>
      <c r="E8" s="31">
        <f>IF(DAY(Ne1Led)=1,IF(AND(YEAR(Ne1Led+17)=RokKalendáře,MONTH(Ne1Led+17)=1),Ne1Led+17,""),IF(AND(YEAR(Ne1Led+24)=RokKalendáře,MONTH(Ne1Led+24)=1),Ne1Led+24,""))</f>
        <v>44580</v>
      </c>
      <c r="F8" s="31">
        <f>IF(DAY(Ne1Led)=1,IF(AND(YEAR(Ne1Led+18)=RokKalendáře,MONTH(Ne1Led+18)=1),Ne1Led+18,""),IF(AND(YEAR(Ne1Led+25)=RokKalendáře,MONTH(Ne1Led+25)=1),Ne1Led+25,""))</f>
        <v>44581</v>
      </c>
      <c r="G8" s="31">
        <f>IF(DAY(Ne1Led)=1,IF(AND(YEAR(Ne1Led+19)=RokKalendáře,MONTH(Ne1Led+19)=1),Ne1Led+19,""),IF(AND(YEAR(Ne1Led+26)=RokKalendáře,MONTH(Ne1Led+26)=1),Ne1Led+26,""))</f>
        <v>44582</v>
      </c>
      <c r="H8" s="31">
        <f>IF(DAY(Ne1Led)=1,IF(AND(YEAR(Ne1Led+20)=RokKalendáře,MONTH(Ne1Led+20)=1),Ne1Led+20,""),IF(AND(YEAR(Ne1Led+27)=RokKalendáře,MONTH(Ne1Led+27)=1),Ne1Led+27,""))</f>
        <v>44583</v>
      </c>
      <c r="I8" s="31">
        <f>IF(DAY(Ne1Led)=1,IF(AND(YEAR(Ne1Led+21)=RokKalendáře,MONTH(Ne1Led+21)=1),Ne1Led+21,""),IF(AND(YEAR(Ne1Led+28)=RokKalendáře,MONTH(Ne1Led+28)=1),Ne1Led+28,""))</f>
        <v>44584</v>
      </c>
      <c r="J8" s="28"/>
      <c r="K8" s="31">
        <f>IF(DAY(Ne1Úno)=1,IF(AND(YEAR(Ne1Úno+15)=RokKalendáře,MONTH(Ne1Úno+15)=2),Ne1Úno+15,""),IF(AND(YEAR(Ne1Úno+22)=RokKalendáře,MONTH(Ne1Úno+22)=2),Ne1Úno+22,""))</f>
        <v>44613</v>
      </c>
      <c r="L8" s="31">
        <f>IF(DAY(Ne1Úno)=1,IF(AND(YEAR(Ne1Úno+16)=RokKalendáře,MONTH(Ne1Úno+16)=2),Ne1Úno+16,""),IF(AND(YEAR(Ne1Úno+23)=RokKalendáře,MONTH(Ne1Úno+23)=2),Ne1Úno+23,""))</f>
        <v>44614</v>
      </c>
      <c r="M8" s="31">
        <f>IF(DAY(Ne1Úno)=1,IF(AND(YEAR(Ne1Úno+17)=RokKalendáře,MONTH(Ne1Úno+17)=2),Ne1Úno+17,""),IF(AND(YEAR(Ne1Úno+24)=RokKalendáře,MONTH(Ne1Úno+24)=2),Ne1Úno+24,""))</f>
        <v>44615</v>
      </c>
      <c r="N8" s="31">
        <f>IF(DAY(Ne1Úno)=1,IF(AND(YEAR(Ne1Úno+18)=RokKalendáře,MONTH(Ne1Úno+18)=2),Ne1Úno+18,""),IF(AND(YEAR(Ne1Úno+25)=RokKalendáře,MONTH(Ne1Úno+25)=2),Ne1Úno+25,""))</f>
        <v>44616</v>
      </c>
      <c r="O8" s="31">
        <f>IF(DAY(Ne1Úno)=1,IF(AND(YEAR(Ne1Úno+19)=RokKalendáře,MONTH(Ne1Úno+19)=2),Ne1Úno+19,""),IF(AND(YEAR(Ne1Úno+26)=RokKalendáře,MONTH(Ne1Úno+26)=2),Ne1Úno+26,""))</f>
        <v>44617</v>
      </c>
      <c r="P8" s="31">
        <f>IF(DAY(Ne1Úno)=1,IF(AND(YEAR(Ne1Úno+20)=RokKalendáře,MONTH(Ne1Úno+20)=2),Ne1Úno+20,""),IF(AND(YEAR(Ne1Úno+27)=RokKalendáře,MONTH(Ne1Úno+27)=2),Ne1Úno+27,""))</f>
        <v>44618</v>
      </c>
      <c r="Q8" s="31">
        <f>IF(DAY(Ne1Úno)=1,IF(AND(YEAR(Ne1Úno+21)=RokKalendáře,MONTH(Ne1Úno+21)=2),Ne1Úno+21,""),IF(AND(YEAR(Ne1Úno+28)=RokKalendáře,MONTH(Ne1Úno+28)=2),Ne1Úno+28,""))</f>
        <v>44619</v>
      </c>
      <c r="S8" s="3"/>
      <c r="U8" s="6"/>
      <c r="V8" s="1"/>
      <c r="W8" s="1"/>
    </row>
    <row r="9" spans="1:41" ht="15" customHeight="1" x14ac:dyDescent="0.2">
      <c r="C9" s="31">
        <f>IF(DAY(Ne1Led)=1,IF(AND(YEAR(Ne1Led+22)=RokKalendáře,MONTH(Ne1Led+22)=1),Ne1Led+22,""),IF(AND(YEAR(Ne1Led+29)=RokKalendáře,MONTH(Ne1Led+29)=1),Ne1Led+29,""))</f>
        <v>44585</v>
      </c>
      <c r="D9" s="31">
        <f>IF(DAY(Ne1Led)=1,IF(AND(YEAR(Ne1Led+23)=RokKalendáře,MONTH(Ne1Led+23)=1),Ne1Led+23,""),IF(AND(YEAR(Ne1Led+30)=RokKalendáře,MONTH(Ne1Led+30)=1),Ne1Led+30,""))</f>
        <v>44586</v>
      </c>
      <c r="E9" s="31">
        <f>IF(DAY(Ne1Led)=1,IF(AND(YEAR(Ne1Led+24)=RokKalendáře,MONTH(Ne1Led+24)=1),Ne1Led+24,""),IF(AND(YEAR(Ne1Led+31)=RokKalendáře,MONTH(Ne1Led+31)=1),Ne1Led+31,""))</f>
        <v>44587</v>
      </c>
      <c r="F9" s="31">
        <f>IF(DAY(Ne1Led)=1,IF(AND(YEAR(Ne1Led+25)=RokKalendáře,MONTH(Ne1Led+25)=1),Ne1Led+25,""),IF(AND(YEAR(Ne1Led+32)=RokKalendáře,MONTH(Ne1Led+32)=1),Ne1Led+32,""))</f>
        <v>44588</v>
      </c>
      <c r="G9" s="31">
        <f>IF(DAY(Ne1Led)=1,IF(AND(YEAR(Ne1Led+26)=RokKalendáře,MONTH(Ne1Led+26)=1),Ne1Led+26,""),IF(AND(YEAR(Ne1Led+33)=RokKalendáře,MONTH(Ne1Led+33)=1),Ne1Led+33,""))</f>
        <v>44589</v>
      </c>
      <c r="H9" s="31">
        <f>IF(DAY(Ne1Led)=1,IF(AND(YEAR(Ne1Led+27)=RokKalendáře,MONTH(Ne1Led+27)=1),Ne1Led+27,""),IF(AND(YEAR(Ne1Led+34)=RokKalendáře,MONTH(Ne1Led+34)=1),Ne1Led+34,""))</f>
        <v>44590</v>
      </c>
      <c r="I9" s="31">
        <f>IF(DAY(Ne1Led)=1,IF(AND(YEAR(Ne1Led+28)=RokKalendáře,MONTH(Ne1Led+28)=1),Ne1Led+28,""),IF(AND(YEAR(Ne1Led+35)=RokKalendáře,MONTH(Ne1Led+35)=1),Ne1Led+35,""))</f>
        <v>44591</v>
      </c>
      <c r="J9" s="28"/>
      <c r="K9" s="31">
        <f>IF(DAY(Ne1Úno)=1,IF(AND(YEAR(Ne1Úno+22)=RokKalendáře,MONTH(Ne1Úno+22)=2),Ne1Úno+22,""),IF(AND(YEAR(Ne1Úno+29)=RokKalendáře,MONTH(Ne1Úno+29)=2),Ne1Úno+29,""))</f>
        <v>44620</v>
      </c>
      <c r="L9" s="31" t="str">
        <f>IF(DAY(Ne1Úno)=1,IF(AND(YEAR(Ne1Úno+23)=RokKalendáře,MONTH(Ne1Úno+23)=2),Ne1Úno+23,""),IF(AND(YEAR(Ne1Úno+30)=RokKalendáře,MONTH(Ne1Úno+30)=2),Ne1Úno+30,""))</f>
        <v/>
      </c>
      <c r="M9" s="31" t="str">
        <f>IF(DAY(Ne1Úno)=1,IF(AND(YEAR(Ne1Úno+24)=RokKalendáře,MONTH(Ne1Úno+24)=2),Ne1Úno+24,""),IF(AND(YEAR(Ne1Úno+31)=RokKalendáře,MONTH(Ne1Úno+31)=2),Ne1Úno+31,""))</f>
        <v/>
      </c>
      <c r="N9" s="31" t="str">
        <f>IF(DAY(Ne1Úno)=1,IF(AND(YEAR(Ne1Úno+25)=RokKalendáře,MONTH(Ne1Úno+25)=2),Ne1Úno+25,""),IF(AND(YEAR(Ne1Úno+32)=RokKalendáře,MONTH(Ne1Úno+32)=2),Ne1Úno+32,""))</f>
        <v/>
      </c>
      <c r="O9" s="31" t="str">
        <f>IF(DAY(Ne1Úno)=1,IF(AND(YEAR(Ne1Úno+26)=RokKalendáře,MONTH(Ne1Úno+26)=2),Ne1Úno+26,""),IF(AND(YEAR(Ne1Úno+33)=RokKalendáře,MONTH(Ne1Úno+33)=2),Ne1Úno+33,""))</f>
        <v/>
      </c>
      <c r="P9" s="31" t="str">
        <f>IF(DAY(Ne1Úno)=1,IF(AND(YEAR(Ne1Úno+27)=RokKalendáře,MONTH(Ne1Úno+27)=2),Ne1Úno+27,""),IF(AND(YEAR(Ne1Úno+34)=RokKalendáře,MONTH(Ne1Úno+34)=2),Ne1Úno+34,""))</f>
        <v/>
      </c>
      <c r="Q9" s="31" t="str">
        <f>IF(DAY(Ne1Úno)=1,IF(AND(YEAR(Ne1Úno+28)=RokKalendáře,MONTH(Ne1Úno+28)=2),Ne1Úno+28,""),IF(AND(YEAR(Ne1Úno+35)=RokKalendáře,MONTH(Ne1Úno+35)=2),Ne1Úno+35,""))</f>
        <v/>
      </c>
      <c r="S9" s="3"/>
      <c r="U9" s="16" t="s">
        <v>50</v>
      </c>
      <c r="V9" s="1"/>
      <c r="W9" s="1"/>
    </row>
    <row r="10" spans="1:41" ht="15" customHeight="1" x14ac:dyDescent="0.2">
      <c r="C10" s="31">
        <f>IF(DAY(Ne1Led)=1,IF(AND(YEAR(Ne1Led+29)=RokKalendáře,MONTH(Ne1Led+29)=1),Ne1Led+29,""),IF(AND(YEAR(Ne1Led+36)=RokKalendáře,MONTH(Ne1Led+36)=1),Ne1Led+36,""))</f>
        <v>44592</v>
      </c>
      <c r="D10" s="31" t="str">
        <f>IF(DAY(Ne1Led)=1,IF(AND(YEAR(Ne1Led+30)=RokKalendáře,MONTH(Ne1Led+30)=1),Ne1Led+30,""),IF(AND(YEAR(Ne1Led+37)=RokKalendáře,MONTH(Ne1Led+37)=1),Ne1Led+37,""))</f>
        <v/>
      </c>
      <c r="E10" s="31" t="str">
        <f>IF(DAY(Ne1Led)=1,IF(AND(YEAR(Ne1Led+31)=RokKalendáře,MONTH(Ne1Led+31)=1),Ne1Led+31,""),IF(AND(YEAR(Ne1Led+38)=RokKalendáře,MONTH(Ne1Led+38)=1),Ne1Led+38,""))</f>
        <v/>
      </c>
      <c r="F10" s="31" t="str">
        <f>IF(DAY(Ne1Led)=1,IF(AND(YEAR(Ne1Led+32)=RokKalendáře,MONTH(Ne1Led+32)=1),Ne1Led+32,""),IF(AND(YEAR(Ne1Led+39)=RokKalendáře,MONTH(Ne1Led+39)=1),Ne1Led+39,""))</f>
        <v/>
      </c>
      <c r="G10" s="31" t="str">
        <f>IF(DAY(Ne1Led)=1,IF(AND(YEAR(Ne1Led+33)=RokKalendáře,MONTH(Ne1Led+33)=1),Ne1Led+33,""),IF(AND(YEAR(Ne1Led+40)=RokKalendáře,MONTH(Ne1Led+40)=1),Ne1Led+40,""))</f>
        <v/>
      </c>
      <c r="H10" s="31" t="str">
        <f>IF(DAY(Ne1Led)=1,IF(AND(YEAR(Ne1Led+34)=RokKalendáře,MONTH(Ne1Led+34)=1),Ne1Led+34,""),IF(AND(YEAR(Ne1Led+41)=RokKalendáře,MONTH(Ne1Led+41)=1),Ne1Led+41,""))</f>
        <v/>
      </c>
      <c r="I10" s="31" t="str">
        <f>IF(DAY(Ne1Led)=1,IF(AND(YEAR(Ne1Led+35)=RokKalendáře,MONTH(Ne1Led+35)=1),Ne1Led+35,""),IF(AND(YEAR(Ne1Led+42)=RokKalendáře,MONTH(Ne1Led+42)=1),Ne1Led+42,""))</f>
        <v/>
      </c>
      <c r="J10" s="28"/>
      <c r="K10" s="31" t="str">
        <f>IF(DAY(Ne1Úno)=1,IF(AND(YEAR(Ne1Úno+29)=RokKalendáře,MONTH(Ne1Úno+29)=2),Ne1Úno+29,""),IF(AND(YEAR(Ne1Úno+36)=RokKalendáře,MONTH(Ne1Úno+36)=2),Ne1Úno+36,""))</f>
        <v/>
      </c>
      <c r="L10" s="31" t="str">
        <f>IF(DAY(Ne1Úno)=1,IF(AND(YEAR(Ne1Úno+30)=RokKalendáře,MONTH(Ne1Úno+30)=2),Ne1Úno+30,""),IF(AND(YEAR(Ne1Úno+37)=RokKalendáře,MONTH(Ne1Úno+37)=2),Ne1Úno+37,""))</f>
        <v/>
      </c>
      <c r="M10" s="31" t="str">
        <f>IF(DAY(Ne1Úno)=1,IF(AND(YEAR(Ne1Úno+31)=RokKalendáře,MONTH(Ne1Úno+31)=2),Ne1Úno+31,""),IF(AND(YEAR(Ne1Úno+38)=RokKalendáře,MONTH(Ne1Úno+38)=2),Ne1Úno+38,""))</f>
        <v/>
      </c>
      <c r="N10" s="31" t="str">
        <f>IF(DAY(Ne1Úno)=1,IF(AND(YEAR(Ne1Úno+32)=RokKalendáře,MONTH(Ne1Úno+32)=2),Ne1Úno+32,""),IF(AND(YEAR(Ne1Úno+39)=RokKalendáře,MONTH(Ne1Úno+39)=2),Ne1Úno+39,""))</f>
        <v/>
      </c>
      <c r="O10" s="31" t="str">
        <f>IF(DAY(Ne1Úno)=1,IF(AND(YEAR(Ne1Úno+33)=RokKalendáře,MONTH(Ne1Úno+33)=2),Ne1Úno+33,""),IF(AND(YEAR(Ne1Úno+40)=RokKalendáře,MONTH(Ne1Úno+40)=2),Ne1Úno+40,""))</f>
        <v/>
      </c>
      <c r="P10" s="31" t="str">
        <f>IF(DAY(Ne1Úno)=1,IF(AND(YEAR(Ne1Úno+34)=RokKalendáře,MONTH(Ne1Úno+34)=2),Ne1Úno+34,""),IF(AND(YEAR(Ne1Úno+41)=RokKalendáře,MONTH(Ne1Úno+41)=2),Ne1Úno+41,""))</f>
        <v/>
      </c>
      <c r="Q10" s="31" t="str">
        <f>IF(DAY(Ne1Úno)=1,IF(AND(YEAR(Ne1Úno+35)=RokKalendáře,MONTH(Ne1Úno+35)=2),Ne1Úno+35,""),IF(AND(YEAR(Ne1Úno+42)=RokKalendáře,MONTH(Ne1Úno+42)=2),Ne1Úno+42,""))</f>
        <v/>
      </c>
      <c r="S10" s="3"/>
      <c r="U10" s="9" t="s">
        <v>51</v>
      </c>
      <c r="V10" s="1"/>
      <c r="W10" s="1"/>
    </row>
    <row r="11" spans="1:41" ht="15" customHeight="1" x14ac:dyDescent="0.2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S11" s="3"/>
      <c r="U11" s="6"/>
      <c r="V11" s="1"/>
      <c r="W11" s="1"/>
    </row>
    <row r="12" spans="1:41" ht="15" customHeight="1" x14ac:dyDescent="0.2">
      <c r="A12" s="24" t="s">
        <v>11</v>
      </c>
      <c r="C12" s="33" t="s">
        <v>28</v>
      </c>
      <c r="D12" s="33"/>
      <c r="E12" s="33"/>
      <c r="F12" s="33"/>
      <c r="G12" s="33"/>
      <c r="H12" s="33"/>
      <c r="I12" s="33"/>
      <c r="J12" s="29"/>
      <c r="K12" s="33" t="s">
        <v>40</v>
      </c>
      <c r="L12" s="33"/>
      <c r="M12" s="33"/>
      <c r="N12" s="33"/>
      <c r="O12" s="33"/>
      <c r="P12" s="33"/>
      <c r="Q12" s="33"/>
      <c r="S12" s="30"/>
      <c r="U12" s="7"/>
      <c r="V12" s="1"/>
      <c r="W12" s="1"/>
      <c r="X12" s="29"/>
      <c r="Y12" s="29"/>
      <c r="AA12" s="29"/>
      <c r="AB12" s="29"/>
      <c r="AC12" s="29"/>
      <c r="AD12" s="29"/>
      <c r="AE12" s="29"/>
      <c r="AF12" s="29"/>
      <c r="AG12" s="29"/>
      <c r="AI12" s="29"/>
      <c r="AJ12" s="29"/>
      <c r="AK12" s="29"/>
      <c r="AL12" s="29"/>
      <c r="AM12" s="29"/>
      <c r="AN12" s="29"/>
      <c r="AO12" s="29"/>
    </row>
    <row r="13" spans="1:41" ht="15" customHeight="1" x14ac:dyDescent="0.25">
      <c r="A13" s="24" t="s">
        <v>12</v>
      </c>
      <c r="C13" s="17" t="s">
        <v>27</v>
      </c>
      <c r="D13" s="17" t="s">
        <v>33</v>
      </c>
      <c r="E13" s="17" t="s">
        <v>34</v>
      </c>
      <c r="F13" s="17" t="s">
        <v>35</v>
      </c>
      <c r="G13" s="17" t="s">
        <v>36</v>
      </c>
      <c r="H13" s="17" t="s">
        <v>37</v>
      </c>
      <c r="I13" s="17" t="s">
        <v>38</v>
      </c>
      <c r="J13" s="2"/>
      <c r="K13" s="17" t="s">
        <v>27</v>
      </c>
      <c r="L13" s="17" t="s">
        <v>33</v>
      </c>
      <c r="M13" s="17" t="s">
        <v>34</v>
      </c>
      <c r="N13" s="17" t="s">
        <v>35</v>
      </c>
      <c r="O13" s="17" t="s">
        <v>36</v>
      </c>
      <c r="P13" s="17" t="s">
        <v>37</v>
      </c>
      <c r="Q13" s="17" t="s">
        <v>38</v>
      </c>
      <c r="S13" s="3"/>
      <c r="U13" s="9"/>
      <c r="V13" s="1"/>
      <c r="W13" s="1"/>
    </row>
    <row r="14" spans="1:41" ht="15" customHeight="1" x14ac:dyDescent="0.2">
      <c r="C14" s="31" t="str">
        <f>IF(DAY(Ne1Bře)=1,"",IF(AND(YEAR(Ne1Bře+1)=RokKalendáře,MONTH(Ne1Bře+1)=3),Ne1Bře+1,""))</f>
        <v/>
      </c>
      <c r="D14" s="31">
        <f>IF(DAY(Ne1Bře)=1,"",IF(AND(YEAR(Ne1Bře+2)=RokKalendáře,MONTH(Ne1Bře+2)=3),Ne1Bře+2,""))</f>
        <v>44621</v>
      </c>
      <c r="E14" s="31">
        <f>IF(DAY(Ne1Bře)=1,"",IF(AND(YEAR(Ne1Bře+3)=RokKalendáře,MONTH(Ne1Bře+3)=3),Ne1Bře+3,""))</f>
        <v>44622</v>
      </c>
      <c r="F14" s="31">
        <f>IF(DAY(Ne1Bře)=1,"",IF(AND(YEAR(Ne1Bře+4)=RokKalendáře,MONTH(Ne1Bře+4)=3),Ne1Bře+4,""))</f>
        <v>44623</v>
      </c>
      <c r="G14" s="31">
        <f>IF(DAY(Ne1Bře)=1,"",IF(AND(YEAR(Ne1Bře+5)=RokKalendáře,MONTH(Ne1Bře+5)=3),Ne1Bře+5,""))</f>
        <v>44624</v>
      </c>
      <c r="H14" s="31">
        <f>IF(DAY(Ne1Bře)=1,"",IF(AND(YEAR(Ne1Bře+6)=RokKalendáře,MONTH(Ne1Bře+6)=3),Ne1Bře+6,""))</f>
        <v>44625</v>
      </c>
      <c r="I14" s="31">
        <f>IF(DAY(Ne1Bře)=1,IF(AND(YEAR(Ne1Bře)=RokKalendáře,MONTH(Ne1Bře)=3),Ne1Bře,""),IF(AND(YEAR(Ne1Bře+7)=RokKalendáře,MONTH(Ne1Bře+7)=3),Ne1Bře+7,""))</f>
        <v>44626</v>
      </c>
      <c r="J14" s="1"/>
      <c r="K14" s="31" t="str">
        <f>IF(DAY(Ne1Dub)=1,"",IF(AND(YEAR(Ne1Dub+1)=RokKalendáře,MONTH(Ne1Dub+1)=4),Ne1Dub+1,""))</f>
        <v/>
      </c>
      <c r="L14" s="31" t="str">
        <f>IF(DAY(Ne1Dub)=1,"",IF(AND(YEAR(Ne1Dub+2)=RokKalendáře,MONTH(Ne1Dub+2)=4),Ne1Dub+2,""))</f>
        <v/>
      </c>
      <c r="M14" s="31" t="str">
        <f>IF(DAY(Ne1Dub)=1,"",IF(AND(YEAR(Ne1Dub+3)=RokKalendáře,MONTH(Ne1Dub+3)=4),Ne1Dub+3,""))</f>
        <v/>
      </c>
      <c r="N14" s="31" t="str">
        <f>IF(DAY(Ne1Dub)=1,"",IF(AND(YEAR(Ne1Dub+4)=RokKalendáře,MONTH(Ne1Dub+4)=4),Ne1Dub+4,""))</f>
        <v/>
      </c>
      <c r="O14" s="31">
        <f>IF(DAY(Ne1Dub)=1,"",IF(AND(YEAR(Ne1Dub+5)=RokKalendáře,MONTH(Ne1Dub+5)=4),Ne1Dub+5,""))</f>
        <v>44652</v>
      </c>
      <c r="P14" s="31">
        <f>IF(DAY(Ne1Dub)=1,"",IF(AND(YEAR(Ne1Dub+6)=RokKalendáře,MONTH(Ne1Dub+6)=4),Ne1Dub+6,""))</f>
        <v>44653</v>
      </c>
      <c r="Q14" s="31">
        <f>IF(DAY(Ne1Dub)=1,IF(AND(YEAR(Ne1Dub)=RokKalendáře,MONTH(Ne1Dub)=4),Ne1Dub,""),IF(AND(YEAR(Ne1Dub+7)=RokKalendáře,MONTH(Ne1Dub+7)=4),Ne1Dub+7,""))</f>
        <v>44654</v>
      </c>
      <c r="S14" s="3"/>
      <c r="U14" s="6"/>
      <c r="V14" s="1"/>
      <c r="W14" s="1"/>
    </row>
    <row r="15" spans="1:41" ht="15" customHeight="1" x14ac:dyDescent="0.2">
      <c r="A15" s="24"/>
      <c r="C15" s="31">
        <f>IF(DAY(Ne1Bře)=1,IF(AND(YEAR(Ne1Bře+1)=RokKalendáře,MONTH(Ne1Bře+1)=3),Ne1Bře+1,""),IF(AND(YEAR(Ne1Bře+8)=RokKalendáře,MONTH(Ne1Bře+8)=3),Ne1Bře+8,""))</f>
        <v>44627</v>
      </c>
      <c r="D15" s="31">
        <f>IF(DAY(Ne1Bře)=1,IF(AND(YEAR(Ne1Bře+2)=RokKalendáře,MONTH(Ne1Bře+2)=3),Ne1Bře+2,""),IF(AND(YEAR(Ne1Bře+9)=RokKalendáře,MONTH(Ne1Bře+9)=3),Ne1Bře+9,""))</f>
        <v>44628</v>
      </c>
      <c r="E15" s="31">
        <f>IF(DAY(Ne1Bře)=1,IF(AND(YEAR(Ne1Bře+3)=RokKalendáře,MONTH(Ne1Bře+3)=3),Ne1Bře+3,""),IF(AND(YEAR(Ne1Bře+10)=RokKalendáře,MONTH(Ne1Bře+10)=3),Ne1Bře+10,""))</f>
        <v>44629</v>
      </c>
      <c r="F15" s="31">
        <f>IF(DAY(Ne1Bře)=1,IF(AND(YEAR(Ne1Bře+4)=RokKalendáře,MONTH(Ne1Bře+4)=3),Ne1Bře+4,""),IF(AND(YEAR(Ne1Bře+11)=RokKalendáře,MONTH(Ne1Bře+11)=3),Ne1Bře+11,""))</f>
        <v>44630</v>
      </c>
      <c r="G15" s="31">
        <f>IF(DAY(Ne1Bře)=1,IF(AND(YEAR(Ne1Bře+5)=RokKalendáře,MONTH(Ne1Bře+5)=3),Ne1Bře+5,""),IF(AND(YEAR(Ne1Bře+12)=RokKalendáře,MONTH(Ne1Bře+12)=3),Ne1Bře+12,""))</f>
        <v>44631</v>
      </c>
      <c r="H15" s="31">
        <f>IF(DAY(Ne1Bře)=1,IF(AND(YEAR(Ne1Bře+6)=RokKalendáře,MONTH(Ne1Bře+6)=3),Ne1Bře+6,""),IF(AND(YEAR(Ne1Bře+13)=RokKalendáře,MONTH(Ne1Bře+13)=3),Ne1Bře+13,""))</f>
        <v>44632</v>
      </c>
      <c r="I15" s="31">
        <f>IF(DAY(Ne1Bře)=1,IF(AND(YEAR(Ne1Bře+7)=RokKalendáře,MONTH(Ne1Bře+7)=3),Ne1Bře+7,""),IF(AND(YEAR(Ne1Bře+14)=RokKalendáře,MONTH(Ne1Bře+14)=3),Ne1Bře+14,""))</f>
        <v>44633</v>
      </c>
      <c r="J15" s="28"/>
      <c r="K15" s="31">
        <f>IF(DAY(Ne1Dub)=1,IF(AND(YEAR(Ne1Dub+1)=RokKalendáře,MONTH(Ne1Dub+1)=4),Ne1Dub+1,""),IF(AND(YEAR(Ne1Dub+8)=RokKalendáře,MONTH(Ne1Dub+8)=4),Ne1Dub+8,""))</f>
        <v>44655</v>
      </c>
      <c r="L15" s="31">
        <f>IF(DAY(Ne1Dub)=1,IF(AND(YEAR(Ne1Dub+2)=RokKalendáře,MONTH(Ne1Dub+2)=4),Ne1Dub+2,""),IF(AND(YEAR(Ne1Dub+9)=RokKalendáře,MONTH(Ne1Dub+9)=4),Ne1Dub+9,""))</f>
        <v>44656</v>
      </c>
      <c r="M15" s="31">
        <f>IF(DAY(Ne1Dub)=1,IF(AND(YEAR(Ne1Dub+3)=RokKalendáře,MONTH(Ne1Dub+3)=4),Ne1Dub+3,""),IF(AND(YEAR(Ne1Dub+10)=RokKalendáře,MONTH(Ne1Dub+10)=4),Ne1Dub+10,""))</f>
        <v>44657</v>
      </c>
      <c r="N15" s="31">
        <f>IF(DAY(Ne1Dub)=1,IF(AND(YEAR(Ne1Dub+4)=RokKalendáře,MONTH(Ne1Dub+4)=4),Ne1Dub+4,""),IF(AND(YEAR(Ne1Dub+11)=RokKalendáře,MONTH(Ne1Dub+11)=4),Ne1Dub+11,""))</f>
        <v>44658</v>
      </c>
      <c r="O15" s="31">
        <f>IF(DAY(Ne1Dub)=1,IF(AND(YEAR(Ne1Dub+5)=RokKalendáře,MONTH(Ne1Dub+5)=4),Ne1Dub+5,""),IF(AND(YEAR(Ne1Dub+12)=RokKalendáře,MONTH(Ne1Dub+12)=4),Ne1Dub+12,""))</f>
        <v>44659</v>
      </c>
      <c r="P15" s="31">
        <f>IF(DAY(Ne1Dub)=1,IF(AND(YEAR(Ne1Dub+6)=RokKalendáře,MONTH(Ne1Dub+6)=4),Ne1Dub+6,""),IF(AND(YEAR(Ne1Dub+13)=RokKalendáře,MONTH(Ne1Dub+13)=4),Ne1Dub+13,""))</f>
        <v>44660</v>
      </c>
      <c r="Q15" s="31">
        <f>IF(DAY(Ne1Dub)=1,IF(AND(YEAR(Ne1Dub+7)=RokKalendáře,MONTH(Ne1Dub+7)=4),Ne1Dub+7,""),IF(AND(YEAR(Ne1Dub+14)=RokKalendáře,MONTH(Ne1Dub+14)=4),Ne1Dub+14,""))</f>
        <v>44661</v>
      </c>
      <c r="S15" s="3"/>
      <c r="U15" s="7"/>
      <c r="V15" s="1"/>
      <c r="W15" s="1"/>
    </row>
    <row r="16" spans="1:41" ht="15" customHeight="1" x14ac:dyDescent="0.2">
      <c r="C16" s="31">
        <f>IF(DAY(Ne1Bře)=1,IF(AND(YEAR(Ne1Bře+8)=RokKalendáře,MONTH(Ne1Bře+8)=3),Ne1Bře+8,""),IF(AND(YEAR(Ne1Bře+15)=RokKalendáře,MONTH(Ne1Bře+15)=3),Ne1Bře+15,""))</f>
        <v>44634</v>
      </c>
      <c r="D16" s="31">
        <f>IF(DAY(Ne1Bře)=1,IF(AND(YEAR(Ne1Bře+9)=RokKalendáře,MONTH(Ne1Bře+9)=3),Ne1Bře+9,""),IF(AND(YEAR(Ne1Bře+16)=RokKalendáře,MONTH(Ne1Bře+16)=3),Ne1Bře+16,""))</f>
        <v>44635</v>
      </c>
      <c r="E16" s="31">
        <f>IF(DAY(Ne1Bře)=1,IF(AND(YEAR(Ne1Bře+10)=RokKalendáře,MONTH(Ne1Bře+10)=3),Ne1Bře+10,""),IF(AND(YEAR(Ne1Bře+17)=RokKalendáře,MONTH(Ne1Bře+17)=3),Ne1Bře+17,""))</f>
        <v>44636</v>
      </c>
      <c r="F16" s="31">
        <f>IF(DAY(Ne1Bře)=1,IF(AND(YEAR(Ne1Bře+11)=RokKalendáře,MONTH(Ne1Bře+11)=3),Ne1Bře+11,""),IF(AND(YEAR(Ne1Bře+18)=RokKalendáře,MONTH(Ne1Bře+18)=3),Ne1Bře+18,""))</f>
        <v>44637</v>
      </c>
      <c r="G16" s="31">
        <f>IF(DAY(Ne1Bře)=1,IF(AND(YEAR(Ne1Bře+12)=RokKalendáře,MONTH(Ne1Bře+12)=3),Ne1Bře+12,""),IF(AND(YEAR(Ne1Bře+19)=RokKalendáře,MONTH(Ne1Bře+19)=3),Ne1Bře+19,""))</f>
        <v>44638</v>
      </c>
      <c r="H16" s="31">
        <f>IF(DAY(Ne1Bře)=1,IF(AND(YEAR(Ne1Bře+13)=RokKalendáře,MONTH(Ne1Bře+13)=3),Ne1Bře+13,""),IF(AND(YEAR(Ne1Bře+20)=RokKalendáře,MONTH(Ne1Bře+20)=3),Ne1Bře+20,""))</f>
        <v>44639</v>
      </c>
      <c r="I16" s="31">
        <f>IF(DAY(Ne1Bře)=1,IF(AND(YEAR(Ne1Bře+14)=RokKalendáře,MONTH(Ne1Bře+14)=3),Ne1Bře+14,""),IF(AND(YEAR(Ne1Bře+21)=RokKalendáře,MONTH(Ne1Bře+21)=3),Ne1Bře+21,""))</f>
        <v>44640</v>
      </c>
      <c r="J16" s="28"/>
      <c r="K16" s="31">
        <f>IF(DAY(Ne1Dub)=1,IF(AND(YEAR(Ne1Dub+8)=RokKalendáře,MONTH(Ne1Dub+8)=4),Ne1Dub+8,""),IF(AND(YEAR(Ne1Dub+15)=RokKalendáře,MONTH(Ne1Dub+15)=4),Ne1Dub+15,""))</f>
        <v>44662</v>
      </c>
      <c r="L16" s="31">
        <f>IF(DAY(Ne1Dub)=1,IF(AND(YEAR(Ne1Dub+9)=RokKalendáře,MONTH(Ne1Dub+9)=4),Ne1Dub+9,""),IF(AND(YEAR(Ne1Dub+16)=RokKalendáře,MONTH(Ne1Dub+16)=4),Ne1Dub+16,""))</f>
        <v>44663</v>
      </c>
      <c r="M16" s="31">
        <f>IF(DAY(Ne1Dub)=1,IF(AND(YEAR(Ne1Dub+10)=RokKalendáře,MONTH(Ne1Dub+10)=4),Ne1Dub+10,""),IF(AND(YEAR(Ne1Dub+17)=RokKalendáře,MONTH(Ne1Dub+17)=4),Ne1Dub+17,""))</f>
        <v>44664</v>
      </c>
      <c r="N16" s="31">
        <f>IF(DAY(Ne1Dub)=1,IF(AND(YEAR(Ne1Dub+11)=RokKalendáře,MONTH(Ne1Dub+11)=4),Ne1Dub+11,""),IF(AND(YEAR(Ne1Dub+18)=RokKalendáře,MONTH(Ne1Dub+18)=4),Ne1Dub+18,""))</f>
        <v>44665</v>
      </c>
      <c r="O16" s="31">
        <f>IF(DAY(Ne1Dub)=1,IF(AND(YEAR(Ne1Dub+12)=RokKalendáře,MONTH(Ne1Dub+12)=4),Ne1Dub+12,""),IF(AND(YEAR(Ne1Dub+19)=RokKalendáře,MONTH(Ne1Dub+19)=4),Ne1Dub+19,""))</f>
        <v>44666</v>
      </c>
      <c r="P16" s="31">
        <f>IF(DAY(Ne1Dub)=1,IF(AND(YEAR(Ne1Dub+13)=RokKalendáře,MONTH(Ne1Dub+13)=4),Ne1Dub+13,""),IF(AND(YEAR(Ne1Dub+20)=RokKalendáře,MONTH(Ne1Dub+20)=4),Ne1Dub+20,""))</f>
        <v>44667</v>
      </c>
      <c r="Q16" s="31">
        <f>IF(DAY(Ne1Dub)=1,IF(AND(YEAR(Ne1Dub+14)=RokKalendáře,MONTH(Ne1Dub+14)=4),Ne1Dub+14,""),IF(AND(YEAR(Ne1Dub+21)=RokKalendáře,MONTH(Ne1Dub+21)=4),Ne1Dub+21,""))</f>
        <v>44668</v>
      </c>
      <c r="S16" s="3"/>
      <c r="U16" s="9"/>
      <c r="V16" s="1"/>
      <c r="W16" s="1"/>
    </row>
    <row r="17" spans="1:41" ht="15" customHeight="1" x14ac:dyDescent="0.2">
      <c r="C17" s="31">
        <f>IF(DAY(Ne1Bře)=1,IF(AND(YEAR(Ne1Bře+15)=RokKalendáře,MONTH(Ne1Bře+15)=3),Ne1Bře+15,""),IF(AND(YEAR(Ne1Bře+22)=RokKalendáře,MONTH(Ne1Bře+22)=3),Ne1Bře+22,""))</f>
        <v>44641</v>
      </c>
      <c r="D17" s="31">
        <f>IF(DAY(Ne1Bře)=1,IF(AND(YEAR(Ne1Bře+16)=RokKalendáře,MONTH(Ne1Bře+16)=3),Ne1Bře+16,""),IF(AND(YEAR(Ne1Bře+23)=RokKalendáře,MONTH(Ne1Bře+23)=3),Ne1Bře+23,""))</f>
        <v>44642</v>
      </c>
      <c r="E17" s="31">
        <f>IF(DAY(Ne1Bře)=1,IF(AND(YEAR(Ne1Bře+17)=RokKalendáře,MONTH(Ne1Bře+17)=3),Ne1Bře+17,""),IF(AND(YEAR(Ne1Bře+24)=RokKalendáře,MONTH(Ne1Bře+24)=3),Ne1Bře+24,""))</f>
        <v>44643</v>
      </c>
      <c r="F17" s="31">
        <f>IF(DAY(Ne1Bře)=1,IF(AND(YEAR(Ne1Bře+18)=RokKalendáře,MONTH(Ne1Bře+18)=3),Ne1Bře+18,""),IF(AND(YEAR(Ne1Bře+25)=RokKalendáře,MONTH(Ne1Bře+25)=3),Ne1Bře+25,""))</f>
        <v>44644</v>
      </c>
      <c r="G17" s="31">
        <f>IF(DAY(Ne1Bře)=1,IF(AND(YEAR(Ne1Bře+19)=RokKalendáře,MONTH(Ne1Bře+19)=3),Ne1Bře+19,""),IF(AND(YEAR(Ne1Bře+26)=RokKalendáře,MONTH(Ne1Bře+26)=3),Ne1Bře+26,""))</f>
        <v>44645</v>
      </c>
      <c r="H17" s="31">
        <f>IF(DAY(Ne1Bře)=1,IF(AND(YEAR(Ne1Bře+20)=RokKalendáře,MONTH(Ne1Bře+20)=3),Ne1Bře+20,""),IF(AND(YEAR(Ne1Bře+27)=RokKalendáře,MONTH(Ne1Bře+27)=3),Ne1Bře+27,""))</f>
        <v>44646</v>
      </c>
      <c r="I17" s="31">
        <f>IF(DAY(Ne1Bře)=1,IF(AND(YEAR(Ne1Bře+21)=RokKalendáře,MONTH(Ne1Bře+21)=3),Ne1Bře+21,""),IF(AND(YEAR(Ne1Bře+28)=RokKalendáře,MONTH(Ne1Bře+28)=3),Ne1Bře+28,""))</f>
        <v>44647</v>
      </c>
      <c r="J17" s="28"/>
      <c r="K17" s="31">
        <f>IF(DAY(Ne1Dub)=1,IF(AND(YEAR(Ne1Dub+15)=RokKalendáře,MONTH(Ne1Dub+15)=4),Ne1Dub+15,""),IF(AND(YEAR(Ne1Dub+22)=RokKalendáře,MONTH(Ne1Dub+22)=4),Ne1Dub+22,""))</f>
        <v>44669</v>
      </c>
      <c r="L17" s="31">
        <f>IF(DAY(Ne1Dub)=1,IF(AND(YEAR(Ne1Dub+16)=RokKalendáře,MONTH(Ne1Dub+16)=4),Ne1Dub+16,""),IF(AND(YEAR(Ne1Dub+23)=RokKalendáře,MONTH(Ne1Dub+23)=4),Ne1Dub+23,""))</f>
        <v>44670</v>
      </c>
      <c r="M17" s="31">
        <f>IF(DAY(Ne1Dub)=1,IF(AND(YEAR(Ne1Dub+17)=RokKalendáře,MONTH(Ne1Dub+17)=4),Ne1Dub+17,""),IF(AND(YEAR(Ne1Dub+24)=RokKalendáře,MONTH(Ne1Dub+24)=4),Ne1Dub+24,""))</f>
        <v>44671</v>
      </c>
      <c r="N17" s="31">
        <f>IF(DAY(Ne1Dub)=1,IF(AND(YEAR(Ne1Dub+18)=RokKalendáře,MONTH(Ne1Dub+18)=4),Ne1Dub+18,""),IF(AND(YEAR(Ne1Dub+25)=RokKalendáře,MONTH(Ne1Dub+25)=4),Ne1Dub+25,""))</f>
        <v>44672</v>
      </c>
      <c r="O17" s="31">
        <f>IF(DAY(Ne1Dub)=1,IF(AND(YEAR(Ne1Dub+19)=RokKalendáře,MONTH(Ne1Dub+19)=4),Ne1Dub+19,""),IF(AND(YEAR(Ne1Dub+26)=RokKalendáře,MONTH(Ne1Dub+26)=4),Ne1Dub+26,""))</f>
        <v>44673</v>
      </c>
      <c r="P17" s="31">
        <f>IF(DAY(Ne1Dub)=1,IF(AND(YEAR(Ne1Dub+20)=RokKalendáře,MONTH(Ne1Dub+20)=4),Ne1Dub+20,""),IF(AND(YEAR(Ne1Dub+27)=RokKalendáře,MONTH(Ne1Dub+27)=4),Ne1Dub+27,""))</f>
        <v>44674</v>
      </c>
      <c r="Q17" s="31">
        <f>IF(DAY(Ne1Dub)=1,IF(AND(YEAR(Ne1Dub+21)=RokKalendáře,MONTH(Ne1Dub+21)=4),Ne1Dub+21,""),IF(AND(YEAR(Ne1Dub+28)=RokKalendáře,MONTH(Ne1Dub+28)=4),Ne1Dub+28,""))</f>
        <v>44675</v>
      </c>
      <c r="S17" s="3"/>
      <c r="U17" s="6"/>
      <c r="V17" s="1"/>
      <c r="W17" s="1"/>
    </row>
    <row r="18" spans="1:41" ht="15" customHeight="1" x14ac:dyDescent="0.2">
      <c r="C18" s="31">
        <f>IF(DAY(Ne1Bře)=1,IF(AND(YEAR(Ne1Bře+22)=RokKalendáře,MONTH(Ne1Bře+22)=3),Ne1Bře+22,""),IF(AND(YEAR(Ne1Bře+29)=RokKalendáře,MONTH(Ne1Bře+29)=3),Ne1Bře+29,""))</f>
        <v>44648</v>
      </c>
      <c r="D18" s="31">
        <f>IF(DAY(Ne1Bře)=1,IF(AND(YEAR(Ne1Bře+23)=RokKalendáře,MONTH(Ne1Bře+23)=3),Ne1Bře+23,""),IF(AND(YEAR(Ne1Bře+30)=RokKalendáře,MONTH(Ne1Bře+30)=3),Ne1Bře+30,""))</f>
        <v>44649</v>
      </c>
      <c r="E18" s="31">
        <f>IF(DAY(Ne1Bře)=1,IF(AND(YEAR(Ne1Bře+24)=RokKalendáře,MONTH(Ne1Bře+24)=3),Ne1Bře+24,""),IF(AND(YEAR(Ne1Bře+31)=RokKalendáře,MONTH(Ne1Bře+31)=3),Ne1Bře+31,""))</f>
        <v>44650</v>
      </c>
      <c r="F18" s="31">
        <f>IF(DAY(Ne1Bře)=1,IF(AND(YEAR(Ne1Bře+25)=RokKalendáře,MONTH(Ne1Bře+25)=3),Ne1Bře+25,""),IF(AND(YEAR(Ne1Bře+32)=RokKalendáře,MONTH(Ne1Bře+32)=3),Ne1Bře+32,""))</f>
        <v>44651</v>
      </c>
      <c r="G18" s="31" t="str">
        <f>IF(DAY(Ne1Bře)=1,IF(AND(YEAR(Ne1Bře+26)=RokKalendáře,MONTH(Ne1Bře+26)=3),Ne1Bře+26,""),IF(AND(YEAR(Ne1Bře+33)=RokKalendáře,MONTH(Ne1Bře+33)=3),Ne1Bře+33,""))</f>
        <v/>
      </c>
      <c r="H18" s="31" t="str">
        <f>IF(DAY(Ne1Bře)=1,IF(AND(YEAR(Ne1Bře+27)=RokKalendáře,MONTH(Ne1Bře+27)=3),Ne1Bře+27,""),IF(AND(YEAR(Ne1Bře+34)=RokKalendáře,MONTH(Ne1Bře+34)=3),Ne1Bře+34,""))</f>
        <v/>
      </c>
      <c r="I18" s="31" t="str">
        <f>IF(DAY(Ne1Bře)=1,IF(AND(YEAR(Ne1Bře+28)=RokKalendáře,MONTH(Ne1Bře+28)=3),Ne1Bře+28,""),IF(AND(YEAR(Ne1Bře+35)=RokKalendáře,MONTH(Ne1Bře+35)=3),Ne1Bře+35,""))</f>
        <v/>
      </c>
      <c r="J18" s="28"/>
      <c r="K18" s="31">
        <f>IF(DAY(Ne1Dub)=1,IF(AND(YEAR(Ne1Dub+22)=RokKalendáře,MONTH(Ne1Dub+22)=4),Ne1Dub+22,""),IF(AND(YEAR(Ne1Dub+29)=RokKalendáře,MONTH(Ne1Dub+29)=4),Ne1Dub+29,""))</f>
        <v>44676</v>
      </c>
      <c r="L18" s="31">
        <f>IF(DAY(Ne1Dub)=1,IF(AND(YEAR(Ne1Dub+23)=RokKalendáře,MONTH(Ne1Dub+23)=4),Ne1Dub+23,""),IF(AND(YEAR(Ne1Dub+30)=RokKalendáře,MONTH(Ne1Dub+30)=4),Ne1Dub+30,""))</f>
        <v>44677</v>
      </c>
      <c r="M18" s="31">
        <f>IF(DAY(Ne1Dub)=1,IF(AND(YEAR(Ne1Dub+24)=RokKalendáře,MONTH(Ne1Dub+24)=4),Ne1Dub+24,""),IF(AND(YEAR(Ne1Dub+31)=RokKalendáře,MONTH(Ne1Dub+31)=4),Ne1Dub+31,""))</f>
        <v>44678</v>
      </c>
      <c r="N18" s="31">
        <f>IF(DAY(Ne1Dub)=1,IF(AND(YEAR(Ne1Dub+25)=RokKalendáře,MONTH(Ne1Dub+25)=4),Ne1Dub+25,""),IF(AND(YEAR(Ne1Dub+32)=RokKalendáře,MONTH(Ne1Dub+32)=4),Ne1Dub+32,""))</f>
        <v>44679</v>
      </c>
      <c r="O18" s="31">
        <f>IF(DAY(Ne1Dub)=1,IF(AND(YEAR(Ne1Dub+26)=RokKalendáře,MONTH(Ne1Dub+26)=4),Ne1Dub+26,""),IF(AND(YEAR(Ne1Dub+33)=RokKalendáře,MONTH(Ne1Dub+33)=4),Ne1Dub+33,""))</f>
        <v>44680</v>
      </c>
      <c r="P18" s="31">
        <f>IF(DAY(Ne1Dub)=1,IF(AND(YEAR(Ne1Dub+27)=RokKalendáře,MONTH(Ne1Dub+27)=4),Ne1Dub+27,""),IF(AND(YEAR(Ne1Dub+34)=RokKalendáře,MONTH(Ne1Dub+34)=4),Ne1Dub+34,""))</f>
        <v>44681</v>
      </c>
      <c r="Q18" s="31" t="str">
        <f>IF(DAY(Ne1Dub)=1,IF(AND(YEAR(Ne1Dub+28)=RokKalendáře,MONTH(Ne1Dub+28)=4),Ne1Dub+28,""),IF(AND(YEAR(Ne1Dub+35)=RokKalendáře,MONTH(Ne1Dub+35)=4),Ne1Dub+35,""))</f>
        <v/>
      </c>
      <c r="S18" s="3"/>
      <c r="U18" s="7"/>
      <c r="V18" s="1"/>
      <c r="W18" s="1"/>
    </row>
    <row r="19" spans="1:41" ht="15" customHeight="1" x14ac:dyDescent="0.2">
      <c r="C19" s="31" t="str">
        <f>IF(DAY(Ne1Bře)=1,IF(AND(YEAR(Ne1Bře+29)=RokKalendáře,MONTH(Ne1Bře+29)=3),Ne1Bře+29,""),IF(AND(YEAR(Ne1Bře+36)=RokKalendáře,MONTH(Ne1Bře+36)=3),Ne1Bře+36,""))</f>
        <v/>
      </c>
      <c r="D19" s="31" t="str">
        <f>IF(DAY(Ne1Bře)=1,IF(AND(YEAR(Ne1Bře+30)=RokKalendáře,MONTH(Ne1Bře+30)=3),Ne1Bře+30,""),IF(AND(YEAR(Ne1Bře+37)=RokKalendáře,MONTH(Ne1Bře+37)=3),Ne1Bře+37,""))</f>
        <v/>
      </c>
      <c r="E19" s="31" t="str">
        <f>IF(DAY(Ne1Bře)=1,IF(AND(YEAR(Ne1Bře+31)=RokKalendáře,MONTH(Ne1Bře+31)=3),Ne1Bře+31,""),IF(AND(YEAR(Ne1Bře+38)=RokKalendáře,MONTH(Ne1Bře+38)=3),Ne1Bře+38,""))</f>
        <v/>
      </c>
      <c r="F19" s="31" t="str">
        <f>IF(DAY(Ne1Bře)=1,IF(AND(YEAR(Ne1Bře+32)=RokKalendáře,MONTH(Ne1Bře+32)=3),Ne1Bře+32,""),IF(AND(YEAR(Ne1Bře+39)=RokKalendáře,MONTH(Ne1Bře+39)=3),Ne1Bře+39,""))</f>
        <v/>
      </c>
      <c r="G19" s="31" t="str">
        <f>IF(DAY(Ne1Bře)=1,IF(AND(YEAR(Ne1Bře+33)=RokKalendáře,MONTH(Ne1Bře+33)=3),Ne1Bře+33,""),IF(AND(YEAR(Ne1Bře+40)=RokKalendáře,MONTH(Ne1Bře+40)=3),Ne1Bře+40,""))</f>
        <v/>
      </c>
      <c r="H19" s="31" t="str">
        <f>IF(DAY(Ne1Bře)=1,IF(AND(YEAR(Ne1Bře+34)=RokKalendáře,MONTH(Ne1Bře+34)=3),Ne1Bře+34,""),IF(AND(YEAR(Ne1Bře+41)=RokKalendáře,MONTH(Ne1Bře+41)=3),Ne1Bře+41,""))</f>
        <v/>
      </c>
      <c r="I19" s="31" t="str">
        <f>IF(DAY(Ne1Bře)=1,IF(AND(YEAR(Ne1Bře+35)=RokKalendáře,MONTH(Ne1Bře+35)=3),Ne1Bře+35,""),IF(AND(YEAR(Ne1Bře+42)=RokKalendáře,MONTH(Ne1Bře+42)=3),Ne1Bře+42,""))</f>
        <v/>
      </c>
      <c r="J19" s="28"/>
      <c r="K19" s="31" t="str">
        <f>IF(DAY(Ne1Dub)=1,IF(AND(YEAR(Ne1Dub+29)=RokKalendáře,MONTH(Ne1Dub+29)=4),Ne1Dub+29,""),IF(AND(YEAR(Ne1Dub+36)=RokKalendáře,MONTH(Ne1Dub+36)=4),Ne1Dub+36,""))</f>
        <v/>
      </c>
      <c r="L19" s="31" t="str">
        <f>IF(DAY(Ne1Dub)=1,IF(AND(YEAR(Ne1Dub+30)=RokKalendáře,MONTH(Ne1Dub+30)=4),Ne1Dub+30,""),IF(AND(YEAR(Ne1Dub+37)=RokKalendáře,MONTH(Ne1Dub+37)=4),Ne1Dub+37,""))</f>
        <v/>
      </c>
      <c r="M19" s="31" t="str">
        <f>IF(DAY(Ne1Dub)=1,IF(AND(YEAR(Ne1Dub+31)=RokKalendáře,MONTH(Ne1Dub+31)=4),Ne1Dub+31,""),IF(AND(YEAR(Ne1Dub+38)=RokKalendáře,MONTH(Ne1Dub+38)=4),Ne1Dub+38,""))</f>
        <v/>
      </c>
      <c r="N19" s="31" t="str">
        <f>IF(DAY(Ne1Dub)=1,IF(AND(YEAR(Ne1Dub+32)=RokKalendáře,MONTH(Ne1Dub+32)=4),Ne1Dub+32,""),IF(AND(YEAR(Ne1Dub+39)=RokKalendáře,MONTH(Ne1Dub+39)=4),Ne1Dub+39,""))</f>
        <v/>
      </c>
      <c r="O19" s="31" t="str">
        <f>IF(DAY(Ne1Dub)=1,IF(AND(YEAR(Ne1Dub+33)=RokKalendáře,MONTH(Ne1Dub+33)=4),Ne1Dub+33,""),IF(AND(YEAR(Ne1Dub+40)=RokKalendáře,MONTH(Ne1Dub+40)=4),Ne1Dub+40,""))</f>
        <v/>
      </c>
      <c r="P19" s="31" t="str">
        <f>IF(DAY(Ne1Dub)=1,IF(AND(YEAR(Ne1Dub+34)=RokKalendáře,MONTH(Ne1Dub+34)=4),Ne1Dub+34,""),IF(AND(YEAR(Ne1Dub+41)=RokKalendáře,MONTH(Ne1Dub+41)=4),Ne1Dub+41,""))</f>
        <v/>
      </c>
      <c r="Q19" s="31" t="str">
        <f>IF(DAY(Ne1Dub)=1,IF(AND(YEAR(Ne1Dub+35)=RokKalendáře,MONTH(Ne1Dub+35)=4),Ne1Dub+35,""),IF(AND(YEAR(Ne1Dub+42)=RokKalendáře,MONTH(Ne1Dub+42)=4),Ne1Dub+42,""))</f>
        <v/>
      </c>
      <c r="S19" s="3"/>
      <c r="U19" s="9"/>
      <c r="V19" s="1"/>
      <c r="W19" s="1"/>
    </row>
    <row r="20" spans="1:41" ht="15" customHeight="1" x14ac:dyDescent="0.2">
      <c r="J20" s="28"/>
      <c r="S20" s="3"/>
      <c r="U20" s="6"/>
      <c r="V20" s="1"/>
      <c r="W20" s="1"/>
    </row>
    <row r="21" spans="1:41" ht="15" customHeight="1" x14ac:dyDescent="0.2">
      <c r="A21" s="24" t="s">
        <v>13</v>
      </c>
      <c r="C21" s="33" t="s">
        <v>29</v>
      </c>
      <c r="D21" s="33"/>
      <c r="E21" s="33"/>
      <c r="F21" s="33"/>
      <c r="G21" s="33"/>
      <c r="H21" s="33"/>
      <c r="I21" s="33"/>
      <c r="J21" s="28"/>
      <c r="K21" s="33" t="s">
        <v>41</v>
      </c>
      <c r="L21" s="33"/>
      <c r="M21" s="33"/>
      <c r="N21" s="33"/>
      <c r="O21" s="33"/>
      <c r="P21" s="33"/>
      <c r="Q21" s="33"/>
      <c r="S21" s="30"/>
      <c r="U21" s="7"/>
      <c r="V21" s="1"/>
      <c r="W21" s="1"/>
      <c r="X21" s="29"/>
      <c r="Y21" s="29"/>
      <c r="AA21" s="29"/>
      <c r="AB21" s="29"/>
      <c r="AC21" s="29"/>
      <c r="AD21" s="29"/>
      <c r="AE21" s="29"/>
      <c r="AF21" s="29"/>
      <c r="AG21" s="29"/>
      <c r="AI21" s="29"/>
      <c r="AJ21" s="29"/>
      <c r="AK21" s="29"/>
      <c r="AL21" s="29"/>
      <c r="AM21" s="29"/>
      <c r="AN21" s="29"/>
      <c r="AO21" s="29"/>
    </row>
    <row r="22" spans="1:41" ht="15" customHeight="1" x14ac:dyDescent="0.2">
      <c r="A22" s="24" t="s">
        <v>14</v>
      </c>
      <c r="C22" s="17" t="s">
        <v>27</v>
      </c>
      <c r="D22" s="17" t="s">
        <v>33</v>
      </c>
      <c r="E22" s="17" t="s">
        <v>34</v>
      </c>
      <c r="F22" s="17" t="s">
        <v>35</v>
      </c>
      <c r="G22" s="17" t="s">
        <v>36</v>
      </c>
      <c r="H22" s="17" t="s">
        <v>37</v>
      </c>
      <c r="I22" s="17" t="s">
        <v>38</v>
      </c>
      <c r="J22" s="29"/>
      <c r="K22" s="17" t="s">
        <v>27</v>
      </c>
      <c r="L22" s="17" t="s">
        <v>33</v>
      </c>
      <c r="M22" s="17" t="s">
        <v>34</v>
      </c>
      <c r="N22" s="17" t="s">
        <v>35</v>
      </c>
      <c r="O22" s="17" t="s">
        <v>36</v>
      </c>
      <c r="P22" s="17" t="s">
        <v>37</v>
      </c>
      <c r="Q22" s="17" t="s">
        <v>38</v>
      </c>
      <c r="S22" s="3"/>
      <c r="U22" s="9"/>
      <c r="V22" s="1"/>
      <c r="W22" s="1"/>
    </row>
    <row r="23" spans="1:41" ht="15" customHeight="1" x14ac:dyDescent="0.25">
      <c r="A23" s="24"/>
      <c r="C23" s="31" t="str">
        <f>IF(DAY(Ne1Kvě)=1,"",IF(AND(YEAR(Ne1Kvě+1)=RokKalendáře,MONTH(Ne1Kvě+1)=5),Ne1Kvě+1,""))</f>
        <v/>
      </c>
      <c r="D23" s="31" t="str">
        <f>IF(DAY(Ne1Kvě)=1,"",IF(AND(YEAR(Ne1Kvě+2)=RokKalendáře,MONTH(Ne1Kvě+2)=5),Ne1Kvě+2,""))</f>
        <v/>
      </c>
      <c r="E23" s="31" t="str">
        <f>IF(DAY(Ne1Kvě)=1,"",IF(AND(YEAR(Ne1Kvě+3)=RokKalendáře,MONTH(Ne1Kvě+3)=5),Ne1Kvě+3,""))</f>
        <v/>
      </c>
      <c r="F23" s="31" t="str">
        <f>IF(DAY(Ne1Kvě)=1,"",IF(AND(YEAR(Ne1Kvě+4)=RokKalendáře,MONTH(Ne1Kvě+4)=5),Ne1Kvě+4,""))</f>
        <v/>
      </c>
      <c r="G23" s="31" t="str">
        <f>IF(DAY(Ne1Kvě)=1,"",IF(AND(YEAR(Ne1Kvě+5)=RokKalendáře,MONTH(Ne1Kvě+5)=5),Ne1Kvě+5,""))</f>
        <v/>
      </c>
      <c r="H23" s="31" t="str">
        <f>IF(DAY(Ne1Kvě)=1,"",IF(AND(YEAR(Ne1Kvě+6)=RokKalendáře,MONTH(Ne1Kvě+6)=5),Ne1Kvě+6,""))</f>
        <v/>
      </c>
      <c r="I23" s="31">
        <f>IF(DAY(Ne1Kvě)=1,IF(AND(YEAR(Ne1Kvě)=RokKalendáře,MONTH(Ne1Kvě)=5),Ne1Kvě,""),IF(AND(YEAR(Ne1Kvě+7)=RokKalendáře,MONTH(Ne1Kvě+7)=5),Ne1Kvě+7,""))</f>
        <v>44682</v>
      </c>
      <c r="J23" s="2"/>
      <c r="K23" s="31" t="str">
        <f>IF(DAY(Ne1Čer)=1,"",IF(AND(YEAR(Ne1Čer+1)=RokKalendáře,MONTH(Ne1Čer+1)=6),Ne1Čer+1,""))</f>
        <v/>
      </c>
      <c r="L23" s="31" t="str">
        <f>IF(DAY(Ne1Čer)=1,"",IF(AND(YEAR(Ne1Čer+2)=RokKalendáře,MONTH(Ne1Čer+2)=6),Ne1Čer+2,""))</f>
        <v/>
      </c>
      <c r="M23" s="31">
        <f>IF(DAY(Ne1Čer)=1,"",IF(AND(YEAR(Ne1Čer+3)=RokKalendáře,MONTH(Ne1Čer+3)=6),Ne1Čer+3,""))</f>
        <v>44713</v>
      </c>
      <c r="N23" s="31">
        <f>IF(DAY(Ne1Čer)=1,"",IF(AND(YEAR(Ne1Čer+4)=RokKalendáře,MONTH(Ne1Čer+4)=6),Ne1Čer+4,""))</f>
        <v>44714</v>
      </c>
      <c r="O23" s="31">
        <f>IF(DAY(Ne1Čer)=1,"",IF(AND(YEAR(Ne1Čer+5)=RokKalendáře,MONTH(Ne1Čer+5)=6),Ne1Čer+5,""))</f>
        <v>44715</v>
      </c>
      <c r="P23" s="31">
        <f>IF(DAY(Ne1Čer)=1,"",IF(AND(YEAR(Ne1Čer+6)=RokKalendáře,MONTH(Ne1Čer+6)=6),Ne1Čer+6,""))</f>
        <v>44716</v>
      </c>
      <c r="Q23" s="31">
        <f>IF(DAY(Ne1Čer)=1,IF(AND(YEAR(Ne1Čer)=RokKalendáře,MONTH(Ne1Čer)=6),Ne1Čer,""),IF(AND(YEAR(Ne1Čer+7)=RokKalendáře,MONTH(Ne1Čer+7)=6),Ne1Čer+7,""))</f>
        <v>44717</v>
      </c>
      <c r="S23" s="3"/>
      <c r="U23" s="6"/>
      <c r="V23" s="1"/>
      <c r="W23" s="1"/>
    </row>
    <row r="24" spans="1:41" ht="15" customHeight="1" x14ac:dyDescent="0.2">
      <c r="C24" s="31">
        <f>IF(DAY(Ne1Kvě)=1,IF(AND(YEAR(Ne1Kvě+1)=RokKalendáře,MONTH(Ne1Kvě+1)=5),Ne1Kvě+1,""),IF(AND(YEAR(Ne1Kvě+8)=RokKalendáře,MONTH(Ne1Kvě+8)=5),Ne1Kvě+8,""))</f>
        <v>44683</v>
      </c>
      <c r="D24" s="31">
        <f>IF(DAY(Ne1Kvě)=1,IF(AND(YEAR(Ne1Kvě+2)=RokKalendáře,MONTH(Ne1Kvě+2)=5),Ne1Kvě+2,""),IF(AND(YEAR(Ne1Kvě+9)=RokKalendáře,MONTH(Ne1Kvě+9)=5),Ne1Kvě+9,""))</f>
        <v>44684</v>
      </c>
      <c r="E24" s="31">
        <f>IF(DAY(Ne1Kvě)=1,IF(AND(YEAR(Ne1Kvě+3)=RokKalendáře,MONTH(Ne1Kvě+3)=5),Ne1Kvě+3,""),IF(AND(YEAR(Ne1Kvě+10)=RokKalendáře,MONTH(Ne1Kvě+10)=5),Ne1Kvě+10,""))</f>
        <v>44685</v>
      </c>
      <c r="F24" s="31">
        <f>IF(DAY(Ne1Kvě)=1,IF(AND(YEAR(Ne1Kvě+4)=RokKalendáře,MONTH(Ne1Kvě+4)=5),Ne1Kvě+4,""),IF(AND(YEAR(Ne1Kvě+11)=RokKalendáře,MONTH(Ne1Kvě+11)=5),Ne1Kvě+11,""))</f>
        <v>44686</v>
      </c>
      <c r="G24" s="31">
        <f>IF(DAY(Ne1Kvě)=1,IF(AND(YEAR(Ne1Kvě+5)=RokKalendáře,MONTH(Ne1Kvě+5)=5),Ne1Kvě+5,""),IF(AND(YEAR(Ne1Kvě+12)=RokKalendáře,MONTH(Ne1Kvě+12)=5),Ne1Kvě+12,""))</f>
        <v>44687</v>
      </c>
      <c r="H24" s="31">
        <f>IF(DAY(Ne1Kvě)=1,IF(AND(YEAR(Ne1Kvě+6)=RokKalendáře,MONTH(Ne1Kvě+6)=5),Ne1Kvě+6,""),IF(AND(YEAR(Ne1Kvě+13)=RokKalendáře,MONTH(Ne1Kvě+13)=5),Ne1Kvě+13,""))</f>
        <v>44688</v>
      </c>
      <c r="I24" s="31">
        <f>IF(DAY(Ne1Kvě)=1,IF(AND(YEAR(Ne1Kvě+7)=RokKalendáře,MONTH(Ne1Kvě+7)=5),Ne1Kvě+7,""),IF(AND(YEAR(Ne1Kvě+14)=RokKalendáře,MONTH(Ne1Kvě+14)=5),Ne1Kvě+14,""))</f>
        <v>44689</v>
      </c>
      <c r="J24" s="1"/>
      <c r="K24" s="31">
        <f>IF(DAY(Ne1Čer)=1,IF(AND(YEAR(Ne1Čer+1)=RokKalendáře,MONTH(Ne1Čer+1)=6),Ne1Čer+1,""),IF(AND(YEAR(Ne1Čer+8)=RokKalendáře,MONTH(Ne1Čer+8)=6),Ne1Čer+8,""))</f>
        <v>44718</v>
      </c>
      <c r="L24" s="31">
        <f>IF(DAY(Ne1Čer)=1,IF(AND(YEAR(Ne1Čer+2)=RokKalendáře,MONTH(Ne1Čer+2)=6),Ne1Čer+2,""),IF(AND(YEAR(Ne1Čer+9)=RokKalendáře,MONTH(Ne1Čer+9)=6),Ne1Čer+9,""))</f>
        <v>44719</v>
      </c>
      <c r="M24" s="31">
        <f>IF(DAY(Ne1Čer)=1,IF(AND(YEAR(Ne1Čer+3)=RokKalendáře,MONTH(Ne1Čer+3)=6),Ne1Čer+3,""),IF(AND(YEAR(Ne1Čer+10)=RokKalendáře,MONTH(Ne1Čer+10)=6),Ne1Čer+10,""))</f>
        <v>44720</v>
      </c>
      <c r="N24" s="31">
        <f>IF(DAY(Ne1Čer)=1,IF(AND(YEAR(Ne1Čer+4)=RokKalendáře,MONTH(Ne1Čer+4)=6),Ne1Čer+4,""),IF(AND(YEAR(Ne1Čer+11)=RokKalendáře,MONTH(Ne1Čer+11)=6),Ne1Čer+11,""))</f>
        <v>44721</v>
      </c>
      <c r="O24" s="31">
        <f>IF(DAY(Ne1Čer)=1,IF(AND(YEAR(Ne1Čer+5)=RokKalendáře,MONTH(Ne1Čer+5)=6),Ne1Čer+5,""),IF(AND(YEAR(Ne1Čer+12)=RokKalendáře,MONTH(Ne1Čer+12)=6),Ne1Čer+12,""))</f>
        <v>44722</v>
      </c>
      <c r="P24" s="31">
        <f>IF(DAY(Ne1Čer)=1,IF(AND(YEAR(Ne1Čer+6)=RokKalendáře,MONTH(Ne1Čer+6)=6),Ne1Čer+6,""),IF(AND(YEAR(Ne1Čer+13)=RokKalendáře,MONTH(Ne1Čer+13)=6),Ne1Čer+13,""))</f>
        <v>44723</v>
      </c>
      <c r="Q24" s="31">
        <f>IF(DAY(Ne1Čer)=1,IF(AND(YEAR(Ne1Čer+7)=RokKalendáře,MONTH(Ne1Čer+7)=6),Ne1Čer+7,""),IF(AND(YEAR(Ne1Čer+14)=RokKalendáře,MONTH(Ne1Čer+14)=6),Ne1Čer+14,""))</f>
        <v>44724</v>
      </c>
      <c r="S24" s="3"/>
      <c r="U24" s="7"/>
      <c r="V24" s="1"/>
      <c r="W24" s="1"/>
    </row>
    <row r="25" spans="1:41" ht="15" customHeight="1" x14ac:dyDescent="0.2">
      <c r="C25" s="31">
        <f>IF(DAY(Ne1Kvě)=1,IF(AND(YEAR(Ne1Kvě+8)=RokKalendáře,MONTH(Ne1Kvě+8)=5),Ne1Kvě+8,""),IF(AND(YEAR(Ne1Kvě+15)=RokKalendáře,MONTH(Ne1Kvě+15)=5),Ne1Kvě+15,""))</f>
        <v>44690</v>
      </c>
      <c r="D25" s="31">
        <f>IF(DAY(Ne1Kvě)=1,IF(AND(YEAR(Ne1Kvě+9)=RokKalendáře,MONTH(Ne1Kvě+9)=5),Ne1Kvě+9,""),IF(AND(YEAR(Ne1Kvě+16)=RokKalendáře,MONTH(Ne1Kvě+16)=5),Ne1Kvě+16,""))</f>
        <v>44691</v>
      </c>
      <c r="E25" s="31">
        <f>IF(DAY(Ne1Kvě)=1,IF(AND(YEAR(Ne1Kvě+10)=RokKalendáře,MONTH(Ne1Kvě+10)=5),Ne1Kvě+10,""),IF(AND(YEAR(Ne1Kvě+17)=RokKalendáře,MONTH(Ne1Kvě+17)=5),Ne1Kvě+17,""))</f>
        <v>44692</v>
      </c>
      <c r="F25" s="31">
        <f>IF(DAY(Ne1Kvě)=1,IF(AND(YEAR(Ne1Kvě+11)=RokKalendáře,MONTH(Ne1Kvě+11)=5),Ne1Kvě+11,""),IF(AND(YEAR(Ne1Kvě+18)=RokKalendáře,MONTH(Ne1Kvě+18)=5),Ne1Kvě+18,""))</f>
        <v>44693</v>
      </c>
      <c r="G25" s="31">
        <f>IF(DAY(Ne1Kvě)=1,IF(AND(YEAR(Ne1Kvě+12)=RokKalendáře,MONTH(Ne1Kvě+12)=5),Ne1Kvě+12,""),IF(AND(YEAR(Ne1Kvě+19)=RokKalendáře,MONTH(Ne1Kvě+19)=5),Ne1Kvě+19,""))</f>
        <v>44694</v>
      </c>
      <c r="H25" s="31">
        <f>IF(DAY(Ne1Kvě)=1,IF(AND(YEAR(Ne1Kvě+13)=RokKalendáře,MONTH(Ne1Kvě+13)=5),Ne1Kvě+13,""),IF(AND(YEAR(Ne1Kvě+20)=RokKalendáře,MONTH(Ne1Kvě+20)=5),Ne1Kvě+20,""))</f>
        <v>44695</v>
      </c>
      <c r="I25" s="31">
        <f>IF(DAY(Ne1Kvě)=1,IF(AND(YEAR(Ne1Kvě+14)=RokKalendáře,MONTH(Ne1Kvě+14)=5),Ne1Kvě+14,""),IF(AND(YEAR(Ne1Kvě+21)=RokKalendáře,MONTH(Ne1Kvě+21)=5),Ne1Kvě+21,""))</f>
        <v>44696</v>
      </c>
      <c r="J25" s="28"/>
      <c r="K25" s="31">
        <f>IF(DAY(Ne1Čer)=1,IF(AND(YEAR(Ne1Čer+8)=RokKalendáře,MONTH(Ne1Čer+8)=6),Ne1Čer+8,""),IF(AND(YEAR(Ne1Čer+15)=RokKalendáře,MONTH(Ne1Čer+15)=6),Ne1Čer+15,""))</f>
        <v>44725</v>
      </c>
      <c r="L25" s="31">
        <f>IF(DAY(Ne1Čer)=1,IF(AND(YEAR(Ne1Čer+9)=RokKalendáře,MONTH(Ne1Čer+9)=6),Ne1Čer+9,""),IF(AND(YEAR(Ne1Čer+16)=RokKalendáře,MONTH(Ne1Čer+16)=6),Ne1Čer+16,""))</f>
        <v>44726</v>
      </c>
      <c r="M25" s="31">
        <f>IF(DAY(Ne1Čer)=1,IF(AND(YEAR(Ne1Čer+10)=RokKalendáře,MONTH(Ne1Čer+10)=6),Ne1Čer+10,""),IF(AND(YEAR(Ne1Čer+17)=RokKalendáře,MONTH(Ne1Čer+17)=6),Ne1Čer+17,""))</f>
        <v>44727</v>
      </c>
      <c r="N25" s="31">
        <f>IF(DAY(Ne1Čer)=1,IF(AND(YEAR(Ne1Čer+11)=RokKalendáře,MONTH(Ne1Čer+11)=6),Ne1Čer+11,""),IF(AND(YEAR(Ne1Čer+18)=RokKalendáře,MONTH(Ne1Čer+18)=6),Ne1Čer+18,""))</f>
        <v>44728</v>
      </c>
      <c r="O25" s="31">
        <f>IF(DAY(Ne1Čer)=1,IF(AND(YEAR(Ne1Čer+12)=RokKalendáře,MONTH(Ne1Čer+12)=6),Ne1Čer+12,""),IF(AND(YEAR(Ne1Čer+19)=RokKalendáře,MONTH(Ne1Čer+19)=6),Ne1Čer+19,""))</f>
        <v>44729</v>
      </c>
      <c r="P25" s="31">
        <f>IF(DAY(Ne1Čer)=1,IF(AND(YEAR(Ne1Čer+13)=RokKalendáře,MONTH(Ne1Čer+13)=6),Ne1Čer+13,""),IF(AND(YEAR(Ne1Čer+20)=RokKalendáře,MONTH(Ne1Čer+20)=6),Ne1Čer+20,""))</f>
        <v>44730</v>
      </c>
      <c r="Q25" s="31">
        <f>IF(DAY(Ne1Čer)=1,IF(AND(YEAR(Ne1Čer+14)=RokKalendáře,MONTH(Ne1Čer+14)=6),Ne1Čer+14,""),IF(AND(YEAR(Ne1Čer+21)=RokKalendáře,MONTH(Ne1Čer+21)=6),Ne1Čer+21,""))</f>
        <v>44731</v>
      </c>
      <c r="S25" s="3"/>
      <c r="U25" s="9"/>
      <c r="V25" s="1"/>
      <c r="W25" s="1"/>
    </row>
    <row r="26" spans="1:41" ht="15" customHeight="1" x14ac:dyDescent="0.2">
      <c r="C26" s="31">
        <f>IF(DAY(Ne1Kvě)=1,IF(AND(YEAR(Ne1Kvě+15)=RokKalendáře,MONTH(Ne1Kvě+15)=5),Ne1Kvě+15,""),IF(AND(YEAR(Ne1Kvě+22)=RokKalendáře,MONTH(Ne1Kvě+22)=5),Ne1Kvě+22,""))</f>
        <v>44697</v>
      </c>
      <c r="D26" s="31">
        <f>IF(DAY(Ne1Kvě)=1,IF(AND(YEAR(Ne1Kvě+16)=RokKalendáře,MONTH(Ne1Kvě+16)=5),Ne1Kvě+16,""),IF(AND(YEAR(Ne1Kvě+23)=RokKalendáře,MONTH(Ne1Kvě+23)=5),Ne1Kvě+23,""))</f>
        <v>44698</v>
      </c>
      <c r="E26" s="31">
        <f>IF(DAY(Ne1Kvě)=1,IF(AND(YEAR(Ne1Kvě+17)=RokKalendáře,MONTH(Ne1Kvě+17)=5),Ne1Kvě+17,""),IF(AND(YEAR(Ne1Kvě+24)=RokKalendáře,MONTH(Ne1Kvě+24)=5),Ne1Kvě+24,""))</f>
        <v>44699</v>
      </c>
      <c r="F26" s="31">
        <f>IF(DAY(Ne1Kvě)=1,IF(AND(YEAR(Ne1Kvě+18)=RokKalendáře,MONTH(Ne1Kvě+18)=5),Ne1Kvě+18,""),IF(AND(YEAR(Ne1Kvě+25)=RokKalendáře,MONTH(Ne1Kvě+25)=5),Ne1Kvě+25,""))</f>
        <v>44700</v>
      </c>
      <c r="G26" s="31">
        <f>IF(DAY(Ne1Kvě)=1,IF(AND(YEAR(Ne1Kvě+19)=RokKalendáře,MONTH(Ne1Kvě+19)=5),Ne1Kvě+19,""),IF(AND(YEAR(Ne1Kvě+26)=RokKalendáře,MONTH(Ne1Kvě+26)=5),Ne1Kvě+26,""))</f>
        <v>44701</v>
      </c>
      <c r="H26" s="31">
        <f>IF(DAY(Ne1Kvě)=1,IF(AND(YEAR(Ne1Kvě+20)=RokKalendáře,MONTH(Ne1Kvě+20)=5),Ne1Kvě+20,""),IF(AND(YEAR(Ne1Kvě+27)=RokKalendáře,MONTH(Ne1Kvě+27)=5),Ne1Kvě+27,""))</f>
        <v>44702</v>
      </c>
      <c r="I26" s="31">
        <f>IF(DAY(Ne1Kvě)=1,IF(AND(YEAR(Ne1Kvě+21)=RokKalendáře,MONTH(Ne1Kvě+21)=5),Ne1Kvě+21,""),IF(AND(YEAR(Ne1Kvě+28)=RokKalendáře,MONTH(Ne1Kvě+28)=5),Ne1Kvě+28,""))</f>
        <v>44703</v>
      </c>
      <c r="J26" s="28"/>
      <c r="K26" s="31">
        <f>IF(DAY(Ne1Čer)=1,IF(AND(YEAR(Ne1Čer+15)=RokKalendáře,MONTH(Ne1Čer+15)=6),Ne1Čer+15,""),IF(AND(YEAR(Ne1Čer+22)=RokKalendáře,MONTH(Ne1Čer+22)=6),Ne1Čer+22,""))</f>
        <v>44732</v>
      </c>
      <c r="L26" s="31">
        <f>IF(DAY(Ne1Čer)=1,IF(AND(YEAR(Ne1Čer+16)=RokKalendáře,MONTH(Ne1Čer+16)=6),Ne1Čer+16,""),IF(AND(YEAR(Ne1Čer+23)=RokKalendáře,MONTH(Ne1Čer+23)=6),Ne1Čer+23,""))</f>
        <v>44733</v>
      </c>
      <c r="M26" s="31">
        <f>IF(DAY(Ne1Čer)=1,IF(AND(YEAR(Ne1Čer+17)=RokKalendáře,MONTH(Ne1Čer+17)=6),Ne1Čer+17,""),IF(AND(YEAR(Ne1Čer+24)=RokKalendáře,MONTH(Ne1Čer+24)=6),Ne1Čer+24,""))</f>
        <v>44734</v>
      </c>
      <c r="N26" s="31">
        <f>IF(DAY(Ne1Čer)=1,IF(AND(YEAR(Ne1Čer+18)=RokKalendáře,MONTH(Ne1Čer+18)=6),Ne1Čer+18,""),IF(AND(YEAR(Ne1Čer+25)=RokKalendáře,MONTH(Ne1Čer+25)=6),Ne1Čer+25,""))</f>
        <v>44735</v>
      </c>
      <c r="O26" s="31">
        <f>IF(DAY(Ne1Čer)=1,IF(AND(YEAR(Ne1Čer+19)=RokKalendáře,MONTH(Ne1Čer+19)=6),Ne1Čer+19,""),IF(AND(YEAR(Ne1Čer+26)=RokKalendáře,MONTH(Ne1Čer+26)=6),Ne1Čer+26,""))</f>
        <v>44736</v>
      </c>
      <c r="P26" s="31">
        <f>IF(DAY(Ne1Čer)=1,IF(AND(YEAR(Ne1Čer+20)=RokKalendáře,MONTH(Ne1Čer+20)=6),Ne1Čer+20,""),IF(AND(YEAR(Ne1Čer+27)=RokKalendáře,MONTH(Ne1Čer+27)=6),Ne1Čer+27,""))</f>
        <v>44737</v>
      </c>
      <c r="Q26" s="31">
        <f>IF(DAY(Ne1Čer)=1,IF(AND(YEAR(Ne1Čer+21)=RokKalendáře,MONTH(Ne1Čer+21)=6),Ne1Čer+21,""),IF(AND(YEAR(Ne1Čer+28)=RokKalendáře,MONTH(Ne1Čer+28)=6),Ne1Čer+28,""))</f>
        <v>44738</v>
      </c>
      <c r="S26" s="3"/>
      <c r="U26" s="6"/>
      <c r="V26" s="1"/>
      <c r="W26" s="1"/>
    </row>
    <row r="27" spans="1:41" ht="15" customHeight="1" x14ac:dyDescent="0.2">
      <c r="C27" s="31">
        <f>IF(DAY(Ne1Kvě)=1,IF(AND(YEAR(Ne1Kvě+22)=RokKalendáře,MONTH(Ne1Kvě+22)=5),Ne1Kvě+22,""),IF(AND(YEAR(Ne1Kvě+29)=RokKalendáře,MONTH(Ne1Kvě+29)=5),Ne1Kvě+29,""))</f>
        <v>44704</v>
      </c>
      <c r="D27" s="31">
        <f>IF(DAY(Ne1Kvě)=1,IF(AND(YEAR(Ne1Kvě+23)=RokKalendáře,MONTH(Ne1Kvě+23)=5),Ne1Kvě+23,""),IF(AND(YEAR(Ne1Kvě+30)=RokKalendáře,MONTH(Ne1Kvě+30)=5),Ne1Kvě+30,""))</f>
        <v>44705</v>
      </c>
      <c r="E27" s="31">
        <f>IF(DAY(Ne1Kvě)=1,IF(AND(YEAR(Ne1Kvě+24)=RokKalendáře,MONTH(Ne1Kvě+24)=5),Ne1Kvě+24,""),IF(AND(YEAR(Ne1Kvě+31)=RokKalendáře,MONTH(Ne1Kvě+31)=5),Ne1Kvě+31,""))</f>
        <v>44706</v>
      </c>
      <c r="F27" s="31">
        <f>IF(DAY(Ne1Kvě)=1,IF(AND(YEAR(Ne1Kvě+25)=RokKalendáře,MONTH(Ne1Kvě+25)=5),Ne1Kvě+25,""),IF(AND(YEAR(Ne1Kvě+32)=RokKalendáře,MONTH(Ne1Kvě+32)=5),Ne1Kvě+32,""))</f>
        <v>44707</v>
      </c>
      <c r="G27" s="31">
        <f>IF(DAY(Ne1Kvě)=1,IF(AND(YEAR(Ne1Kvě+26)=RokKalendáře,MONTH(Ne1Kvě+26)=5),Ne1Kvě+26,""),IF(AND(YEAR(Ne1Kvě+33)=RokKalendáře,MONTH(Ne1Kvě+33)=5),Ne1Kvě+33,""))</f>
        <v>44708</v>
      </c>
      <c r="H27" s="31">
        <f>IF(DAY(Ne1Kvě)=1,IF(AND(YEAR(Ne1Kvě+27)=RokKalendáře,MONTH(Ne1Kvě+27)=5),Ne1Kvě+27,""),IF(AND(YEAR(Ne1Kvě+34)=RokKalendáře,MONTH(Ne1Kvě+34)=5),Ne1Kvě+34,""))</f>
        <v>44709</v>
      </c>
      <c r="I27" s="31">
        <f>IF(DAY(Ne1Kvě)=1,IF(AND(YEAR(Ne1Kvě+28)=RokKalendáře,MONTH(Ne1Kvě+28)=5),Ne1Kvě+28,""),IF(AND(YEAR(Ne1Kvě+35)=RokKalendáře,MONTH(Ne1Kvě+35)=5),Ne1Kvě+35,""))</f>
        <v>44710</v>
      </c>
      <c r="J27" s="28"/>
      <c r="K27" s="31">
        <f>IF(DAY(Ne1Čer)=1,IF(AND(YEAR(Ne1Čer+22)=RokKalendáře,MONTH(Ne1Čer+22)=6),Ne1Čer+22,""),IF(AND(YEAR(Ne1Čer+29)=RokKalendáře,MONTH(Ne1Čer+29)=6),Ne1Čer+29,""))</f>
        <v>44739</v>
      </c>
      <c r="L27" s="31">
        <f>IF(DAY(Ne1Čer)=1,IF(AND(YEAR(Ne1Čer+23)=RokKalendáře,MONTH(Ne1Čer+23)=6),Ne1Čer+23,""),IF(AND(YEAR(Ne1Čer+30)=RokKalendáře,MONTH(Ne1Čer+30)=6),Ne1Čer+30,""))</f>
        <v>44740</v>
      </c>
      <c r="M27" s="31">
        <f>IF(DAY(Ne1Čer)=1,IF(AND(YEAR(Ne1Čer+24)=RokKalendáře,MONTH(Ne1Čer+24)=6),Ne1Čer+24,""),IF(AND(YEAR(Ne1Čer+31)=RokKalendáře,MONTH(Ne1Čer+31)=6),Ne1Čer+31,""))</f>
        <v>44741</v>
      </c>
      <c r="N27" s="31">
        <f>IF(DAY(Ne1Čer)=1,IF(AND(YEAR(Ne1Čer+25)=RokKalendáře,MONTH(Ne1Čer+25)=6),Ne1Čer+25,""),IF(AND(YEAR(Ne1Čer+32)=RokKalendáře,MONTH(Ne1Čer+32)=6),Ne1Čer+32,""))</f>
        <v>44742</v>
      </c>
      <c r="O27" s="31" t="str">
        <f>IF(DAY(Ne1Čer)=1,IF(AND(YEAR(Ne1Čer+26)=RokKalendáře,MONTH(Ne1Čer+26)=6),Ne1Čer+26,""),IF(AND(YEAR(Ne1Čer+33)=RokKalendáře,MONTH(Ne1Čer+33)=6),Ne1Čer+33,""))</f>
        <v/>
      </c>
      <c r="P27" s="31" t="str">
        <f>IF(DAY(Ne1Čer)=1,IF(AND(YEAR(Ne1Čer+27)=RokKalendáře,MONTH(Ne1Čer+27)=6),Ne1Čer+27,""),IF(AND(YEAR(Ne1Čer+34)=RokKalendáře,MONTH(Ne1Čer+34)=6),Ne1Čer+34,""))</f>
        <v/>
      </c>
      <c r="Q27" s="31" t="str">
        <f>IF(DAY(Ne1Čer)=1,IF(AND(YEAR(Ne1Čer+28)=RokKalendáře,MONTH(Ne1Čer+28)=6),Ne1Čer+28,""),IF(AND(YEAR(Ne1Čer+35)=RokKalendáře,MONTH(Ne1Čer+35)=6),Ne1Čer+35,""))</f>
        <v/>
      </c>
      <c r="S27" s="3"/>
      <c r="U27" s="7"/>
      <c r="V27" s="1"/>
      <c r="W27" s="1"/>
    </row>
    <row r="28" spans="1:41" ht="15" customHeight="1" x14ac:dyDescent="0.2">
      <c r="C28" s="31">
        <f>IF(DAY(Ne1Kvě)=1,IF(AND(YEAR(Ne1Kvě+29)=RokKalendáře,MONTH(Ne1Kvě+29)=5),Ne1Kvě+29,""),IF(AND(YEAR(Ne1Kvě+36)=RokKalendáře,MONTH(Ne1Kvě+36)=5),Ne1Kvě+36,""))</f>
        <v>44711</v>
      </c>
      <c r="D28" s="31">
        <f>IF(DAY(Ne1Kvě)=1,IF(AND(YEAR(Ne1Kvě+30)=RokKalendáře,MONTH(Ne1Kvě+30)=5),Ne1Kvě+30,""),IF(AND(YEAR(Ne1Kvě+37)=RokKalendáře,MONTH(Ne1Kvě+37)=5),Ne1Kvě+37,""))</f>
        <v>44712</v>
      </c>
      <c r="E28" s="31" t="str">
        <f>IF(DAY(Ne1Kvě)=1,IF(AND(YEAR(Ne1Kvě+31)=RokKalendáře,MONTH(Ne1Kvě+31)=5),Ne1Kvě+31,""),IF(AND(YEAR(Ne1Kvě+38)=RokKalendáře,MONTH(Ne1Kvě+38)=5),Ne1Kvě+38,""))</f>
        <v/>
      </c>
      <c r="F28" s="31" t="str">
        <f>IF(DAY(Ne1Kvě)=1,IF(AND(YEAR(Ne1Kvě+32)=RokKalendáře,MONTH(Ne1Kvě+32)=5),Ne1Kvě+32,""),IF(AND(YEAR(Ne1Kvě+39)=RokKalendáře,MONTH(Ne1Kvě+39)=5),Ne1Kvě+39,""))</f>
        <v/>
      </c>
      <c r="G28" s="31" t="str">
        <f>IF(DAY(Ne1Kvě)=1,IF(AND(YEAR(Ne1Kvě+33)=RokKalendáře,MONTH(Ne1Kvě+33)=5),Ne1Kvě+33,""),IF(AND(YEAR(Ne1Kvě+40)=RokKalendáře,MONTH(Ne1Kvě+40)=5),Ne1Kvě+40,""))</f>
        <v/>
      </c>
      <c r="H28" s="31" t="str">
        <f>IF(DAY(Ne1Kvě)=1,IF(AND(YEAR(Ne1Kvě+34)=RokKalendáře,MONTH(Ne1Kvě+34)=5),Ne1Kvě+34,""),IF(AND(YEAR(Ne1Kvě+41)=RokKalendáře,MONTH(Ne1Kvě+41)=5),Ne1Kvě+41,""))</f>
        <v/>
      </c>
      <c r="I28" s="31" t="str">
        <f>IF(DAY(Ne1Kvě)=1,IF(AND(YEAR(Ne1Kvě+35)=RokKalendáře,MONTH(Ne1Kvě+35)=5),Ne1Kvě+35,""),IF(AND(YEAR(Ne1Kvě+42)=RokKalendáře,MONTH(Ne1Kvě+42)=5),Ne1Kvě+42,""))</f>
        <v/>
      </c>
      <c r="J28" s="28"/>
      <c r="K28" s="31" t="str">
        <f>IF(DAY(Ne1Čer)=1,IF(AND(YEAR(Ne1Čer+29)=RokKalendáře,MONTH(Ne1Čer+29)=6),Ne1Čer+29,""),IF(AND(YEAR(Ne1Čer+36)=RokKalendáře,MONTH(Ne1Čer+36)=6),Ne1Čer+36,""))</f>
        <v/>
      </c>
      <c r="L28" s="31" t="str">
        <f>IF(DAY(Ne1Čer)=1,IF(AND(YEAR(Ne1Čer+30)=RokKalendáře,MONTH(Ne1Čer+30)=6),Ne1Čer+30,""),IF(AND(YEAR(Ne1Čer+37)=RokKalendáře,MONTH(Ne1Čer+37)=6),Ne1Čer+37,""))</f>
        <v/>
      </c>
      <c r="M28" s="31" t="str">
        <f>IF(DAY(Ne1Čer)=1,IF(AND(YEAR(Ne1Čer+31)=RokKalendáře,MONTH(Ne1Čer+31)=6),Ne1Čer+31,""),IF(AND(YEAR(Ne1Čer+38)=RokKalendáře,MONTH(Ne1Čer+38)=6),Ne1Čer+38,""))</f>
        <v/>
      </c>
      <c r="N28" s="31" t="str">
        <f>IF(DAY(Ne1Čer)=1,IF(AND(YEAR(Ne1Čer+32)=RokKalendáře,MONTH(Ne1Čer+32)=6),Ne1Čer+32,""),IF(AND(YEAR(Ne1Čer+39)=RokKalendáře,MONTH(Ne1Čer+39)=6),Ne1Čer+39,""))</f>
        <v/>
      </c>
      <c r="O28" s="31" t="str">
        <f>IF(DAY(Ne1Čer)=1,IF(AND(YEAR(Ne1Čer+33)=RokKalendáře,MONTH(Ne1Čer+33)=6),Ne1Čer+33,""),IF(AND(YEAR(Ne1Čer+40)=RokKalendáře,MONTH(Ne1Čer+40)=6),Ne1Čer+40,""))</f>
        <v/>
      </c>
      <c r="P28" s="31" t="str">
        <f>IF(DAY(Ne1Čer)=1,IF(AND(YEAR(Ne1Čer+34)=RokKalendáře,MONTH(Ne1Čer+34)=6),Ne1Čer+34,""),IF(AND(YEAR(Ne1Čer+41)=RokKalendáře,MONTH(Ne1Čer+41)=6),Ne1Čer+41,""))</f>
        <v/>
      </c>
      <c r="Q28" s="31" t="str">
        <f>IF(DAY(Ne1Čer)=1,IF(AND(YEAR(Ne1Čer+35)=RokKalendáře,MONTH(Ne1Čer+35)=6),Ne1Čer+35,""),IF(AND(YEAR(Ne1Čer+42)=RokKalendáře,MONTH(Ne1Čer+42)=6),Ne1Čer+42,""))</f>
        <v/>
      </c>
      <c r="S28" s="3"/>
      <c r="U28" s="9"/>
      <c r="V28" s="1"/>
      <c r="W28" s="1"/>
    </row>
    <row r="29" spans="1:41" ht="15" customHeight="1" x14ac:dyDescent="0.2">
      <c r="J29" s="28"/>
      <c r="S29" s="3"/>
      <c r="U29" s="6"/>
      <c r="V29" s="1"/>
      <c r="W29" s="1"/>
    </row>
    <row r="30" spans="1:41" ht="15" customHeight="1" x14ac:dyDescent="0.2">
      <c r="A30" s="24" t="s">
        <v>15</v>
      </c>
      <c r="C30" s="33" t="s">
        <v>30</v>
      </c>
      <c r="D30" s="33"/>
      <c r="E30" s="33"/>
      <c r="F30" s="33"/>
      <c r="G30" s="33"/>
      <c r="H30" s="33"/>
      <c r="I30" s="33"/>
      <c r="J30" s="28"/>
      <c r="K30" s="33" t="s">
        <v>42</v>
      </c>
      <c r="L30" s="33"/>
      <c r="M30" s="33"/>
      <c r="N30" s="33"/>
      <c r="O30" s="33"/>
      <c r="P30" s="33"/>
      <c r="Q30" s="33"/>
      <c r="S30" s="3"/>
      <c r="U30" s="7"/>
      <c r="V30" s="1"/>
      <c r="W30" s="1"/>
    </row>
    <row r="31" spans="1:41" ht="15" customHeight="1" x14ac:dyDescent="0.2">
      <c r="A31" s="24" t="s">
        <v>16</v>
      </c>
      <c r="C31" s="17" t="s">
        <v>27</v>
      </c>
      <c r="D31" s="17" t="s">
        <v>33</v>
      </c>
      <c r="E31" s="17" t="s">
        <v>34</v>
      </c>
      <c r="F31" s="17" t="s">
        <v>35</v>
      </c>
      <c r="G31" s="17" t="s">
        <v>36</v>
      </c>
      <c r="H31" s="17" t="s">
        <v>37</v>
      </c>
      <c r="I31" s="17" t="s">
        <v>38</v>
      </c>
      <c r="J31" s="28"/>
      <c r="K31" s="17" t="s">
        <v>27</v>
      </c>
      <c r="L31" s="17" t="s">
        <v>33</v>
      </c>
      <c r="M31" s="17" t="s">
        <v>34</v>
      </c>
      <c r="N31" s="17" t="s">
        <v>35</v>
      </c>
      <c r="O31" s="17" t="s">
        <v>36</v>
      </c>
      <c r="P31" s="17" t="s">
        <v>37</v>
      </c>
      <c r="Q31" s="17" t="s">
        <v>38</v>
      </c>
      <c r="S31" s="3"/>
      <c r="U31" s="9"/>
      <c r="V31" s="1"/>
      <c r="W31" s="1"/>
    </row>
    <row r="32" spans="1:41" ht="15" customHeight="1" x14ac:dyDescent="0.2">
      <c r="A32" s="24"/>
      <c r="C32" s="31" t="str">
        <f>IF(DAY(Ne1Čvc)=1,"",IF(AND(YEAR(Ne1Čvc+1)=RokKalendáře,MONTH(Ne1Čvc+1)=7),Ne1Čvc+1,""))</f>
        <v/>
      </c>
      <c r="D32" s="31" t="str">
        <f>IF(DAY(Ne1Čvc)=1,"",IF(AND(YEAR(Ne1Čvc+2)=RokKalendáře,MONTH(Ne1Čvc+2)=7),Ne1Čvc+2,""))</f>
        <v/>
      </c>
      <c r="E32" s="31" t="str">
        <f>IF(DAY(Ne1Čvc)=1,"",IF(AND(YEAR(Ne1Čvc+3)=RokKalendáře,MONTH(Ne1Čvc+3)=7),Ne1Čvc+3,""))</f>
        <v/>
      </c>
      <c r="F32" s="31" t="str">
        <f>IF(DAY(Ne1Čvc)=1,"",IF(AND(YEAR(Ne1Čvc+4)=RokKalendáře,MONTH(Ne1Čvc+4)=7),Ne1Čvc+4,""))</f>
        <v/>
      </c>
      <c r="G32" s="31">
        <f>IF(DAY(Ne1Čvc)=1,"",IF(AND(YEAR(Ne1Čvc+5)=RokKalendáře,MONTH(Ne1Čvc+5)=7),Ne1Čvc+5,""))</f>
        <v>44743</v>
      </c>
      <c r="H32" s="31">
        <f>IF(DAY(Ne1Čvc)=1,"",IF(AND(YEAR(Ne1Čvc+6)=RokKalendáře,MONTH(Ne1Čvc+6)=7),Ne1Čvc+6,""))</f>
        <v>44744</v>
      </c>
      <c r="I32" s="31">
        <f>IF(DAY(Ne1Čvc)=1,IF(AND(YEAR(Ne1Čvc)=RokKalendáře,MONTH(Ne1Čvc)=7),Ne1Čvc,""),IF(AND(YEAR(Ne1Čvc+7)=RokKalendáře,MONTH(Ne1Čvc+7)=7),Ne1Čvc+7,""))</f>
        <v>44745</v>
      </c>
      <c r="K32" s="31">
        <f>IF(DAY(Ne1Srp)=1,"",IF(AND(YEAR(Ne1Srp+1)=RokKalendáře,MONTH(Ne1Srp+1)=8),Ne1Srp+1,""))</f>
        <v>44774</v>
      </c>
      <c r="L32" s="31">
        <f>IF(DAY(Ne1Srp)=1,"",IF(AND(YEAR(Ne1Srp+2)=RokKalendáře,MONTH(Ne1Srp+2)=8),Ne1Srp+2,""))</f>
        <v>44775</v>
      </c>
      <c r="M32" s="31">
        <f>IF(DAY(Ne1Srp)=1,"",IF(AND(YEAR(Ne1Srp+3)=RokKalendáře,MONTH(Ne1Srp+3)=8),Ne1Srp+3,""))</f>
        <v>44776</v>
      </c>
      <c r="N32" s="31">
        <f>IF(DAY(Ne1Srp)=1,"",IF(AND(YEAR(Ne1Srp+4)=RokKalendáře,MONTH(Ne1Srp+4)=8),Ne1Srp+4,""))</f>
        <v>44777</v>
      </c>
      <c r="O32" s="31">
        <f>IF(DAY(Ne1Srp)=1,"",IF(AND(YEAR(Ne1Srp+5)=RokKalendáře,MONTH(Ne1Srp+5)=8),Ne1Srp+5,""))</f>
        <v>44778</v>
      </c>
      <c r="P32" s="31">
        <f>IF(DAY(Ne1Srp)=1,"",IF(AND(YEAR(Ne1Srp+6)=RokKalendáře,MONTH(Ne1Srp+6)=8),Ne1Srp+6,""))</f>
        <v>44779</v>
      </c>
      <c r="Q32" s="31">
        <f>IF(DAY(Ne1Srp)=1,IF(AND(YEAR(Ne1Srp)=RokKalendáře,MONTH(Ne1Srp)=8),Ne1Srp,""),IF(AND(YEAR(Ne1Srp+7)=RokKalendáře,MONTH(Ne1Srp+7)=8),Ne1Srp+7,""))</f>
        <v>44780</v>
      </c>
      <c r="S32" s="3"/>
      <c r="U32" s="6"/>
      <c r="V32" s="1"/>
      <c r="W32" s="1"/>
    </row>
    <row r="33" spans="1:23" ht="15" customHeight="1" x14ac:dyDescent="0.2">
      <c r="A33" s="24"/>
      <c r="C33" s="31">
        <f>IF(DAY(Ne1Čvc)=1,IF(AND(YEAR(Ne1Čvc+1)=RokKalendáře,MONTH(Ne1Čvc+1)=7),Ne1Čvc+1,""),IF(AND(YEAR(Ne1Čvc+8)=RokKalendáře,MONTH(Ne1Čvc+8)=7),Ne1Čvc+8,""))</f>
        <v>44746</v>
      </c>
      <c r="D33" s="31">
        <f>IF(DAY(Ne1Čvc)=1,IF(AND(YEAR(Ne1Čvc+2)=RokKalendáře,MONTH(Ne1Čvc+2)=7),Ne1Čvc+2,""),IF(AND(YEAR(Ne1Čvc+9)=RokKalendáře,MONTH(Ne1Čvc+9)=7),Ne1Čvc+9,""))</f>
        <v>44747</v>
      </c>
      <c r="E33" s="31">
        <f>IF(DAY(Ne1Čvc)=1,IF(AND(YEAR(Ne1Čvc+3)=RokKalendáře,MONTH(Ne1Čvc+3)=7),Ne1Čvc+3,""),IF(AND(YEAR(Ne1Čvc+10)=RokKalendáře,MONTH(Ne1Čvc+10)=7),Ne1Čvc+10,""))</f>
        <v>44748</v>
      </c>
      <c r="F33" s="31">
        <f>IF(DAY(Ne1Čvc)=1,IF(AND(YEAR(Ne1Čvc+4)=RokKalendáře,MONTH(Ne1Čvc+4)=7),Ne1Čvc+4,""),IF(AND(YEAR(Ne1Čvc+11)=RokKalendáře,MONTH(Ne1Čvc+11)=7),Ne1Čvc+11,""))</f>
        <v>44749</v>
      </c>
      <c r="G33" s="31">
        <f>IF(DAY(Ne1Čvc)=1,IF(AND(YEAR(Ne1Čvc+5)=RokKalendáře,MONTH(Ne1Čvc+5)=7),Ne1Čvc+5,""),IF(AND(YEAR(Ne1Čvc+12)=RokKalendáře,MONTH(Ne1Čvc+12)=7),Ne1Čvc+12,""))</f>
        <v>44750</v>
      </c>
      <c r="H33" s="31">
        <f>IF(DAY(Ne1Čvc)=1,IF(AND(YEAR(Ne1Čvc+6)=RokKalendáře,MONTH(Ne1Čvc+6)=7),Ne1Čvc+6,""),IF(AND(YEAR(Ne1Čvc+13)=RokKalendáře,MONTH(Ne1Čvc+13)=7),Ne1Čvc+13,""))</f>
        <v>44751</v>
      </c>
      <c r="I33" s="31">
        <f>IF(DAY(Ne1Čvc)=1,IF(AND(YEAR(Ne1Čvc+7)=RokKalendáře,MONTH(Ne1Čvc+7)=7),Ne1Čvc+7,""),IF(AND(YEAR(Ne1Čvc+14)=RokKalendáře,MONTH(Ne1Čvc+14)=7),Ne1Čvc+14,""))</f>
        <v>44752</v>
      </c>
      <c r="K33" s="31">
        <f>IF(DAY(Ne1Srp)=1,IF(AND(YEAR(Ne1Srp+1)=RokKalendáře,MONTH(Ne1Srp+1)=8),Ne1Srp+1,""),IF(AND(YEAR(Ne1Srp+8)=RokKalendáře,MONTH(Ne1Srp+8)=8),Ne1Srp+8,""))</f>
        <v>44781</v>
      </c>
      <c r="L33" s="31">
        <f>IF(DAY(Ne1Srp)=1,IF(AND(YEAR(Ne1Srp+2)=RokKalendáře,MONTH(Ne1Srp+2)=8),Ne1Srp+2,""),IF(AND(YEAR(Ne1Srp+9)=RokKalendáře,MONTH(Ne1Srp+9)=8),Ne1Srp+9,""))</f>
        <v>44782</v>
      </c>
      <c r="M33" s="31">
        <f>IF(DAY(Ne1Srp)=1,IF(AND(YEAR(Ne1Srp+3)=RokKalendáře,MONTH(Ne1Srp+3)=8),Ne1Srp+3,""),IF(AND(YEAR(Ne1Srp+10)=RokKalendáře,MONTH(Ne1Srp+10)=8),Ne1Srp+10,""))</f>
        <v>44783</v>
      </c>
      <c r="N33" s="31">
        <f>IF(DAY(Ne1Srp)=1,IF(AND(YEAR(Ne1Srp+4)=RokKalendáře,MONTH(Ne1Srp+4)=8),Ne1Srp+4,""),IF(AND(YEAR(Ne1Srp+11)=RokKalendáře,MONTH(Ne1Srp+11)=8),Ne1Srp+11,""))</f>
        <v>44784</v>
      </c>
      <c r="O33" s="31">
        <f>IF(DAY(Ne1Srp)=1,IF(AND(YEAR(Ne1Srp+5)=RokKalendáře,MONTH(Ne1Srp+5)=8),Ne1Srp+5,""),IF(AND(YEAR(Ne1Srp+12)=RokKalendáře,MONTH(Ne1Srp+12)=8),Ne1Srp+12,""))</f>
        <v>44785</v>
      </c>
      <c r="P33" s="31">
        <f>IF(DAY(Ne1Srp)=1,IF(AND(YEAR(Ne1Srp+6)=RokKalendáře,MONTH(Ne1Srp+6)=8),Ne1Srp+6,""),IF(AND(YEAR(Ne1Srp+13)=RokKalendáře,MONTH(Ne1Srp+13)=8),Ne1Srp+13,""))</f>
        <v>44786</v>
      </c>
      <c r="Q33" s="31">
        <f>IF(DAY(Ne1Srp)=1,IF(AND(YEAR(Ne1Srp+7)=RokKalendáře,MONTH(Ne1Srp+7)=8),Ne1Srp+7,""),IF(AND(YEAR(Ne1Srp+14)=RokKalendáře,MONTH(Ne1Srp+14)=8),Ne1Srp+14,""))</f>
        <v>44787</v>
      </c>
      <c r="S33" s="3"/>
      <c r="U33" s="7"/>
      <c r="V33" s="1"/>
      <c r="W33" s="1"/>
    </row>
    <row r="34" spans="1:23" ht="15" customHeight="1" x14ac:dyDescent="0.2">
      <c r="C34" s="31">
        <f>IF(DAY(Ne1Čvc)=1,IF(AND(YEAR(Ne1Čvc+8)=RokKalendáře,MONTH(Ne1Čvc+8)=7),Ne1Čvc+8,""),IF(AND(YEAR(Ne1Čvc+15)=RokKalendáře,MONTH(Ne1Čvc+15)=7),Ne1Čvc+15,""))</f>
        <v>44753</v>
      </c>
      <c r="D34" s="31">
        <f>IF(DAY(Ne1Čvc)=1,IF(AND(YEAR(Ne1Čvc+9)=RokKalendáře,MONTH(Ne1Čvc+9)=7),Ne1Čvc+9,""),IF(AND(YEAR(Ne1Čvc+16)=RokKalendáře,MONTH(Ne1Čvc+16)=7),Ne1Čvc+16,""))</f>
        <v>44754</v>
      </c>
      <c r="E34" s="31">
        <f>IF(DAY(Ne1Čvc)=1,IF(AND(YEAR(Ne1Čvc+10)=RokKalendáře,MONTH(Ne1Čvc+10)=7),Ne1Čvc+10,""),IF(AND(YEAR(Ne1Čvc+17)=RokKalendáře,MONTH(Ne1Čvc+17)=7),Ne1Čvc+17,""))</f>
        <v>44755</v>
      </c>
      <c r="F34" s="31">
        <f>IF(DAY(Ne1Čvc)=1,IF(AND(YEAR(Ne1Čvc+11)=RokKalendáře,MONTH(Ne1Čvc+11)=7),Ne1Čvc+11,""),IF(AND(YEAR(Ne1Čvc+18)=RokKalendáře,MONTH(Ne1Čvc+18)=7),Ne1Čvc+18,""))</f>
        <v>44756</v>
      </c>
      <c r="G34" s="31">
        <f>IF(DAY(Ne1Čvc)=1,IF(AND(YEAR(Ne1Čvc+12)=RokKalendáře,MONTH(Ne1Čvc+12)=7),Ne1Čvc+12,""),IF(AND(YEAR(Ne1Čvc+19)=RokKalendáře,MONTH(Ne1Čvc+19)=7),Ne1Čvc+19,""))</f>
        <v>44757</v>
      </c>
      <c r="H34" s="31">
        <f>IF(DAY(Ne1Čvc)=1,IF(AND(YEAR(Ne1Čvc+13)=RokKalendáře,MONTH(Ne1Čvc+13)=7),Ne1Čvc+13,""),IF(AND(YEAR(Ne1Čvc+20)=RokKalendáře,MONTH(Ne1Čvc+20)=7),Ne1Čvc+20,""))</f>
        <v>44758</v>
      </c>
      <c r="I34" s="31">
        <f>IF(DAY(Ne1Čvc)=1,IF(AND(YEAR(Ne1Čvc+14)=RokKalendáře,MONTH(Ne1Čvc+14)=7),Ne1Čvc+14,""),IF(AND(YEAR(Ne1Čvc+21)=RokKalendáře,MONTH(Ne1Čvc+21)=7),Ne1Čvc+21,""))</f>
        <v>44759</v>
      </c>
      <c r="K34" s="31">
        <f>IF(DAY(Ne1Srp)=1,IF(AND(YEAR(Ne1Srp+8)=RokKalendáře,MONTH(Ne1Srp+8)=8),Ne1Srp+8,""),IF(AND(YEAR(Ne1Srp+15)=RokKalendáře,MONTH(Ne1Srp+15)=8),Ne1Srp+15,""))</f>
        <v>44788</v>
      </c>
      <c r="L34" s="31">
        <f>IF(DAY(Ne1Srp)=1,IF(AND(YEAR(Ne1Srp+9)=RokKalendáře,MONTH(Ne1Srp+9)=8),Ne1Srp+9,""),IF(AND(YEAR(Ne1Srp+16)=RokKalendáře,MONTH(Ne1Srp+16)=8),Ne1Srp+16,""))</f>
        <v>44789</v>
      </c>
      <c r="M34" s="31">
        <f>IF(DAY(Ne1Srp)=1,IF(AND(YEAR(Ne1Srp+10)=RokKalendáře,MONTH(Ne1Srp+10)=8),Ne1Srp+10,""),IF(AND(YEAR(Ne1Srp+17)=RokKalendáře,MONTH(Ne1Srp+17)=8),Ne1Srp+17,""))</f>
        <v>44790</v>
      </c>
      <c r="N34" s="31">
        <f>IF(DAY(Ne1Srp)=1,IF(AND(YEAR(Ne1Srp+11)=RokKalendáře,MONTH(Ne1Srp+11)=8),Ne1Srp+11,""),IF(AND(YEAR(Ne1Srp+18)=RokKalendáře,MONTH(Ne1Srp+18)=8),Ne1Srp+18,""))</f>
        <v>44791</v>
      </c>
      <c r="O34" s="31">
        <f>IF(DAY(Ne1Srp)=1,IF(AND(YEAR(Ne1Srp+12)=RokKalendáře,MONTH(Ne1Srp+12)=8),Ne1Srp+12,""),IF(AND(YEAR(Ne1Srp+19)=RokKalendáře,MONTH(Ne1Srp+19)=8),Ne1Srp+19,""))</f>
        <v>44792</v>
      </c>
      <c r="P34" s="31">
        <f>IF(DAY(Ne1Srp)=1,IF(AND(YEAR(Ne1Srp+13)=RokKalendáře,MONTH(Ne1Srp+13)=8),Ne1Srp+13,""),IF(AND(YEAR(Ne1Srp+20)=RokKalendáře,MONTH(Ne1Srp+20)=8),Ne1Srp+20,""))</f>
        <v>44793</v>
      </c>
      <c r="Q34" s="31">
        <f>IF(DAY(Ne1Srp)=1,IF(AND(YEAR(Ne1Srp+14)=RokKalendáře,MONTH(Ne1Srp+14)=8),Ne1Srp+14,""),IF(AND(YEAR(Ne1Srp+21)=RokKalendáře,MONTH(Ne1Srp+21)=8),Ne1Srp+21,""))</f>
        <v>44794</v>
      </c>
      <c r="S34" s="3"/>
      <c r="U34" s="9"/>
      <c r="V34" s="1"/>
      <c r="W34" s="1"/>
    </row>
    <row r="35" spans="1:23" ht="15" customHeight="1" x14ac:dyDescent="0.2">
      <c r="C35" s="31">
        <f>IF(DAY(Ne1Čvc)=1,IF(AND(YEAR(Ne1Čvc+15)=RokKalendáře,MONTH(Ne1Čvc+15)=7),Ne1Čvc+15,""),IF(AND(YEAR(Ne1Čvc+22)=RokKalendáře,MONTH(Ne1Čvc+22)=7),Ne1Čvc+22,""))</f>
        <v>44760</v>
      </c>
      <c r="D35" s="31">
        <f>IF(DAY(Ne1Čvc)=1,IF(AND(YEAR(Ne1Čvc+16)=RokKalendáře,MONTH(Ne1Čvc+16)=7),Ne1Čvc+16,""),IF(AND(YEAR(Ne1Čvc+23)=RokKalendáře,MONTH(Ne1Čvc+23)=7),Ne1Čvc+23,""))</f>
        <v>44761</v>
      </c>
      <c r="E35" s="31">
        <f>IF(DAY(Ne1Čvc)=1,IF(AND(YEAR(Ne1Čvc+17)=RokKalendáře,MONTH(Ne1Čvc+17)=7),Ne1Čvc+17,""),IF(AND(YEAR(Ne1Čvc+24)=RokKalendáře,MONTH(Ne1Čvc+24)=7),Ne1Čvc+24,""))</f>
        <v>44762</v>
      </c>
      <c r="F35" s="31">
        <f>IF(DAY(Ne1Čvc)=1,IF(AND(YEAR(Ne1Čvc+18)=RokKalendáře,MONTH(Ne1Čvc+18)=7),Ne1Čvc+18,""),IF(AND(YEAR(Ne1Čvc+25)=RokKalendáře,MONTH(Ne1Čvc+25)=7),Ne1Čvc+25,""))</f>
        <v>44763</v>
      </c>
      <c r="G35" s="31">
        <f>IF(DAY(Ne1Čvc)=1,IF(AND(YEAR(Ne1Čvc+19)=RokKalendáře,MONTH(Ne1Čvc+19)=7),Ne1Čvc+19,""),IF(AND(YEAR(Ne1Čvc+26)=RokKalendáře,MONTH(Ne1Čvc+26)=7),Ne1Čvc+26,""))</f>
        <v>44764</v>
      </c>
      <c r="H35" s="31">
        <f>IF(DAY(Ne1Čvc)=1,IF(AND(YEAR(Ne1Čvc+20)=RokKalendáře,MONTH(Ne1Čvc+20)=7),Ne1Čvc+20,""),IF(AND(YEAR(Ne1Čvc+27)=RokKalendáře,MONTH(Ne1Čvc+27)=7),Ne1Čvc+27,""))</f>
        <v>44765</v>
      </c>
      <c r="I35" s="31">
        <f>IF(DAY(Ne1Čvc)=1,IF(AND(YEAR(Ne1Čvc+21)=RokKalendáře,MONTH(Ne1Čvc+21)=7),Ne1Čvc+21,""),IF(AND(YEAR(Ne1Čvc+28)=RokKalendáře,MONTH(Ne1Čvc+28)=7),Ne1Čvc+28,""))</f>
        <v>44766</v>
      </c>
      <c r="K35" s="31">
        <f>IF(DAY(Ne1Srp)=1,IF(AND(YEAR(Ne1Srp+15)=RokKalendáře,MONTH(Ne1Srp+15)=8),Ne1Srp+15,""),IF(AND(YEAR(Ne1Srp+22)=RokKalendáře,MONTH(Ne1Srp+22)=8),Ne1Srp+22,""))</f>
        <v>44795</v>
      </c>
      <c r="L35" s="31">
        <f>IF(DAY(Ne1Srp)=1,IF(AND(YEAR(Ne1Srp+16)=RokKalendáře,MONTH(Ne1Srp+16)=8),Ne1Srp+16,""),IF(AND(YEAR(Ne1Srp+23)=RokKalendáře,MONTH(Ne1Srp+23)=8),Ne1Srp+23,""))</f>
        <v>44796</v>
      </c>
      <c r="M35" s="31">
        <f>IF(DAY(Ne1Srp)=1,IF(AND(YEAR(Ne1Srp+17)=RokKalendáře,MONTH(Ne1Srp+17)=8),Ne1Srp+17,""),IF(AND(YEAR(Ne1Srp+24)=RokKalendáře,MONTH(Ne1Srp+24)=8),Ne1Srp+24,""))</f>
        <v>44797</v>
      </c>
      <c r="N35" s="31">
        <f>IF(DAY(Ne1Srp)=1,IF(AND(YEAR(Ne1Srp+18)=RokKalendáře,MONTH(Ne1Srp+18)=8),Ne1Srp+18,""),IF(AND(YEAR(Ne1Srp+25)=RokKalendáře,MONTH(Ne1Srp+25)=8),Ne1Srp+25,""))</f>
        <v>44798</v>
      </c>
      <c r="O35" s="31">
        <f>IF(DAY(Ne1Srp)=1,IF(AND(YEAR(Ne1Srp+19)=RokKalendáře,MONTH(Ne1Srp+19)=8),Ne1Srp+19,""),IF(AND(YEAR(Ne1Srp+26)=RokKalendáře,MONTH(Ne1Srp+26)=8),Ne1Srp+26,""))</f>
        <v>44799</v>
      </c>
      <c r="P35" s="31">
        <f>IF(DAY(Ne1Srp)=1,IF(AND(YEAR(Ne1Srp+20)=RokKalendáře,MONTH(Ne1Srp+20)=8),Ne1Srp+20,""),IF(AND(YEAR(Ne1Srp+27)=RokKalendáře,MONTH(Ne1Srp+27)=8),Ne1Srp+27,""))</f>
        <v>44800</v>
      </c>
      <c r="Q35" s="31">
        <f>IF(DAY(Ne1Srp)=1,IF(AND(YEAR(Ne1Srp+21)=RokKalendáře,MONTH(Ne1Srp+21)=8),Ne1Srp+21,""),IF(AND(YEAR(Ne1Srp+28)=RokKalendáře,MONTH(Ne1Srp+28)=8),Ne1Srp+28,""))</f>
        <v>44801</v>
      </c>
      <c r="S35" s="3"/>
      <c r="U35" s="6"/>
      <c r="V35" s="1"/>
      <c r="W35" s="1"/>
    </row>
    <row r="36" spans="1:23" ht="15" customHeight="1" x14ac:dyDescent="0.2">
      <c r="C36" s="31">
        <f>IF(DAY(Ne1Čvc)=1,IF(AND(YEAR(Ne1Čvc+22)=RokKalendáře,MONTH(Ne1Čvc+22)=7),Ne1Čvc+22,""),IF(AND(YEAR(Ne1Čvc+29)=RokKalendáře,MONTH(Ne1Čvc+29)=7),Ne1Čvc+29,""))</f>
        <v>44767</v>
      </c>
      <c r="D36" s="31">
        <f>IF(DAY(Ne1Čvc)=1,IF(AND(YEAR(Ne1Čvc+23)=RokKalendáře,MONTH(Ne1Čvc+23)=7),Ne1Čvc+23,""),IF(AND(YEAR(Ne1Čvc+30)=RokKalendáře,MONTH(Ne1Čvc+30)=7),Ne1Čvc+30,""))</f>
        <v>44768</v>
      </c>
      <c r="E36" s="31">
        <f>IF(DAY(Ne1Čvc)=1,IF(AND(YEAR(Ne1Čvc+24)=RokKalendáře,MONTH(Ne1Čvc+24)=7),Ne1Čvc+24,""),IF(AND(YEAR(Ne1Čvc+31)=RokKalendáře,MONTH(Ne1Čvc+31)=7),Ne1Čvc+31,""))</f>
        <v>44769</v>
      </c>
      <c r="F36" s="31">
        <f>IF(DAY(Ne1Čvc)=1,IF(AND(YEAR(Ne1Čvc+25)=RokKalendáře,MONTH(Ne1Čvc+25)=7),Ne1Čvc+25,""),IF(AND(YEAR(Ne1Čvc+32)=RokKalendáře,MONTH(Ne1Čvc+32)=7),Ne1Čvc+32,""))</f>
        <v>44770</v>
      </c>
      <c r="G36" s="31">
        <f>IF(DAY(Ne1Čvc)=1,IF(AND(YEAR(Ne1Čvc+26)=RokKalendáře,MONTH(Ne1Čvc+26)=7),Ne1Čvc+26,""),IF(AND(YEAR(Ne1Čvc+33)=RokKalendáře,MONTH(Ne1Čvc+33)=7),Ne1Čvc+33,""))</f>
        <v>44771</v>
      </c>
      <c r="H36" s="31">
        <f>IF(DAY(Ne1Čvc)=1,IF(AND(YEAR(Ne1Čvc+27)=RokKalendáře,MONTH(Ne1Čvc+27)=7),Ne1Čvc+27,""),IF(AND(YEAR(Ne1Čvc+34)=RokKalendáře,MONTH(Ne1Čvc+34)=7),Ne1Čvc+34,""))</f>
        <v>44772</v>
      </c>
      <c r="I36" s="31">
        <f>IF(DAY(Ne1Čvc)=1,IF(AND(YEAR(Ne1Čvc+28)=RokKalendáře,MONTH(Ne1Čvc+28)=7),Ne1Čvc+28,""),IF(AND(YEAR(Ne1Čvc+35)=RokKalendáře,MONTH(Ne1Čvc+35)=7),Ne1Čvc+35,""))</f>
        <v>44773</v>
      </c>
      <c r="K36" s="31">
        <f>IF(DAY(Ne1Srp)=1,IF(AND(YEAR(Ne1Srp+22)=RokKalendáře,MONTH(Ne1Srp+22)=8),Ne1Srp+22,""),IF(AND(YEAR(Ne1Srp+29)=RokKalendáře,MONTH(Ne1Srp+29)=8),Ne1Srp+29,""))</f>
        <v>44802</v>
      </c>
      <c r="L36" s="31">
        <f>IF(DAY(Ne1Srp)=1,IF(AND(YEAR(Ne1Srp+23)=RokKalendáře,MONTH(Ne1Srp+23)=8),Ne1Srp+23,""),IF(AND(YEAR(Ne1Srp+30)=RokKalendáře,MONTH(Ne1Srp+30)=8),Ne1Srp+30,""))</f>
        <v>44803</v>
      </c>
      <c r="M36" s="31">
        <f>IF(DAY(Ne1Srp)=1,IF(AND(YEAR(Ne1Srp+24)=RokKalendáře,MONTH(Ne1Srp+24)=8),Ne1Srp+24,""),IF(AND(YEAR(Ne1Srp+31)=RokKalendáře,MONTH(Ne1Srp+31)=8),Ne1Srp+31,""))</f>
        <v>44804</v>
      </c>
      <c r="N36" s="31" t="str">
        <f>IF(DAY(Ne1Srp)=1,IF(AND(YEAR(Ne1Srp+25)=RokKalendáře,MONTH(Ne1Srp+25)=8),Ne1Srp+25,""),IF(AND(YEAR(Ne1Srp+32)=RokKalendáře,MONTH(Ne1Srp+32)=8),Ne1Srp+32,""))</f>
        <v/>
      </c>
      <c r="O36" s="31" t="str">
        <f>IF(DAY(Ne1Srp)=1,IF(AND(YEAR(Ne1Srp+26)=RokKalendáře,MONTH(Ne1Srp+26)=8),Ne1Srp+26,""),IF(AND(YEAR(Ne1Srp+33)=RokKalendáře,MONTH(Ne1Srp+33)=8),Ne1Srp+33,""))</f>
        <v/>
      </c>
      <c r="P36" s="31" t="str">
        <f>IF(DAY(Ne1Srp)=1,IF(AND(YEAR(Ne1Srp+27)=RokKalendáře,MONTH(Ne1Srp+27)=8),Ne1Srp+27,""),IF(AND(YEAR(Ne1Srp+34)=RokKalendáře,MONTH(Ne1Srp+34)=8),Ne1Srp+34,""))</f>
        <v/>
      </c>
      <c r="Q36" s="31" t="str">
        <f>IF(DAY(Ne1Srp)=1,IF(AND(YEAR(Ne1Srp+28)=RokKalendáře,MONTH(Ne1Srp+28)=8),Ne1Srp+28,""),IF(AND(YEAR(Ne1Srp+35)=RokKalendáře,MONTH(Ne1Srp+35)=8),Ne1Srp+35,""))</f>
        <v/>
      </c>
      <c r="S36" s="3"/>
      <c r="U36" s="7"/>
      <c r="V36" s="1"/>
      <c r="W36" s="1"/>
    </row>
    <row r="37" spans="1:23" ht="15" customHeight="1" x14ac:dyDescent="0.2">
      <c r="C37" s="31" t="str">
        <f>IF(DAY(Ne1Čvc)=1,IF(AND(YEAR(Ne1Čvc+29)=RokKalendáře,MONTH(Ne1Čvc+29)=7),Ne1Čvc+29,""),IF(AND(YEAR(Ne1Čvc+36)=RokKalendáře,MONTH(Ne1Čvc+36)=7),Ne1Čvc+36,""))</f>
        <v/>
      </c>
      <c r="D37" s="31" t="str">
        <f>IF(DAY(Ne1Čvc)=1,IF(AND(YEAR(Ne1Čvc+30)=RokKalendáře,MONTH(Ne1Čvc+30)=7),Ne1Čvc+30,""),IF(AND(YEAR(Ne1Čvc+37)=RokKalendáře,MONTH(Ne1Čvc+37)=7),Ne1Čvc+37,""))</f>
        <v/>
      </c>
      <c r="E37" s="31" t="str">
        <f>IF(DAY(Ne1Čvc)=1,IF(AND(YEAR(Ne1Čvc+31)=RokKalendáře,MONTH(Ne1Čvc+31)=7),Ne1Čvc+31,""),IF(AND(YEAR(Ne1Čvc+38)=RokKalendáře,MONTH(Ne1Čvc+38)=7),Ne1Čvc+38,""))</f>
        <v/>
      </c>
      <c r="F37" s="31" t="str">
        <f>IF(DAY(Ne1Čvc)=1,IF(AND(YEAR(Ne1Čvc+32)=RokKalendáře,MONTH(Ne1Čvc+32)=7),Ne1Čvc+32,""),IF(AND(YEAR(Ne1Čvc+39)=RokKalendáře,MONTH(Ne1Čvc+39)=7),Ne1Čvc+39,""))</f>
        <v/>
      </c>
      <c r="G37" s="31" t="str">
        <f>IF(DAY(Ne1Čvc)=1,IF(AND(YEAR(Ne1Čvc+33)=RokKalendáře,MONTH(Ne1Čvc+33)=7),Ne1Čvc+33,""),IF(AND(YEAR(Ne1Čvc+40)=RokKalendáře,MONTH(Ne1Čvc+40)=7),Ne1Čvc+40,""))</f>
        <v/>
      </c>
      <c r="H37" s="31" t="str">
        <f>IF(DAY(Ne1Čvc)=1,IF(AND(YEAR(Ne1Čvc+34)=RokKalendáře,MONTH(Ne1Čvc+34)=7),Ne1Čvc+34,""),IF(AND(YEAR(Ne1Čvc+41)=RokKalendáře,MONTH(Ne1Čvc+41)=7),Ne1Čvc+41,""))</f>
        <v/>
      </c>
      <c r="I37" s="31" t="str">
        <f>IF(DAY(Ne1Čvc)=1,IF(AND(YEAR(Ne1Čvc+35)=RokKalendáře,MONTH(Ne1Čvc+35)=7),Ne1Čvc+35,""),IF(AND(YEAR(Ne1Čvc+42)=RokKalendáře,MONTH(Ne1Čvc+42)=7),Ne1Čvc+42,""))</f>
        <v/>
      </c>
      <c r="K37" s="31" t="str">
        <f>IF(DAY(Ne1Srp)=1,IF(AND(YEAR(Ne1Srp+29)=RokKalendáře,MONTH(Ne1Srp+29)=8),Ne1Srp+29,""),IF(AND(YEAR(Ne1Srp+36)=RokKalendáře,MONTH(Ne1Srp+36)=8),Ne1Srp+36,""))</f>
        <v/>
      </c>
      <c r="L37" s="31" t="str">
        <f>IF(DAY(Ne1Srp)=1,IF(AND(YEAR(Ne1Srp+30)=RokKalendáře,MONTH(Ne1Srp+30)=8),Ne1Srp+30,""),IF(AND(YEAR(Ne1Srp+37)=RokKalendáře,MONTH(Ne1Srp+37)=8),Ne1Srp+37,""))</f>
        <v/>
      </c>
      <c r="M37" s="31" t="str">
        <f>IF(DAY(Ne1Srp)=1,IF(AND(YEAR(Ne1Srp+31)=RokKalendáře,MONTH(Ne1Srp+31)=8),Ne1Srp+31,""),IF(AND(YEAR(Ne1Srp+38)=RokKalendáře,MONTH(Ne1Srp+38)=8),Ne1Srp+38,""))</f>
        <v/>
      </c>
      <c r="N37" s="31" t="str">
        <f>IF(DAY(Ne1Srp)=1,IF(AND(YEAR(Ne1Srp+32)=RokKalendáře,MONTH(Ne1Srp+32)=8),Ne1Srp+32,""),IF(AND(YEAR(Ne1Srp+39)=RokKalendáře,MONTH(Ne1Srp+39)=8),Ne1Srp+39,""))</f>
        <v/>
      </c>
      <c r="O37" s="31" t="str">
        <f>IF(DAY(Ne1Srp)=1,IF(AND(YEAR(Ne1Srp+33)=RokKalendáře,MONTH(Ne1Srp+33)=8),Ne1Srp+33,""),IF(AND(YEAR(Ne1Srp+40)=RokKalendáře,MONTH(Ne1Srp+40)=8),Ne1Srp+40,""))</f>
        <v/>
      </c>
      <c r="P37" s="31" t="str">
        <f>IF(DAY(Ne1Srp)=1,IF(AND(YEAR(Ne1Srp+34)=RokKalendáře,MONTH(Ne1Srp+34)=8),Ne1Srp+34,""),IF(AND(YEAR(Ne1Srp+41)=RokKalendáře,MONTH(Ne1Srp+41)=8),Ne1Srp+41,""))</f>
        <v/>
      </c>
      <c r="Q37" s="31" t="str">
        <f>IF(DAY(Ne1Srp)=1,IF(AND(YEAR(Ne1Srp+35)=RokKalendáře,MONTH(Ne1Srp+35)=8),Ne1Srp+35,""),IF(AND(YEAR(Ne1Srp+42)=RokKalendáře,MONTH(Ne1Srp+42)=8),Ne1Srp+42,""))</f>
        <v/>
      </c>
      <c r="S37" s="3"/>
      <c r="U37" s="9"/>
      <c r="V37" s="1"/>
      <c r="W37" s="1"/>
    </row>
    <row r="38" spans="1:23" ht="15" customHeight="1" x14ac:dyDescent="0.2">
      <c r="C38" s="28"/>
      <c r="D38" s="28"/>
      <c r="E38" s="28"/>
      <c r="F38" s="28"/>
      <c r="G38" s="28"/>
      <c r="H38" s="28"/>
      <c r="I38" s="28"/>
      <c r="K38" s="28"/>
      <c r="L38" s="28"/>
      <c r="M38" s="28"/>
      <c r="N38" s="28"/>
      <c r="O38" s="28"/>
      <c r="P38" s="28"/>
      <c r="Q38" s="28"/>
      <c r="S38" s="3"/>
      <c r="U38" s="6"/>
      <c r="V38" s="1"/>
      <c r="W38" s="1"/>
    </row>
    <row r="39" spans="1:23" ht="15" customHeight="1" x14ac:dyDescent="0.2">
      <c r="A39" s="24" t="s">
        <v>17</v>
      </c>
      <c r="C39" s="33" t="s">
        <v>31</v>
      </c>
      <c r="D39" s="33"/>
      <c r="E39" s="33"/>
      <c r="F39" s="33"/>
      <c r="G39" s="33"/>
      <c r="H39" s="33"/>
      <c r="I39" s="33"/>
      <c r="K39" s="33" t="s">
        <v>43</v>
      </c>
      <c r="L39" s="33"/>
      <c r="M39" s="33"/>
      <c r="N39" s="33"/>
      <c r="O39" s="33"/>
      <c r="P39" s="33"/>
      <c r="Q39" s="33"/>
      <c r="S39" s="3"/>
      <c r="U39" s="7"/>
      <c r="V39" s="1"/>
      <c r="W39" s="1"/>
    </row>
    <row r="40" spans="1:23" ht="15" customHeight="1" x14ac:dyDescent="0.2">
      <c r="A40" s="24" t="s">
        <v>18</v>
      </c>
      <c r="C40" s="17" t="s">
        <v>27</v>
      </c>
      <c r="D40" s="17" t="s">
        <v>33</v>
      </c>
      <c r="E40" s="17" t="s">
        <v>34</v>
      </c>
      <c r="F40" s="17" t="s">
        <v>35</v>
      </c>
      <c r="G40" s="17" t="s">
        <v>36</v>
      </c>
      <c r="H40" s="17" t="s">
        <v>37</v>
      </c>
      <c r="I40" s="17" t="s">
        <v>38</v>
      </c>
      <c r="K40" s="17" t="s">
        <v>27</v>
      </c>
      <c r="L40" s="17" t="s">
        <v>33</v>
      </c>
      <c r="M40" s="17" t="s">
        <v>34</v>
      </c>
      <c r="N40" s="17" t="s">
        <v>35</v>
      </c>
      <c r="O40" s="17" t="s">
        <v>36</v>
      </c>
      <c r="P40" s="17" t="s">
        <v>37</v>
      </c>
      <c r="Q40" s="17" t="s">
        <v>38</v>
      </c>
      <c r="S40" s="3"/>
      <c r="U40" s="9"/>
      <c r="V40" s="1"/>
      <c r="W40" s="1"/>
    </row>
    <row r="41" spans="1:23" ht="15" customHeight="1" x14ac:dyDescent="0.2">
      <c r="C41" s="31" t="str">
        <f>IF(DAY(Ne1Zář)=1,"",IF(AND(YEAR(Ne1Zář+1)=RokKalendáře,MONTH(Ne1Zář+1)=9),Ne1Zář+1,""))</f>
        <v/>
      </c>
      <c r="D41" s="31" t="str">
        <f>IF(DAY(Ne1Zář)=1,"",IF(AND(YEAR(Ne1Zář+2)=RokKalendáře,MONTH(Ne1Zář+2)=9),Ne1Zář+2,""))</f>
        <v/>
      </c>
      <c r="E41" s="31" t="str">
        <f>IF(DAY(Ne1Zář)=1,"",IF(AND(YEAR(Ne1Zář+3)=RokKalendáře,MONTH(Ne1Zář+3)=9),Ne1Zář+3,""))</f>
        <v/>
      </c>
      <c r="F41" s="31">
        <f>IF(DAY(Ne1Zář)=1,"",IF(AND(YEAR(Ne1Zář+4)=RokKalendáře,MONTH(Ne1Zář+4)=9),Ne1Zář+4,""))</f>
        <v>44805</v>
      </c>
      <c r="G41" s="31">
        <f>IF(DAY(Ne1Zář)=1,"",IF(AND(YEAR(Ne1Zář+5)=RokKalendáře,MONTH(Ne1Zář+5)=9),Ne1Zář+5,""))</f>
        <v>44806</v>
      </c>
      <c r="H41" s="31">
        <f>IF(DAY(Ne1Zář)=1,"",IF(AND(YEAR(Ne1Zář+6)=RokKalendáře,MONTH(Ne1Zář+6)=9),Ne1Zář+6,""))</f>
        <v>44807</v>
      </c>
      <c r="I41" s="31">
        <f>IF(DAY(Ne1Zář)=1,IF(AND(YEAR(Ne1Zář)=RokKalendáře,MONTH(Ne1Zář)=9),Ne1Zář,""),IF(AND(YEAR(Ne1Zář+7)=RokKalendáře,MONTH(Ne1Zář+7)=9),Ne1Zář+7,""))</f>
        <v>44808</v>
      </c>
      <c r="K41" s="31" t="str">
        <f>IF(DAY(Ne1Říj)=1,"",IF(AND(YEAR(Ne1Říj+1)=RokKalendáře,MONTH(Ne1Říj+1)=10),Ne1Říj+1,""))</f>
        <v/>
      </c>
      <c r="L41" s="31" t="str">
        <f>IF(DAY(Ne1Říj)=1,"",IF(AND(YEAR(Ne1Říj+2)=RokKalendáře,MONTH(Ne1Říj+2)=10),Ne1Říj+2,""))</f>
        <v/>
      </c>
      <c r="M41" s="31" t="str">
        <f>IF(DAY(Ne1Říj)=1,"",IF(AND(YEAR(Ne1Říj+3)=RokKalendáře,MONTH(Ne1Říj+3)=10),Ne1Říj+3,""))</f>
        <v/>
      </c>
      <c r="N41" s="31" t="str">
        <f>IF(DAY(Ne1Říj)=1,"",IF(AND(YEAR(Ne1Říj+4)=RokKalendáře,MONTH(Ne1Říj+4)=10),Ne1Říj+4,""))</f>
        <v/>
      </c>
      <c r="O41" s="31" t="str">
        <f>IF(DAY(Ne1Říj)=1,"",IF(AND(YEAR(Ne1Říj+5)=RokKalendáře,MONTH(Ne1Říj+5)=10),Ne1Říj+5,""))</f>
        <v/>
      </c>
      <c r="P41" s="31">
        <f>IF(DAY(Ne1Říj)=1,"",IF(AND(YEAR(Ne1Říj+6)=RokKalendáře,MONTH(Ne1Říj+6)=10),Ne1Říj+6,""))</f>
        <v>44835</v>
      </c>
      <c r="Q41" s="31">
        <f>IF(DAY(Ne1Říj)=1,IF(AND(YEAR(Ne1Říj)=RokKalendáře,MONTH(Ne1Říj)=10),Ne1Říj,""),IF(AND(YEAR(Ne1Říj+7)=RokKalendáře,MONTH(Ne1Říj+7)=10),Ne1Říj+7,""))</f>
        <v>44836</v>
      </c>
      <c r="S41" s="3"/>
      <c r="U41" s="6"/>
      <c r="V41" s="1"/>
      <c r="W41" s="1"/>
    </row>
    <row r="42" spans="1:23" ht="15" customHeight="1" x14ac:dyDescent="0.2">
      <c r="C42" s="31">
        <f>IF(DAY(Ne1Zář)=1,IF(AND(YEAR(Ne1Zář+1)=RokKalendáře,MONTH(Ne1Zář+1)=9),Ne1Zář+1,""),IF(AND(YEAR(Ne1Zář+8)=RokKalendáře,MONTH(Ne1Zář+8)=9),Ne1Zář+8,""))</f>
        <v>44809</v>
      </c>
      <c r="D42" s="31">
        <f>IF(DAY(Ne1Zář)=1,IF(AND(YEAR(Ne1Zář+2)=RokKalendáře,MONTH(Ne1Zář+2)=9),Ne1Zář+2,""),IF(AND(YEAR(Ne1Zář+9)=RokKalendáře,MONTH(Ne1Zář+9)=9),Ne1Zář+9,""))</f>
        <v>44810</v>
      </c>
      <c r="E42" s="31">
        <f>IF(DAY(Ne1Zář)=1,IF(AND(YEAR(Ne1Zář+3)=RokKalendáře,MONTH(Ne1Zář+3)=9),Ne1Zář+3,""),IF(AND(YEAR(Ne1Zář+10)=RokKalendáře,MONTH(Ne1Zář+10)=9),Ne1Zář+10,""))</f>
        <v>44811</v>
      </c>
      <c r="F42" s="31">
        <f>IF(DAY(Ne1Zář)=1,IF(AND(YEAR(Ne1Zář+4)=RokKalendáře,MONTH(Ne1Zář+4)=9),Ne1Zář+4,""),IF(AND(YEAR(Ne1Zář+11)=RokKalendáře,MONTH(Ne1Zář+11)=9),Ne1Zář+11,""))</f>
        <v>44812</v>
      </c>
      <c r="G42" s="31">
        <f>IF(DAY(Ne1Zář)=1,IF(AND(YEAR(Ne1Zář+5)=RokKalendáře,MONTH(Ne1Zář+5)=9),Ne1Zář+5,""),IF(AND(YEAR(Ne1Zář+12)=RokKalendáře,MONTH(Ne1Zář+12)=9),Ne1Zář+12,""))</f>
        <v>44813</v>
      </c>
      <c r="H42" s="31">
        <f>IF(DAY(Ne1Zář)=1,IF(AND(YEAR(Ne1Zář+6)=RokKalendáře,MONTH(Ne1Zář+6)=9),Ne1Zář+6,""),IF(AND(YEAR(Ne1Zář+13)=RokKalendáře,MONTH(Ne1Zář+13)=9),Ne1Zář+13,""))</f>
        <v>44814</v>
      </c>
      <c r="I42" s="31">
        <f>IF(DAY(Ne1Zář)=1,IF(AND(YEAR(Ne1Zář+7)=RokKalendáře,MONTH(Ne1Zář+7)=9),Ne1Zář+7,""),IF(AND(YEAR(Ne1Zář+14)=RokKalendáře,MONTH(Ne1Zář+14)=9),Ne1Zář+14,""))</f>
        <v>44815</v>
      </c>
      <c r="K42" s="31">
        <f>IF(DAY(Ne1Říj)=1,IF(AND(YEAR(Ne1Říj+1)=RokKalendáře,MONTH(Ne1Říj+1)=10),Ne1Říj+1,""),IF(AND(YEAR(Ne1Říj+8)=RokKalendáře,MONTH(Ne1Říj+8)=10),Ne1Říj+8,""))</f>
        <v>44837</v>
      </c>
      <c r="L42" s="31">
        <f>IF(DAY(Ne1Říj)=1,IF(AND(YEAR(Ne1Říj+2)=RokKalendáře,MONTH(Ne1Říj+2)=10),Ne1Říj+2,""),IF(AND(YEAR(Ne1Říj+9)=RokKalendáře,MONTH(Ne1Říj+9)=10),Ne1Říj+9,""))</f>
        <v>44838</v>
      </c>
      <c r="M42" s="31">
        <f>IF(DAY(Ne1Říj)=1,IF(AND(YEAR(Ne1Říj+3)=RokKalendáře,MONTH(Ne1Říj+3)=10),Ne1Říj+3,""),IF(AND(YEAR(Ne1Říj+10)=RokKalendáře,MONTH(Ne1Říj+10)=10),Ne1Říj+10,""))</f>
        <v>44839</v>
      </c>
      <c r="N42" s="31">
        <f>IF(DAY(Ne1Říj)=1,IF(AND(YEAR(Ne1Říj+4)=RokKalendáře,MONTH(Ne1Říj+4)=10),Ne1Říj+4,""),IF(AND(YEAR(Ne1Říj+11)=RokKalendáře,MONTH(Ne1Říj+11)=10),Ne1Říj+11,""))</f>
        <v>44840</v>
      </c>
      <c r="O42" s="31">
        <f>IF(DAY(Ne1Říj)=1,IF(AND(YEAR(Ne1Říj+5)=RokKalendáře,MONTH(Ne1Říj+5)=10),Ne1Říj+5,""),IF(AND(YEAR(Ne1Říj+12)=RokKalendáře,MONTH(Ne1Říj+12)=10),Ne1Říj+12,""))</f>
        <v>44841</v>
      </c>
      <c r="P42" s="31">
        <f>IF(DAY(Ne1Říj)=1,IF(AND(YEAR(Ne1Říj+6)=RokKalendáře,MONTH(Ne1Říj+6)=10),Ne1Říj+6,""),IF(AND(YEAR(Ne1Říj+13)=RokKalendáře,MONTH(Ne1Říj+13)=10),Ne1Říj+13,""))</f>
        <v>44842</v>
      </c>
      <c r="Q42" s="31">
        <f>IF(DAY(Ne1Říj)=1,IF(AND(YEAR(Ne1Říj+7)=RokKalendáře,MONTH(Ne1Říj+7)=10),Ne1Říj+7,""),IF(AND(YEAR(Ne1Říj+14)=RokKalendáře,MONTH(Ne1Říj+14)=10),Ne1Říj+14,""))</f>
        <v>44843</v>
      </c>
      <c r="S42" s="3"/>
      <c r="U42" s="6"/>
      <c r="V42" s="1"/>
      <c r="W42" s="1"/>
    </row>
    <row r="43" spans="1:23" ht="15" customHeight="1" x14ac:dyDescent="0.2">
      <c r="C43" s="31">
        <f>IF(DAY(Ne1Zář)=1,IF(AND(YEAR(Ne1Zář+8)=RokKalendáře,MONTH(Ne1Zář+8)=9),Ne1Zář+8,""),IF(AND(YEAR(Ne1Zář+15)=RokKalendáře,MONTH(Ne1Zář+15)=9),Ne1Zář+15,""))</f>
        <v>44816</v>
      </c>
      <c r="D43" s="31">
        <f>IF(DAY(Ne1Zář)=1,IF(AND(YEAR(Ne1Zář+9)=RokKalendáře,MONTH(Ne1Zář+9)=9),Ne1Zář+9,""),IF(AND(YEAR(Ne1Zář+16)=RokKalendáře,MONTH(Ne1Zář+16)=9),Ne1Zář+16,""))</f>
        <v>44817</v>
      </c>
      <c r="E43" s="31">
        <f>IF(DAY(Ne1Zář)=1,IF(AND(YEAR(Ne1Zář+10)=RokKalendáře,MONTH(Ne1Zář+10)=9),Ne1Zář+10,""),IF(AND(YEAR(Ne1Zář+17)=RokKalendáře,MONTH(Ne1Zář+17)=9),Ne1Zář+17,""))</f>
        <v>44818</v>
      </c>
      <c r="F43" s="31">
        <f>IF(DAY(Ne1Zář)=1,IF(AND(YEAR(Ne1Zář+11)=RokKalendáře,MONTH(Ne1Zář+11)=9),Ne1Zář+11,""),IF(AND(YEAR(Ne1Zář+18)=RokKalendáře,MONTH(Ne1Zář+18)=9),Ne1Zář+18,""))</f>
        <v>44819</v>
      </c>
      <c r="G43" s="31">
        <f>IF(DAY(Ne1Zář)=1,IF(AND(YEAR(Ne1Zář+12)=RokKalendáře,MONTH(Ne1Zář+12)=9),Ne1Zář+12,""),IF(AND(YEAR(Ne1Zář+19)=RokKalendáře,MONTH(Ne1Zář+19)=9),Ne1Zář+19,""))</f>
        <v>44820</v>
      </c>
      <c r="H43" s="31">
        <f>IF(DAY(Ne1Zář)=1,IF(AND(YEAR(Ne1Zář+13)=RokKalendáře,MONTH(Ne1Zář+13)=9),Ne1Zář+13,""),IF(AND(YEAR(Ne1Zář+20)=RokKalendáře,MONTH(Ne1Zář+20)=9),Ne1Zář+20,""))</f>
        <v>44821</v>
      </c>
      <c r="I43" s="31">
        <f>IF(DAY(Ne1Zář)=1,IF(AND(YEAR(Ne1Zář+14)=RokKalendáře,MONTH(Ne1Zář+14)=9),Ne1Zář+14,""),IF(AND(YEAR(Ne1Zář+21)=RokKalendáře,MONTH(Ne1Zář+21)=9),Ne1Zář+21,""))</f>
        <v>44822</v>
      </c>
      <c r="K43" s="31">
        <f>IF(DAY(Ne1Říj)=1,IF(AND(YEAR(Ne1Říj+8)=RokKalendáře,MONTH(Ne1Říj+8)=10),Ne1Říj+8,""),IF(AND(YEAR(Ne1Říj+15)=RokKalendáře,MONTH(Ne1Říj+15)=10),Ne1Říj+15,""))</f>
        <v>44844</v>
      </c>
      <c r="L43" s="31">
        <f>IF(DAY(Ne1Říj)=1,IF(AND(YEAR(Ne1Říj+9)=RokKalendáře,MONTH(Ne1Říj+9)=10),Ne1Říj+9,""),IF(AND(YEAR(Ne1Říj+16)=RokKalendáře,MONTH(Ne1Říj+16)=10),Ne1Říj+16,""))</f>
        <v>44845</v>
      </c>
      <c r="M43" s="31">
        <f>IF(DAY(Ne1Říj)=1,IF(AND(YEAR(Ne1Říj+10)=RokKalendáře,MONTH(Ne1Říj+10)=10),Ne1Říj+10,""),IF(AND(YEAR(Ne1Říj+17)=RokKalendáře,MONTH(Ne1Říj+17)=10),Ne1Říj+17,""))</f>
        <v>44846</v>
      </c>
      <c r="N43" s="31">
        <f>IF(DAY(Ne1Říj)=1,IF(AND(YEAR(Ne1Říj+11)=RokKalendáře,MONTH(Ne1Říj+11)=10),Ne1Říj+11,""),IF(AND(YEAR(Ne1Říj+18)=RokKalendáře,MONTH(Ne1Říj+18)=10),Ne1Říj+18,""))</f>
        <v>44847</v>
      </c>
      <c r="O43" s="31">
        <f>IF(DAY(Ne1Říj)=1,IF(AND(YEAR(Ne1Říj+12)=RokKalendáře,MONTH(Ne1Říj+12)=10),Ne1Říj+12,""),IF(AND(YEAR(Ne1Říj+19)=RokKalendáře,MONTH(Ne1Říj+19)=10),Ne1Říj+19,""))</f>
        <v>44848</v>
      </c>
      <c r="P43" s="31">
        <f>IF(DAY(Ne1Říj)=1,IF(AND(YEAR(Ne1Říj+13)=RokKalendáře,MONTH(Ne1Říj+13)=10),Ne1Říj+13,""),IF(AND(YEAR(Ne1Říj+20)=RokKalendáře,MONTH(Ne1Říj+20)=10),Ne1Říj+20,""))</f>
        <v>44849</v>
      </c>
      <c r="Q43" s="31">
        <f>IF(DAY(Ne1Říj)=1,IF(AND(YEAR(Ne1Říj+14)=RokKalendáře,MONTH(Ne1Říj+14)=10),Ne1Říj+14,""),IF(AND(YEAR(Ne1Říj+21)=RokKalendáře,MONTH(Ne1Říj+21)=10),Ne1Říj+21,""))</f>
        <v>44850</v>
      </c>
      <c r="S43" s="3"/>
      <c r="U43" s="9"/>
      <c r="V43" s="1"/>
      <c r="W43" s="1"/>
    </row>
    <row r="44" spans="1:23" ht="15" customHeight="1" x14ac:dyDescent="0.2">
      <c r="A44" s="24" t="s">
        <v>19</v>
      </c>
      <c r="C44" s="31">
        <f>IF(DAY(Ne1Zář)=1,IF(AND(YEAR(Ne1Zář+15)=RokKalendáře,MONTH(Ne1Zář+15)=9),Ne1Zář+15,""),IF(AND(YEAR(Ne1Zář+22)=RokKalendáře,MONTH(Ne1Zář+22)=9),Ne1Zář+22,""))</f>
        <v>44823</v>
      </c>
      <c r="D44" s="31">
        <f>IF(DAY(Ne1Zář)=1,IF(AND(YEAR(Ne1Zář+16)=RokKalendáře,MONTH(Ne1Zář+16)=9),Ne1Zář+16,""),IF(AND(YEAR(Ne1Zář+23)=RokKalendáře,MONTH(Ne1Zář+23)=9),Ne1Zář+23,""))</f>
        <v>44824</v>
      </c>
      <c r="E44" s="31">
        <f>IF(DAY(Ne1Zář)=1,IF(AND(YEAR(Ne1Zář+17)=RokKalendáře,MONTH(Ne1Zář+17)=9),Ne1Zář+17,""),IF(AND(YEAR(Ne1Zář+24)=RokKalendáře,MONTH(Ne1Zář+24)=9),Ne1Zář+24,""))</f>
        <v>44825</v>
      </c>
      <c r="F44" s="31">
        <f>IF(DAY(Ne1Zář)=1,IF(AND(YEAR(Ne1Zář+18)=RokKalendáře,MONTH(Ne1Zář+18)=9),Ne1Zář+18,""),IF(AND(YEAR(Ne1Zář+25)=RokKalendáře,MONTH(Ne1Zář+25)=9),Ne1Zář+25,""))</f>
        <v>44826</v>
      </c>
      <c r="G44" s="31">
        <f>IF(DAY(Ne1Zář)=1,IF(AND(YEAR(Ne1Zář+19)=RokKalendáře,MONTH(Ne1Zář+19)=9),Ne1Zář+19,""),IF(AND(YEAR(Ne1Zář+26)=RokKalendáře,MONTH(Ne1Zář+26)=9),Ne1Zář+26,""))</f>
        <v>44827</v>
      </c>
      <c r="H44" s="31">
        <f>IF(DAY(Ne1Zář)=1,IF(AND(YEAR(Ne1Zář+20)=RokKalendáře,MONTH(Ne1Zář+20)=9),Ne1Zář+20,""),IF(AND(YEAR(Ne1Zář+27)=RokKalendáře,MONTH(Ne1Zář+27)=9),Ne1Zář+27,""))</f>
        <v>44828</v>
      </c>
      <c r="I44" s="31">
        <f>IF(DAY(Ne1Zář)=1,IF(AND(YEAR(Ne1Zář+21)=RokKalendáře,MONTH(Ne1Zář+21)=9),Ne1Zář+21,""),IF(AND(YEAR(Ne1Zář+28)=RokKalendáře,MONTH(Ne1Zář+28)=9),Ne1Zář+28,""))</f>
        <v>44829</v>
      </c>
      <c r="K44" s="31">
        <f>IF(DAY(Ne1Říj)=1,IF(AND(YEAR(Ne1Říj+15)=RokKalendáře,MONTH(Ne1Říj+15)=10),Ne1Říj+15,""),IF(AND(YEAR(Ne1Říj+22)=RokKalendáře,MONTH(Ne1Říj+22)=10),Ne1Říj+22,""))</f>
        <v>44851</v>
      </c>
      <c r="L44" s="31">
        <f>IF(DAY(Ne1Říj)=1,IF(AND(YEAR(Ne1Říj+16)=RokKalendáře,MONTH(Ne1Říj+16)=10),Ne1Říj+16,""),IF(AND(YEAR(Ne1Říj+23)=RokKalendáře,MONTH(Ne1Říj+23)=10),Ne1Říj+23,""))</f>
        <v>44852</v>
      </c>
      <c r="M44" s="31">
        <f>IF(DAY(Ne1Říj)=1,IF(AND(YEAR(Ne1Říj+17)=RokKalendáře,MONTH(Ne1Říj+17)=10),Ne1Říj+17,""),IF(AND(YEAR(Ne1Říj+24)=RokKalendáře,MONTH(Ne1Říj+24)=10),Ne1Říj+24,""))</f>
        <v>44853</v>
      </c>
      <c r="N44" s="31">
        <f>IF(DAY(Ne1Říj)=1,IF(AND(YEAR(Ne1Říj+18)=RokKalendáře,MONTH(Ne1Říj+18)=10),Ne1Říj+18,""),IF(AND(YEAR(Ne1Říj+25)=RokKalendáře,MONTH(Ne1Říj+25)=10),Ne1Říj+25,""))</f>
        <v>44854</v>
      </c>
      <c r="O44" s="31">
        <f>IF(DAY(Ne1Říj)=1,IF(AND(YEAR(Ne1Říj+19)=RokKalendáře,MONTH(Ne1Říj+19)=10),Ne1Říj+19,""),IF(AND(YEAR(Ne1Říj+26)=RokKalendáře,MONTH(Ne1Říj+26)=10),Ne1Říj+26,""))</f>
        <v>44855</v>
      </c>
      <c r="P44" s="31">
        <f>IF(DAY(Ne1Říj)=1,IF(AND(YEAR(Ne1Říj+20)=RokKalendáře,MONTH(Ne1Říj+20)=10),Ne1Říj+20,""),IF(AND(YEAR(Ne1Říj+27)=RokKalendáře,MONTH(Ne1Říj+27)=10),Ne1Říj+27,""))</f>
        <v>44856</v>
      </c>
      <c r="Q44" s="31">
        <f>IF(DAY(Ne1Říj)=1,IF(AND(YEAR(Ne1Říj+21)=RokKalendáře,MONTH(Ne1Říj+21)=10),Ne1Říj+21,""),IF(AND(YEAR(Ne1Říj+28)=RokKalendáře,MONTH(Ne1Říj+28)=10),Ne1Říj+28,""))</f>
        <v>44857</v>
      </c>
      <c r="S44" s="3"/>
      <c r="U44" s="14" t="s">
        <v>52</v>
      </c>
      <c r="V44" s="1"/>
      <c r="W44" s="1"/>
    </row>
    <row r="45" spans="1:23" ht="15" customHeight="1" x14ac:dyDescent="0.2">
      <c r="A45" s="24" t="s">
        <v>20</v>
      </c>
      <c r="C45" s="31">
        <f>IF(DAY(Ne1Zář)=1,IF(AND(YEAR(Ne1Zář+22)=RokKalendáře,MONTH(Ne1Zář+22)=9),Ne1Zář+22,""),IF(AND(YEAR(Ne1Zář+29)=RokKalendáře,MONTH(Ne1Zář+29)=9),Ne1Zář+29,""))</f>
        <v>44830</v>
      </c>
      <c r="D45" s="31">
        <f>IF(DAY(Ne1Zář)=1,IF(AND(YEAR(Ne1Zář+23)=RokKalendáře,MONTH(Ne1Zář+23)=9),Ne1Zář+23,""),IF(AND(YEAR(Ne1Zář+30)=RokKalendáře,MONTH(Ne1Zář+30)=9),Ne1Zář+30,""))</f>
        <v>44831</v>
      </c>
      <c r="E45" s="31">
        <f>IF(DAY(Ne1Zář)=1,IF(AND(YEAR(Ne1Zář+24)=RokKalendáře,MONTH(Ne1Zář+24)=9),Ne1Zář+24,""),IF(AND(YEAR(Ne1Zář+31)=RokKalendáře,MONTH(Ne1Zář+31)=9),Ne1Zář+31,""))</f>
        <v>44832</v>
      </c>
      <c r="F45" s="31">
        <f>IF(DAY(Ne1Zář)=1,IF(AND(YEAR(Ne1Zář+25)=RokKalendáře,MONTH(Ne1Zář+25)=9),Ne1Zář+25,""),IF(AND(YEAR(Ne1Zář+32)=RokKalendáře,MONTH(Ne1Zář+32)=9),Ne1Zář+32,""))</f>
        <v>44833</v>
      </c>
      <c r="G45" s="31">
        <f>IF(DAY(Ne1Zář)=1,IF(AND(YEAR(Ne1Zář+26)=RokKalendáře,MONTH(Ne1Zář+26)=9),Ne1Zář+26,""),IF(AND(YEAR(Ne1Zář+33)=RokKalendáře,MONTH(Ne1Zář+33)=9),Ne1Zář+33,""))</f>
        <v>44834</v>
      </c>
      <c r="H45" s="31" t="str">
        <f>IF(DAY(Ne1Zář)=1,IF(AND(YEAR(Ne1Zář+27)=RokKalendáře,MONTH(Ne1Zář+27)=9),Ne1Zář+27,""),IF(AND(YEAR(Ne1Zář+34)=RokKalendáře,MONTH(Ne1Zář+34)=9),Ne1Zář+34,""))</f>
        <v/>
      </c>
      <c r="I45" s="31" t="str">
        <f>IF(DAY(Ne1Zář)=1,IF(AND(YEAR(Ne1Zář+28)=RokKalendáře,MONTH(Ne1Zář+28)=9),Ne1Zář+28,""),IF(AND(YEAR(Ne1Zář+35)=RokKalendáře,MONTH(Ne1Zář+35)=9),Ne1Zář+35,""))</f>
        <v/>
      </c>
      <c r="K45" s="31">
        <f>IF(DAY(Ne1Říj)=1,IF(AND(YEAR(Ne1Říj+22)=RokKalendáře,MONTH(Ne1Říj+22)=10),Ne1Říj+22,""),IF(AND(YEAR(Ne1Říj+29)=RokKalendáře,MONTH(Ne1Říj+29)=10),Ne1Říj+29,""))</f>
        <v>44858</v>
      </c>
      <c r="L45" s="31">
        <f>IF(DAY(Ne1Říj)=1,IF(AND(YEAR(Ne1Říj+23)=RokKalendáře,MONTH(Ne1Říj+23)=10),Ne1Říj+23,""),IF(AND(YEAR(Ne1Říj+30)=RokKalendáře,MONTH(Ne1Říj+30)=10),Ne1Říj+30,""))</f>
        <v>44859</v>
      </c>
      <c r="M45" s="31">
        <f>IF(DAY(Ne1Říj)=1,IF(AND(YEAR(Ne1Říj+24)=RokKalendáře,MONTH(Ne1Říj+24)=10),Ne1Říj+24,""),IF(AND(YEAR(Ne1Říj+31)=RokKalendáře,MONTH(Ne1Říj+31)=10),Ne1Říj+31,""))</f>
        <v>44860</v>
      </c>
      <c r="N45" s="31">
        <f>IF(DAY(Ne1Říj)=1,IF(AND(YEAR(Ne1Říj+25)=RokKalendáře,MONTH(Ne1Říj+25)=10),Ne1Říj+25,""),IF(AND(YEAR(Ne1Říj+32)=RokKalendáře,MONTH(Ne1Říj+32)=10),Ne1Říj+32,""))</f>
        <v>44861</v>
      </c>
      <c r="O45" s="31">
        <f>IF(DAY(Ne1Říj)=1,IF(AND(YEAR(Ne1Říj+26)=RokKalendáře,MONTH(Ne1Říj+26)=10),Ne1Říj+26,""),IF(AND(YEAR(Ne1Říj+33)=RokKalendáře,MONTH(Ne1Říj+33)=10),Ne1Říj+33,""))</f>
        <v>44862</v>
      </c>
      <c r="P45" s="31">
        <f>IF(DAY(Ne1Říj)=1,IF(AND(YEAR(Ne1Říj+27)=RokKalendáře,MONTH(Ne1Říj+27)=10),Ne1Říj+27,""),IF(AND(YEAR(Ne1Říj+34)=RokKalendáře,MONTH(Ne1Říj+34)=10),Ne1Říj+34,""))</f>
        <v>44863</v>
      </c>
      <c r="Q45" s="31">
        <f>IF(DAY(Ne1Říj)=1,IF(AND(YEAR(Ne1Říj+28)=RokKalendáře,MONTH(Ne1Říj+28)=10),Ne1Říj+28,""),IF(AND(YEAR(Ne1Říj+35)=RokKalendáře,MONTH(Ne1Říj+35)=10),Ne1Říj+35,""))</f>
        <v>44864</v>
      </c>
      <c r="S45" s="3"/>
      <c r="U45" s="15" t="s">
        <v>53</v>
      </c>
      <c r="V45" s="1"/>
      <c r="W45" s="1"/>
    </row>
    <row r="46" spans="1:23" ht="15" customHeight="1" x14ac:dyDescent="0.2">
      <c r="A46" s="24"/>
      <c r="C46" s="31" t="str">
        <f>IF(DAY(Ne1Zář)=1,IF(AND(YEAR(Ne1Zář+29)=RokKalendáře,MONTH(Ne1Zář+29)=9),Ne1Zář+29,""),IF(AND(YEAR(Ne1Zář+36)=RokKalendáře,MONTH(Ne1Zář+36)=9),Ne1Zář+36,""))</f>
        <v/>
      </c>
      <c r="D46" s="31" t="str">
        <f>IF(DAY(Ne1Zář)=1,IF(AND(YEAR(Ne1Zář+30)=RokKalendáře,MONTH(Ne1Zář+30)=9),Ne1Zář+30,""),IF(AND(YEAR(Ne1Zář+37)=RokKalendáře,MONTH(Ne1Zář+37)=9),Ne1Zář+37,""))</f>
        <v/>
      </c>
      <c r="E46" s="31" t="str">
        <f>IF(DAY(Ne1Zář)=1,IF(AND(YEAR(Ne1Zář+31)=RokKalendáře,MONTH(Ne1Zář+31)=9),Ne1Zář+31,""),IF(AND(YEAR(Ne1Zář+38)=RokKalendáře,MONTH(Ne1Zář+38)=9),Ne1Zář+38,""))</f>
        <v/>
      </c>
      <c r="F46" s="31" t="str">
        <f>IF(DAY(Ne1Zář)=1,IF(AND(YEAR(Ne1Zář+32)=RokKalendáře,MONTH(Ne1Zář+32)=9),Ne1Zář+32,""),IF(AND(YEAR(Ne1Zář+39)=RokKalendáře,MONTH(Ne1Zář+39)=9),Ne1Zář+39,""))</f>
        <v/>
      </c>
      <c r="G46" s="31" t="str">
        <f>IF(DAY(Ne1Zář)=1,IF(AND(YEAR(Ne1Zář+33)=RokKalendáře,MONTH(Ne1Zář+33)=9),Ne1Zář+33,""),IF(AND(YEAR(Ne1Zář+40)=RokKalendáře,MONTH(Ne1Zář+40)=9),Ne1Zář+40,""))</f>
        <v/>
      </c>
      <c r="H46" s="31" t="str">
        <f>IF(DAY(Ne1Zář)=1,IF(AND(YEAR(Ne1Zář+34)=RokKalendáře,MONTH(Ne1Zář+34)=9),Ne1Zář+34,""),IF(AND(YEAR(Ne1Zář+41)=RokKalendáře,MONTH(Ne1Zář+41)=9),Ne1Zář+41,""))</f>
        <v/>
      </c>
      <c r="I46" s="31" t="str">
        <f>IF(DAY(Ne1Zář)=1,IF(AND(YEAR(Ne1Zář+35)=RokKalendáře,MONTH(Ne1Zář+35)=9),Ne1Zář+35,""),IF(AND(YEAR(Ne1Zář+42)=RokKalendáře,MONTH(Ne1Zář+42)=9),Ne1Zář+42,""))</f>
        <v/>
      </c>
      <c r="K46" s="31">
        <f>IF(DAY(Ne1Říj)=1,IF(AND(YEAR(Ne1Říj+29)=RokKalendáře,MONTH(Ne1Říj+29)=10),Ne1Říj+29,""),IF(AND(YEAR(Ne1Říj+36)=RokKalendáře,MONTH(Ne1Říj+36)=10),Ne1Říj+36,""))</f>
        <v>44865</v>
      </c>
      <c r="L46" s="31" t="str">
        <f>IF(DAY(Ne1Říj)=1,IF(AND(YEAR(Ne1Říj+30)=RokKalendáře,MONTH(Ne1Říj+30)=10),Ne1Říj+30,""),IF(AND(YEAR(Ne1Říj+37)=RokKalendáře,MONTH(Ne1Říj+37)=10),Ne1Říj+37,""))</f>
        <v/>
      </c>
      <c r="M46" s="31" t="str">
        <f>IF(DAY(Ne1Říj)=1,IF(AND(YEAR(Ne1Říj+31)=RokKalendáře,MONTH(Ne1Říj+31)=10),Ne1Říj+31,""),IF(AND(YEAR(Ne1Říj+38)=RokKalendáře,MONTH(Ne1Říj+38)=10),Ne1Říj+38,""))</f>
        <v/>
      </c>
      <c r="N46" s="31" t="str">
        <f>IF(DAY(Ne1Říj)=1,IF(AND(YEAR(Ne1Říj+32)=RokKalendáře,MONTH(Ne1Říj+32)=10),Ne1Říj+32,""),IF(AND(YEAR(Ne1Říj+39)=RokKalendáře,MONTH(Ne1Říj+39)=10),Ne1Říj+39,""))</f>
        <v/>
      </c>
      <c r="O46" s="31" t="str">
        <f>IF(DAY(Ne1Říj)=1,IF(AND(YEAR(Ne1Říj+33)=RokKalendáře,MONTH(Ne1Říj+33)=10),Ne1Říj+33,""),IF(AND(YEAR(Ne1Říj+40)=RokKalendáře,MONTH(Ne1Říj+40)=10),Ne1Říj+40,""))</f>
        <v/>
      </c>
      <c r="P46" s="31" t="str">
        <f>IF(DAY(Ne1Říj)=1,IF(AND(YEAR(Ne1Říj+34)=RokKalendáře,MONTH(Ne1Říj+34)=10),Ne1Říj+34,""),IF(AND(YEAR(Ne1Říj+41)=RokKalendáře,MONTH(Ne1Říj+41)=10),Ne1Říj+41,""))</f>
        <v/>
      </c>
      <c r="Q46" s="31" t="str">
        <f>IF(DAY(Ne1Říj)=1,IF(AND(YEAR(Ne1Říj+35)=RokKalendáře,MONTH(Ne1Říj+35)=10),Ne1Říj+35,""),IF(AND(YEAR(Ne1Říj+42)=RokKalendáře,MONTH(Ne1Říj+42)=10),Ne1Říj+42,""))</f>
        <v/>
      </c>
      <c r="S46" s="3"/>
      <c r="U46" s="15"/>
      <c r="V46" s="1"/>
      <c r="W46" s="1"/>
    </row>
    <row r="47" spans="1:23" ht="15" customHeight="1" x14ac:dyDescent="0.2">
      <c r="A47" s="24" t="s">
        <v>21</v>
      </c>
      <c r="S47" s="3"/>
      <c r="U47" s="15" t="s">
        <v>54</v>
      </c>
      <c r="V47" s="1"/>
      <c r="W47" s="1"/>
    </row>
    <row r="48" spans="1:23" ht="15" customHeight="1" x14ac:dyDescent="0.2">
      <c r="A48" s="24" t="s">
        <v>22</v>
      </c>
      <c r="C48" s="33" t="s">
        <v>32</v>
      </c>
      <c r="D48" s="33"/>
      <c r="E48" s="33"/>
      <c r="F48" s="33"/>
      <c r="G48" s="33"/>
      <c r="H48" s="33"/>
      <c r="I48" s="33"/>
      <c r="K48" s="33" t="s">
        <v>44</v>
      </c>
      <c r="L48" s="33"/>
      <c r="M48" s="33"/>
      <c r="N48" s="33"/>
      <c r="O48" s="33"/>
      <c r="P48" s="33"/>
      <c r="Q48" s="33"/>
      <c r="S48" s="3"/>
      <c r="U48" s="15" t="s">
        <v>55</v>
      </c>
      <c r="V48" s="1"/>
      <c r="W48" s="1"/>
    </row>
    <row r="49" spans="1:21" ht="15" customHeight="1" x14ac:dyDescent="0.2">
      <c r="A49" s="24" t="s">
        <v>23</v>
      </c>
      <c r="C49" s="17" t="s">
        <v>27</v>
      </c>
      <c r="D49" s="17" t="s">
        <v>33</v>
      </c>
      <c r="E49" s="17" t="s">
        <v>34</v>
      </c>
      <c r="F49" s="17" t="s">
        <v>35</v>
      </c>
      <c r="G49" s="17" t="s">
        <v>36</v>
      </c>
      <c r="H49" s="17" t="s">
        <v>37</v>
      </c>
      <c r="I49" s="17" t="s">
        <v>38</v>
      </c>
      <c r="J49" s="8"/>
      <c r="K49" s="17" t="s">
        <v>27</v>
      </c>
      <c r="L49" s="17" t="s">
        <v>33</v>
      </c>
      <c r="M49" s="17" t="s">
        <v>34</v>
      </c>
      <c r="N49" s="17" t="s">
        <v>35</v>
      </c>
      <c r="O49" s="17" t="s">
        <v>36</v>
      </c>
      <c r="P49" s="17" t="s">
        <v>37</v>
      </c>
      <c r="Q49" s="17" t="s">
        <v>38</v>
      </c>
      <c r="S49" s="3"/>
      <c r="U49" s="15" t="s">
        <v>56</v>
      </c>
    </row>
    <row r="50" spans="1:21" ht="15" customHeight="1" x14ac:dyDescent="0.2">
      <c r="A50" s="24"/>
      <c r="C50" s="31" t="str">
        <f>IF(DAY(Ne1Lis)=1,"",IF(AND(YEAR(Ne1Lis+1)=RokKalendáře,MONTH(Ne1Lis+1)=11),Ne1Lis+1,""))</f>
        <v/>
      </c>
      <c r="D50" s="31">
        <f>IF(DAY(Ne1Lis)=1,"",IF(AND(YEAR(Ne1Lis+2)=RokKalendáře,MONTH(Ne1Lis+2)=11),Ne1Lis+2,""))</f>
        <v>44866</v>
      </c>
      <c r="E50" s="31">
        <f>IF(DAY(Ne1Lis)=1,"",IF(AND(YEAR(Ne1Lis+3)=RokKalendáře,MONTH(Ne1Lis+3)=11),Ne1Lis+3,""))</f>
        <v>44867</v>
      </c>
      <c r="F50" s="31">
        <f>IF(DAY(Ne1Lis)=1,"",IF(AND(YEAR(Ne1Lis+4)=RokKalendáře,MONTH(Ne1Lis+4)=11),Ne1Lis+4,""))</f>
        <v>44868</v>
      </c>
      <c r="G50" s="31">
        <f>IF(DAY(Ne1Lis)=1,"",IF(AND(YEAR(Ne1Lis+5)=RokKalendáře,MONTH(Ne1Lis+5)=11),Ne1Lis+5,""))</f>
        <v>44869</v>
      </c>
      <c r="H50" s="31">
        <f>IF(DAY(Ne1Lis)=1,"",IF(AND(YEAR(Ne1Lis+6)=RokKalendáře,MONTH(Ne1Lis+6)=11),Ne1Lis+6,""))</f>
        <v>44870</v>
      </c>
      <c r="I50" s="31">
        <f>IF(DAY(Ne1Lis)=1,IF(AND(YEAR(Ne1Lis)=RokKalendáře,MONTH(Ne1Lis)=11),Ne1Lis,""),IF(AND(YEAR(Ne1Lis+7)=RokKalendáře,MONTH(Ne1Lis+7)=11),Ne1Lis+7,""))</f>
        <v>44871</v>
      </c>
      <c r="K50" s="31" t="str">
        <f>IF(DAY(Ne1Pro)=1,"",IF(AND(YEAR(Ne1Pro+1)=RokKalendáře,MONTH(Ne1Pro+1)=12),Ne1Pro+1,""))</f>
        <v/>
      </c>
      <c r="L50" s="31" t="str">
        <f>IF(DAY(Ne1Pro)=1,"",IF(AND(YEAR(Ne1Pro+2)=RokKalendáře,MONTH(Ne1Pro+2)=12),Ne1Pro+2,""))</f>
        <v/>
      </c>
      <c r="M50" s="31" t="str">
        <f>IF(DAY(Ne1Pro)=1,"",IF(AND(YEAR(Ne1Pro+3)=RokKalendáře,MONTH(Ne1Pro+3)=12),Ne1Pro+3,""))</f>
        <v/>
      </c>
      <c r="N50" s="31">
        <f>IF(DAY(Ne1Pro)=1,"",IF(AND(YEAR(Ne1Pro+4)=RokKalendáře,MONTH(Ne1Pro+4)=12),Ne1Pro+4,""))</f>
        <v>44896</v>
      </c>
      <c r="O50" s="31">
        <f>IF(DAY(Ne1Pro)=1,"",IF(AND(YEAR(Ne1Pro+5)=RokKalendáře,MONTH(Ne1Pro+5)=12),Ne1Pro+5,""))</f>
        <v>44897</v>
      </c>
      <c r="P50" s="31">
        <f>IF(DAY(Ne1Pro)=1,"",IF(AND(YEAR(Ne1Pro+6)=RokKalendáře,MONTH(Ne1Pro+6)=12),Ne1Pro+6,""))</f>
        <v>44898</v>
      </c>
      <c r="Q50" s="31">
        <f>IF(DAY(Ne1Pro)=1,IF(AND(YEAR(Ne1Pro)=RokKalendáře,MONTH(Ne1Pro)=12),Ne1Pro,""),IF(AND(YEAR(Ne1Pro+7)=RokKalendáře,MONTH(Ne1Pro+7)=12),Ne1Pro+7,""))</f>
        <v>44899</v>
      </c>
      <c r="S50" s="3"/>
      <c r="U50" s="5"/>
    </row>
    <row r="51" spans="1:21" ht="15" customHeight="1" x14ac:dyDescent="0.2">
      <c r="A51" s="24" t="s">
        <v>24</v>
      </c>
      <c r="C51" s="31">
        <f>IF(DAY(Ne1Lis)=1,IF(AND(YEAR(Ne1Lis+1)=RokKalendáře,MONTH(Ne1Lis+1)=11),Ne1Lis+1,""),IF(AND(YEAR(Ne1Lis+8)=RokKalendáře,MONTH(Ne1Lis+8)=11),Ne1Lis+8,""))</f>
        <v>44872</v>
      </c>
      <c r="D51" s="31">
        <f>IF(DAY(Ne1Lis)=1,IF(AND(YEAR(Ne1Lis+2)=RokKalendáře,MONTH(Ne1Lis+2)=11),Ne1Lis+2,""),IF(AND(YEAR(Ne1Lis+9)=RokKalendáře,MONTH(Ne1Lis+9)=11),Ne1Lis+9,""))</f>
        <v>44873</v>
      </c>
      <c r="E51" s="31">
        <f>IF(DAY(Ne1Lis)=1,IF(AND(YEAR(Ne1Lis+3)=RokKalendáře,MONTH(Ne1Lis+3)=11),Ne1Lis+3,""),IF(AND(YEAR(Ne1Lis+10)=RokKalendáře,MONTH(Ne1Lis+10)=11),Ne1Lis+10,""))</f>
        <v>44874</v>
      </c>
      <c r="F51" s="31">
        <f>IF(DAY(Ne1Lis)=1,IF(AND(YEAR(Ne1Lis+4)=RokKalendáře,MONTH(Ne1Lis+4)=11),Ne1Lis+4,""),IF(AND(YEAR(Ne1Lis+11)=RokKalendáře,MONTH(Ne1Lis+11)=11),Ne1Lis+11,""))</f>
        <v>44875</v>
      </c>
      <c r="G51" s="31">
        <f>IF(DAY(Ne1Lis)=1,IF(AND(YEAR(Ne1Lis+5)=RokKalendáře,MONTH(Ne1Lis+5)=11),Ne1Lis+5,""),IF(AND(YEAR(Ne1Lis+12)=RokKalendáře,MONTH(Ne1Lis+12)=11),Ne1Lis+12,""))</f>
        <v>44876</v>
      </c>
      <c r="H51" s="31">
        <f>IF(DAY(Ne1Lis)=1,IF(AND(YEAR(Ne1Lis+6)=RokKalendáře,MONTH(Ne1Lis+6)=11),Ne1Lis+6,""),IF(AND(YEAR(Ne1Lis+13)=RokKalendáře,MONTH(Ne1Lis+13)=11),Ne1Lis+13,""))</f>
        <v>44877</v>
      </c>
      <c r="I51" s="31">
        <f>IF(DAY(Ne1Lis)=1,IF(AND(YEAR(Ne1Lis+7)=RokKalendáře,MONTH(Ne1Lis+7)=11),Ne1Lis+7,""),IF(AND(YEAR(Ne1Lis+14)=RokKalendáře,MONTH(Ne1Lis+14)=11),Ne1Lis+14,""))</f>
        <v>44878</v>
      </c>
      <c r="K51" s="31">
        <f>IF(DAY(Ne1Pro)=1,IF(AND(YEAR(Ne1Pro+1)=RokKalendáře,MONTH(Ne1Pro+1)=12),Ne1Pro+1,""),IF(AND(YEAR(Ne1Pro+8)=RokKalendáře,MONTH(Ne1Pro+8)=12),Ne1Pro+8,""))</f>
        <v>44900</v>
      </c>
      <c r="L51" s="31">
        <f>IF(DAY(Ne1Pro)=1,IF(AND(YEAR(Ne1Pro+2)=RokKalendáře,MONTH(Ne1Pro+2)=12),Ne1Pro+2,""),IF(AND(YEAR(Ne1Pro+9)=RokKalendáře,MONTH(Ne1Pro+9)=12),Ne1Pro+9,""))</f>
        <v>44901</v>
      </c>
      <c r="M51" s="31">
        <f>IF(DAY(Ne1Pro)=1,IF(AND(YEAR(Ne1Pro+3)=RokKalendáře,MONTH(Ne1Pro+3)=12),Ne1Pro+3,""),IF(AND(YEAR(Ne1Pro+10)=RokKalendáře,MONTH(Ne1Pro+10)=12),Ne1Pro+10,""))</f>
        <v>44902</v>
      </c>
      <c r="N51" s="31">
        <f>IF(DAY(Ne1Pro)=1,IF(AND(YEAR(Ne1Pro+4)=RokKalendáře,MONTH(Ne1Pro+4)=12),Ne1Pro+4,""),IF(AND(YEAR(Ne1Pro+11)=RokKalendáře,MONTH(Ne1Pro+11)=12),Ne1Pro+11,""))</f>
        <v>44903</v>
      </c>
      <c r="O51" s="31">
        <f>IF(DAY(Ne1Pro)=1,IF(AND(YEAR(Ne1Pro+5)=RokKalendáře,MONTH(Ne1Pro+5)=12),Ne1Pro+5,""),IF(AND(YEAR(Ne1Pro+12)=RokKalendáře,MONTH(Ne1Pro+12)=12),Ne1Pro+12,""))</f>
        <v>44904</v>
      </c>
      <c r="P51" s="31">
        <f>IF(DAY(Ne1Pro)=1,IF(AND(YEAR(Ne1Pro+6)=RokKalendáře,MONTH(Ne1Pro+6)=12),Ne1Pro+6,""),IF(AND(YEAR(Ne1Pro+13)=RokKalendáře,MONTH(Ne1Pro+13)=12),Ne1Pro+13,""))</f>
        <v>44905</v>
      </c>
      <c r="Q51" s="31">
        <f>IF(DAY(Ne1Pro)=1,IF(AND(YEAR(Ne1Pro+7)=RokKalendáře,MONTH(Ne1Pro+7)=12),Ne1Pro+7,""),IF(AND(YEAR(Ne1Pro+14)=RokKalendáře,MONTH(Ne1Pro+14)=12),Ne1Pro+14,""))</f>
        <v>44906</v>
      </c>
      <c r="S51" s="3"/>
      <c r="U51" s="35" t="s">
        <v>57</v>
      </c>
    </row>
    <row r="52" spans="1:21" ht="15" customHeight="1" x14ac:dyDescent="0.2">
      <c r="C52" s="31">
        <f>IF(DAY(Ne1Lis)=1,IF(AND(YEAR(Ne1Lis+8)=RokKalendáře,MONTH(Ne1Lis+8)=11),Ne1Lis+8,""),IF(AND(YEAR(Ne1Lis+15)=RokKalendáře,MONTH(Ne1Lis+15)=11),Ne1Lis+15,""))</f>
        <v>44879</v>
      </c>
      <c r="D52" s="31">
        <f>IF(DAY(Ne1Lis)=1,IF(AND(YEAR(Ne1Lis+9)=RokKalendáře,MONTH(Ne1Lis+9)=11),Ne1Lis+9,""),IF(AND(YEAR(Ne1Lis+16)=RokKalendáře,MONTH(Ne1Lis+16)=11),Ne1Lis+16,""))</f>
        <v>44880</v>
      </c>
      <c r="E52" s="31">
        <f>IF(DAY(Ne1Lis)=1,IF(AND(YEAR(Ne1Lis+10)=RokKalendáře,MONTH(Ne1Lis+10)=11),Ne1Lis+10,""),IF(AND(YEAR(Ne1Lis+17)=RokKalendáře,MONTH(Ne1Lis+17)=11),Ne1Lis+17,""))</f>
        <v>44881</v>
      </c>
      <c r="F52" s="31">
        <f>IF(DAY(Ne1Lis)=1,IF(AND(YEAR(Ne1Lis+11)=RokKalendáře,MONTH(Ne1Lis+11)=11),Ne1Lis+11,""),IF(AND(YEAR(Ne1Lis+18)=RokKalendáře,MONTH(Ne1Lis+18)=11),Ne1Lis+18,""))</f>
        <v>44882</v>
      </c>
      <c r="G52" s="31">
        <f>IF(DAY(Ne1Lis)=1,IF(AND(YEAR(Ne1Lis+12)=RokKalendáře,MONTH(Ne1Lis+12)=11),Ne1Lis+12,""),IF(AND(YEAR(Ne1Lis+19)=RokKalendáře,MONTH(Ne1Lis+19)=11),Ne1Lis+19,""))</f>
        <v>44883</v>
      </c>
      <c r="H52" s="31">
        <f>IF(DAY(Ne1Lis)=1,IF(AND(YEAR(Ne1Lis+13)=RokKalendáře,MONTH(Ne1Lis+13)=11),Ne1Lis+13,""),IF(AND(YEAR(Ne1Lis+20)=RokKalendáře,MONTH(Ne1Lis+20)=11),Ne1Lis+20,""))</f>
        <v>44884</v>
      </c>
      <c r="I52" s="31">
        <f>IF(DAY(Ne1Lis)=1,IF(AND(YEAR(Ne1Lis+14)=RokKalendáře,MONTH(Ne1Lis+14)=11),Ne1Lis+14,""),IF(AND(YEAR(Ne1Lis+21)=RokKalendáře,MONTH(Ne1Lis+21)=11),Ne1Lis+21,""))</f>
        <v>44885</v>
      </c>
      <c r="K52" s="31">
        <f>IF(DAY(Ne1Pro)=1,IF(AND(YEAR(Ne1Pro+8)=RokKalendáře,MONTH(Ne1Pro+8)=12),Ne1Pro+8,""),IF(AND(YEAR(Ne1Pro+15)=RokKalendáře,MONTH(Ne1Pro+15)=12),Ne1Pro+15,""))</f>
        <v>44907</v>
      </c>
      <c r="L52" s="31">
        <f>IF(DAY(Ne1Pro)=1,IF(AND(YEAR(Ne1Pro+9)=RokKalendáře,MONTH(Ne1Pro+9)=12),Ne1Pro+9,""),IF(AND(YEAR(Ne1Pro+16)=RokKalendáře,MONTH(Ne1Pro+16)=12),Ne1Pro+16,""))</f>
        <v>44908</v>
      </c>
      <c r="M52" s="31">
        <f>IF(DAY(Ne1Pro)=1,IF(AND(YEAR(Ne1Pro+10)=RokKalendáře,MONTH(Ne1Pro+10)=12),Ne1Pro+10,""),IF(AND(YEAR(Ne1Pro+17)=RokKalendáře,MONTH(Ne1Pro+17)=12),Ne1Pro+17,""))</f>
        <v>44909</v>
      </c>
      <c r="N52" s="31">
        <f>IF(DAY(Ne1Pro)=1,IF(AND(YEAR(Ne1Pro+11)=RokKalendáře,MONTH(Ne1Pro+11)=12),Ne1Pro+11,""),IF(AND(YEAR(Ne1Pro+18)=RokKalendáře,MONTH(Ne1Pro+18)=12),Ne1Pro+18,""))</f>
        <v>44910</v>
      </c>
      <c r="O52" s="31">
        <f>IF(DAY(Ne1Pro)=1,IF(AND(YEAR(Ne1Pro+12)=RokKalendáře,MONTH(Ne1Pro+12)=12),Ne1Pro+12,""),IF(AND(YEAR(Ne1Pro+19)=RokKalendáře,MONTH(Ne1Pro+19)=12),Ne1Pro+19,""))</f>
        <v>44911</v>
      </c>
      <c r="P52" s="31">
        <f>IF(DAY(Ne1Pro)=1,IF(AND(YEAR(Ne1Pro+13)=RokKalendáře,MONTH(Ne1Pro+13)=12),Ne1Pro+13,""),IF(AND(YEAR(Ne1Pro+20)=RokKalendáře,MONTH(Ne1Pro+20)=12),Ne1Pro+20,""))</f>
        <v>44912</v>
      </c>
      <c r="Q52" s="31">
        <f>IF(DAY(Ne1Pro)=1,IF(AND(YEAR(Ne1Pro+14)=RokKalendáře,MONTH(Ne1Pro+14)=12),Ne1Pro+14,""),IF(AND(YEAR(Ne1Pro+21)=RokKalendáře,MONTH(Ne1Pro+21)=12),Ne1Pro+21,""))</f>
        <v>44913</v>
      </c>
      <c r="S52" s="3"/>
      <c r="U52" s="35"/>
    </row>
    <row r="53" spans="1:21" ht="15" customHeight="1" x14ac:dyDescent="0.2">
      <c r="C53" s="31">
        <f>IF(DAY(Ne1Lis)=1,IF(AND(YEAR(Ne1Lis+15)=RokKalendáře,MONTH(Ne1Lis+15)=11),Ne1Lis+15,""),IF(AND(YEAR(Ne1Lis+22)=RokKalendáře,MONTH(Ne1Lis+22)=11),Ne1Lis+22,""))</f>
        <v>44886</v>
      </c>
      <c r="D53" s="31">
        <f>IF(DAY(Ne1Lis)=1,IF(AND(YEAR(Ne1Lis+16)=RokKalendáře,MONTH(Ne1Lis+16)=11),Ne1Lis+16,""),IF(AND(YEAR(Ne1Lis+23)=RokKalendáře,MONTH(Ne1Lis+23)=11),Ne1Lis+23,""))</f>
        <v>44887</v>
      </c>
      <c r="E53" s="31">
        <f>IF(DAY(Ne1Lis)=1,IF(AND(YEAR(Ne1Lis+17)=RokKalendáře,MONTH(Ne1Lis+17)=11),Ne1Lis+17,""),IF(AND(YEAR(Ne1Lis+24)=RokKalendáře,MONTH(Ne1Lis+24)=11),Ne1Lis+24,""))</f>
        <v>44888</v>
      </c>
      <c r="F53" s="31">
        <f>IF(DAY(Ne1Lis)=1,IF(AND(YEAR(Ne1Lis+18)=RokKalendáře,MONTH(Ne1Lis+18)=11),Ne1Lis+18,""),IF(AND(YEAR(Ne1Lis+25)=RokKalendáře,MONTH(Ne1Lis+25)=11),Ne1Lis+25,""))</f>
        <v>44889</v>
      </c>
      <c r="G53" s="31">
        <f>IF(DAY(Ne1Lis)=1,IF(AND(YEAR(Ne1Lis+19)=RokKalendáře,MONTH(Ne1Lis+19)=11),Ne1Lis+19,""),IF(AND(YEAR(Ne1Lis+26)=RokKalendáře,MONTH(Ne1Lis+26)=11),Ne1Lis+26,""))</f>
        <v>44890</v>
      </c>
      <c r="H53" s="31">
        <f>IF(DAY(Ne1Lis)=1,IF(AND(YEAR(Ne1Lis+20)=RokKalendáře,MONTH(Ne1Lis+20)=11),Ne1Lis+20,""),IF(AND(YEAR(Ne1Lis+27)=RokKalendáře,MONTH(Ne1Lis+27)=11),Ne1Lis+27,""))</f>
        <v>44891</v>
      </c>
      <c r="I53" s="31">
        <f>IF(DAY(Ne1Lis)=1,IF(AND(YEAR(Ne1Lis+21)=RokKalendáře,MONTH(Ne1Lis+21)=11),Ne1Lis+21,""),IF(AND(YEAR(Ne1Lis+28)=RokKalendáře,MONTH(Ne1Lis+28)=11),Ne1Lis+28,""))</f>
        <v>44892</v>
      </c>
      <c r="K53" s="31">
        <f>IF(DAY(Ne1Pro)=1,IF(AND(YEAR(Ne1Pro+15)=RokKalendáře,MONTH(Ne1Pro+15)=12),Ne1Pro+15,""),IF(AND(YEAR(Ne1Pro+22)=RokKalendáře,MONTH(Ne1Pro+22)=12),Ne1Pro+22,""))</f>
        <v>44914</v>
      </c>
      <c r="L53" s="31">
        <f>IF(DAY(Ne1Pro)=1,IF(AND(YEAR(Ne1Pro+16)=RokKalendáře,MONTH(Ne1Pro+16)=12),Ne1Pro+16,""),IF(AND(YEAR(Ne1Pro+23)=RokKalendáře,MONTH(Ne1Pro+23)=12),Ne1Pro+23,""))</f>
        <v>44915</v>
      </c>
      <c r="M53" s="31">
        <f>IF(DAY(Ne1Pro)=1,IF(AND(YEAR(Ne1Pro+17)=RokKalendáře,MONTH(Ne1Pro+17)=12),Ne1Pro+17,""),IF(AND(YEAR(Ne1Pro+24)=RokKalendáře,MONTH(Ne1Pro+24)=12),Ne1Pro+24,""))</f>
        <v>44916</v>
      </c>
      <c r="N53" s="31">
        <f>IF(DAY(Ne1Pro)=1,IF(AND(YEAR(Ne1Pro+18)=RokKalendáře,MONTH(Ne1Pro+18)=12),Ne1Pro+18,""),IF(AND(YEAR(Ne1Pro+25)=RokKalendáře,MONTH(Ne1Pro+25)=12),Ne1Pro+25,""))</f>
        <v>44917</v>
      </c>
      <c r="O53" s="31">
        <f>IF(DAY(Ne1Pro)=1,IF(AND(YEAR(Ne1Pro+19)=RokKalendáře,MONTH(Ne1Pro+19)=12),Ne1Pro+19,""),IF(AND(YEAR(Ne1Pro+26)=RokKalendáře,MONTH(Ne1Pro+26)=12),Ne1Pro+26,""))</f>
        <v>44918</v>
      </c>
      <c r="P53" s="31">
        <f>IF(DAY(Ne1Pro)=1,IF(AND(YEAR(Ne1Pro+20)=RokKalendáře,MONTH(Ne1Pro+20)=12),Ne1Pro+20,""),IF(AND(YEAR(Ne1Pro+27)=RokKalendáře,MONTH(Ne1Pro+27)=12),Ne1Pro+27,""))</f>
        <v>44919</v>
      </c>
      <c r="Q53" s="31">
        <f>IF(DAY(Ne1Pro)=1,IF(AND(YEAR(Ne1Pro+21)=RokKalendáře,MONTH(Ne1Pro+21)=12),Ne1Pro+21,""),IF(AND(YEAR(Ne1Pro+28)=RokKalendáře,MONTH(Ne1Pro+28)=12),Ne1Pro+28,""))</f>
        <v>44920</v>
      </c>
      <c r="S53" s="3"/>
      <c r="U53" s="35"/>
    </row>
    <row r="54" spans="1:21" ht="15" customHeight="1" x14ac:dyDescent="0.2">
      <c r="C54" s="31">
        <f>IF(DAY(Ne1Lis)=1,IF(AND(YEAR(Ne1Lis+22)=RokKalendáře,MONTH(Ne1Lis+22)=11),Ne1Lis+22,""),IF(AND(YEAR(Ne1Lis+29)=RokKalendáře,MONTH(Ne1Lis+29)=11),Ne1Lis+29,""))</f>
        <v>44893</v>
      </c>
      <c r="D54" s="31">
        <f>IF(DAY(Ne1Lis)=1,IF(AND(YEAR(Ne1Lis+23)=RokKalendáře,MONTH(Ne1Lis+23)=11),Ne1Lis+23,""),IF(AND(YEAR(Ne1Lis+30)=RokKalendáře,MONTH(Ne1Lis+30)=11),Ne1Lis+30,""))</f>
        <v>44894</v>
      </c>
      <c r="E54" s="31">
        <f>IF(DAY(Ne1Lis)=1,IF(AND(YEAR(Ne1Lis+24)=RokKalendáře,MONTH(Ne1Lis+24)=11),Ne1Lis+24,""),IF(AND(YEAR(Ne1Lis+31)=RokKalendáře,MONTH(Ne1Lis+31)=11),Ne1Lis+31,""))</f>
        <v>44895</v>
      </c>
      <c r="F54" s="31" t="str">
        <f>IF(DAY(Ne1Lis)=1,IF(AND(YEAR(Ne1Lis+25)=RokKalendáře,MONTH(Ne1Lis+25)=11),Ne1Lis+25,""),IF(AND(YEAR(Ne1Lis+32)=RokKalendáře,MONTH(Ne1Lis+32)=11),Ne1Lis+32,""))</f>
        <v/>
      </c>
      <c r="G54" s="31" t="str">
        <f>IF(DAY(Ne1Lis)=1,IF(AND(YEAR(Ne1Lis+26)=RokKalendáře,MONTH(Ne1Lis+26)=11),Ne1Lis+26,""),IF(AND(YEAR(Ne1Lis+33)=RokKalendáře,MONTH(Ne1Lis+33)=11),Ne1Lis+33,""))</f>
        <v/>
      </c>
      <c r="H54" s="31" t="str">
        <f>IF(DAY(Ne1Lis)=1,IF(AND(YEAR(Ne1Lis+27)=RokKalendáře,MONTH(Ne1Lis+27)=11),Ne1Lis+27,""),IF(AND(YEAR(Ne1Lis+34)=RokKalendáře,MONTH(Ne1Lis+34)=11),Ne1Lis+34,""))</f>
        <v/>
      </c>
      <c r="I54" s="31" t="str">
        <f>IF(DAY(Ne1Lis)=1,IF(AND(YEAR(Ne1Lis+28)=RokKalendáře,MONTH(Ne1Lis+28)=11),Ne1Lis+28,""),IF(AND(YEAR(Ne1Lis+35)=RokKalendáře,MONTH(Ne1Lis+35)=11),Ne1Lis+35,""))</f>
        <v/>
      </c>
      <c r="K54" s="31">
        <f>IF(DAY(Ne1Pro)=1,IF(AND(YEAR(Ne1Pro+22)=RokKalendáře,MONTH(Ne1Pro+22)=12),Ne1Pro+22,""),IF(AND(YEAR(Ne1Pro+29)=RokKalendáře,MONTH(Ne1Pro+29)=12),Ne1Pro+29,""))</f>
        <v>44921</v>
      </c>
      <c r="L54" s="31">
        <f>IF(DAY(Ne1Pro)=1,IF(AND(YEAR(Ne1Pro+23)=RokKalendáře,MONTH(Ne1Pro+23)=12),Ne1Pro+23,""),IF(AND(YEAR(Ne1Pro+30)=RokKalendáře,MONTH(Ne1Pro+30)=12),Ne1Pro+30,""))</f>
        <v>44922</v>
      </c>
      <c r="M54" s="31">
        <f>IF(DAY(Ne1Pro)=1,IF(AND(YEAR(Ne1Pro+24)=RokKalendáře,MONTH(Ne1Pro+24)=12),Ne1Pro+24,""),IF(AND(YEAR(Ne1Pro+31)=RokKalendáře,MONTH(Ne1Pro+31)=12),Ne1Pro+31,""))</f>
        <v>44923</v>
      </c>
      <c r="N54" s="31">
        <f>IF(DAY(Ne1Pro)=1,IF(AND(YEAR(Ne1Pro+25)=RokKalendáře,MONTH(Ne1Pro+25)=12),Ne1Pro+25,""),IF(AND(YEAR(Ne1Pro+32)=RokKalendáře,MONTH(Ne1Pro+32)=12),Ne1Pro+32,""))</f>
        <v>44924</v>
      </c>
      <c r="O54" s="31">
        <f>IF(DAY(Ne1Pro)=1,IF(AND(YEAR(Ne1Pro+26)=RokKalendáře,MONTH(Ne1Pro+26)=12),Ne1Pro+26,""),IF(AND(YEAR(Ne1Pro+33)=RokKalendáře,MONTH(Ne1Pro+33)=12),Ne1Pro+33,""))</f>
        <v>44925</v>
      </c>
      <c r="P54" s="31">
        <f>IF(DAY(Ne1Pro)=1,IF(AND(YEAR(Ne1Pro+27)=RokKalendáře,MONTH(Ne1Pro+27)=12),Ne1Pro+27,""),IF(AND(YEAR(Ne1Pro+34)=RokKalendáře,MONTH(Ne1Pro+34)=12),Ne1Pro+34,""))</f>
        <v>44926</v>
      </c>
      <c r="Q54" s="31" t="str">
        <f>IF(DAY(Ne1Pro)=1,IF(AND(YEAR(Ne1Pro+28)=RokKalendáře,MONTH(Ne1Pro+28)=12),Ne1Pro+28,""),IF(AND(YEAR(Ne1Pro+35)=RokKalendáře,MONTH(Ne1Pro+35)=12),Ne1Pro+35,""))</f>
        <v/>
      </c>
      <c r="S54" s="3"/>
      <c r="U54" s="35"/>
    </row>
    <row r="55" spans="1:21" ht="15" customHeight="1" x14ac:dyDescent="0.2">
      <c r="C55" s="31" t="str">
        <f>IF(DAY(Ne1Lis)=1,IF(AND(YEAR(Ne1Lis+29)=RokKalendáře,MONTH(Ne1Lis+29)=11),Ne1Lis+29,""),IF(AND(YEAR(Ne1Lis+36)=RokKalendáře,MONTH(Ne1Lis+36)=11),Ne1Lis+36,""))</f>
        <v/>
      </c>
      <c r="D55" s="31" t="str">
        <f>IF(DAY(Ne1Lis)=1,IF(AND(YEAR(Ne1Lis+30)=RokKalendáře,MONTH(Ne1Lis+30)=11),Ne1Lis+30,""),IF(AND(YEAR(Ne1Lis+37)=RokKalendáře,MONTH(Ne1Lis+37)=11),Ne1Lis+37,""))</f>
        <v/>
      </c>
      <c r="E55" s="31" t="str">
        <f>IF(DAY(Ne1Lis)=1,IF(AND(YEAR(Ne1Lis+31)=RokKalendáře,MONTH(Ne1Lis+31)=11),Ne1Lis+31,""),IF(AND(YEAR(Ne1Lis+38)=RokKalendáře,MONTH(Ne1Lis+38)=11),Ne1Lis+38,""))</f>
        <v/>
      </c>
      <c r="F55" s="31" t="str">
        <f>IF(DAY(Ne1Lis)=1,IF(AND(YEAR(Ne1Lis+32)=RokKalendáře,MONTH(Ne1Lis+32)=11),Ne1Lis+32,""),IF(AND(YEAR(Ne1Lis+39)=RokKalendáře,MONTH(Ne1Lis+39)=11),Ne1Lis+39,""))</f>
        <v/>
      </c>
      <c r="G55" s="31" t="str">
        <f>IF(DAY(Ne1Lis)=1,IF(AND(YEAR(Ne1Lis+33)=RokKalendáře,MONTH(Ne1Lis+33)=11),Ne1Lis+33,""),IF(AND(YEAR(Ne1Lis+40)=RokKalendáře,MONTH(Ne1Lis+40)=11),Ne1Lis+40,""))</f>
        <v/>
      </c>
      <c r="H55" s="31" t="str">
        <f>IF(DAY(Ne1Lis)=1,IF(AND(YEAR(Ne1Lis+34)=RokKalendáře,MONTH(Ne1Lis+34)=11),Ne1Lis+34,""),IF(AND(YEAR(Ne1Lis+41)=RokKalendáře,MONTH(Ne1Lis+41)=11),Ne1Lis+41,""))</f>
        <v/>
      </c>
      <c r="I55" s="31" t="str">
        <f>IF(DAY(Ne1Lis)=1,IF(AND(YEAR(Ne1Lis+35)=RokKalendáře,MONTH(Ne1Lis+35)=11),Ne1Lis+35,""),IF(AND(YEAR(Ne1Lis+42)=RokKalendáře,MONTH(Ne1Lis+42)=11),Ne1Lis+42,""))</f>
        <v/>
      </c>
      <c r="K55" s="31" t="str">
        <f>IF(DAY(Ne1Pro)=1,IF(AND(YEAR(Ne1Pro+29)=RokKalendáře,MONTH(Ne1Pro+29)=12),Ne1Pro+29,""),IF(AND(YEAR(Ne1Pro+36)=RokKalendáře,MONTH(Ne1Pro+36)=12),Ne1Pro+36,""))</f>
        <v/>
      </c>
      <c r="L55" s="31" t="str">
        <f>IF(DAY(Ne1Pro)=1,IF(AND(YEAR(Ne1Pro+30)=RokKalendáře,MONTH(Ne1Pro+30)=12),Ne1Pro+30,""),IF(AND(YEAR(Ne1Pro+37)=RokKalendáře,MONTH(Ne1Pro+37)=12),Ne1Pro+37,""))</f>
        <v/>
      </c>
      <c r="M55" s="31" t="str">
        <f>IF(DAY(Ne1Pro)=1,IF(AND(YEAR(Ne1Pro+31)=RokKalendáře,MONTH(Ne1Pro+31)=12),Ne1Pro+31,""),IF(AND(YEAR(Ne1Pro+38)=RokKalendáře,MONTH(Ne1Pro+38)=12),Ne1Pro+38,""))</f>
        <v/>
      </c>
      <c r="N55" s="31" t="str">
        <f>IF(DAY(Ne1Pro)=1,IF(AND(YEAR(Ne1Pro+32)=RokKalendáře,MONTH(Ne1Pro+32)=12),Ne1Pro+32,""),IF(AND(YEAR(Ne1Pro+39)=RokKalendáře,MONTH(Ne1Pro+39)=12),Ne1Pro+39,""))</f>
        <v/>
      </c>
      <c r="O55" s="31" t="str">
        <f>IF(DAY(Ne1Pro)=1,IF(AND(YEAR(Ne1Pro+33)=RokKalendáře,MONTH(Ne1Pro+33)=12),Ne1Pro+33,""),IF(AND(YEAR(Ne1Pro+40)=RokKalendáře,MONTH(Ne1Pro+40)=12),Ne1Pro+40,""))</f>
        <v/>
      </c>
      <c r="P55" s="31" t="str">
        <f>IF(DAY(Ne1Pro)=1,IF(AND(YEAR(Ne1Pro+34)=RokKalendáře,MONTH(Ne1Pro+34)=12),Ne1Pro+34,""),IF(AND(YEAR(Ne1Pro+41)=RokKalendáře,MONTH(Ne1Pro+41)=12),Ne1Pro+41,""))</f>
        <v/>
      </c>
      <c r="Q55" s="31" t="str">
        <f>IF(DAY(Ne1Pro)=1,IF(AND(YEAR(Ne1Pro+35)=RokKalendáře,MONTH(Ne1Pro+35)=12),Ne1Pro+35,""),IF(AND(YEAR(Ne1Pro+42)=RokKalendáře,MONTH(Ne1Pro+42)=12),Ne1Pro+42,""))</f>
        <v/>
      </c>
      <c r="S55" s="3"/>
      <c r="U55" s="35"/>
    </row>
    <row r="56" spans="1:21" ht="15" customHeight="1" x14ac:dyDescent="0.2">
      <c r="U56" s="4"/>
    </row>
    <row r="57" spans="1:21" ht="15" customHeight="1" x14ac:dyDescent="0.2">
      <c r="U57" s="4"/>
    </row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4">
    <mergeCell ref="C1:F1"/>
    <mergeCell ref="C3:I3"/>
    <mergeCell ref="K3:Q3"/>
    <mergeCell ref="U51:U55"/>
    <mergeCell ref="C39:I39"/>
    <mergeCell ref="K39:Q39"/>
    <mergeCell ref="C48:I48"/>
    <mergeCell ref="K48:Q48"/>
    <mergeCell ref="C12:I12"/>
    <mergeCell ref="K12:Q12"/>
    <mergeCell ref="C21:I21"/>
    <mergeCell ref="K21:Q21"/>
    <mergeCell ref="C30:I30"/>
    <mergeCell ref="K30:Q30"/>
  </mergeCells>
  <phoneticPr fontId="6" type="noConversion"/>
  <dataValidations count="1">
    <dataValidation allowBlank="1" showInputMessage="1" showErrorMessage="1" errorTitle="Neplatný rok" error="Zadejte rok v rozmezí let 1900 až 9999 nebo ho najděte pomocí posuvníku." sqref="C1" xr:uid="{00000000-0002-0000-0000-000000000000}"/>
  </dataValidations>
  <printOptions horizontalCentered="1" verticalCentered="1"/>
  <pageMargins left="0.5" right="0.5" top="0.5" bottom="0.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Číselník">
              <controlPr defaultSize="0" print="0" autoPict="0" altText="Kalendářní rok můžete změnit pomocí číselníku nebo zadáním do buňky C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TM16410228</ap:Template>
  <ap:TotalTime>0</ap:TotalTime>
  <ap:DocSecurity>0</ap:DocSecurity>
  <ap:ScaleCrop>false</ap:ScaleCrop>
  <ap: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ap:HeadingPairs>
  <ap:TitlesOfParts>
    <vt:vector baseType="lpstr" size="4">
      <vt:lpstr>Začátek</vt:lpstr>
      <vt:lpstr>Roční kalendář</vt:lpstr>
      <vt:lpstr>'Roční kalendář'!Oblast_tisku</vt:lpstr>
      <vt:lpstr>RokKalendáře</vt:lpstr>
    </vt:vector>
  </ap:TitlesOfParts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2022-01-03T23:06:45Z</dcterms:created>
  <dcterms:modified xsi:type="dcterms:W3CDTF">2022-01-28T11:03:29Z</dcterms:modified>
</cp:coreProperties>
</file>