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s-CZ\"/>
    </mc:Choice>
  </mc:AlternateContent>
  <xr:revisionPtr revIDLastSave="20" documentId="13_ncr:1_{139CB397-C336-43BC-ABF6-9D0B02454B32}" xr6:coauthVersionLast="47" xr6:coauthVersionMax="47" xr10:uidLastSave="{DCE5D203-D156-4275-A6BF-1953E9C54416}"/>
  <bookViews>
    <workbookView xWindow="-120" yWindow="-120" windowWidth="28800" windowHeight="15960" xr2:uid="{00000000-000D-0000-FFFF-FFFF00000000}"/>
  </bookViews>
  <sheets>
    <sheet name="Kalendář" sheetId="1" r:id="rId1"/>
  </sheets>
  <definedNames>
    <definedName name="Ne1Bře">DATEVALUE("1/3/"&amp;Kalendář!$B$1)-WEEKDAY(DATEVALUE("1/3/"&amp;Kalendář!$B$1))+2</definedName>
    <definedName name="Ne1Čer">DATEVALUE("1/6/"&amp;Kalendář!$B$1)-WEEKDAY(DATEVALUE("1/6/"&amp;Kalendář!$B$1))+2</definedName>
    <definedName name="Ne1Čvc">DATEVALUE("1/7/"&amp;Kalendář!$B$1)-WEEKDAY(DATEVALUE("1/7/"&amp;Kalendář!$B$1))+2</definedName>
    <definedName name="Ne1Dub">DATEVALUE("1/4/"&amp;Kalendář!$B$1)-WEEKDAY(DATEVALUE("1/4/"&amp;Kalendář!$B$1))+2</definedName>
    <definedName name="Ne1Kvě">DATEVALUE("1/5/"&amp;Kalendář!$B$1)-WEEKDAY(DATEVALUE("1/5/"&amp;Kalendář!$B$1))+2</definedName>
    <definedName name="Ne1Led">DATEVALUE("1/1/"&amp;Kalendář!$B$1)-WEEKDAY(DATEVALUE("1/1/"&amp;Kalendář!$B$1))+2</definedName>
    <definedName name="Ne1Lis">DATEVALUE("1/11/"&amp;Kalendář!$B$1)-WEEKDAY(DATEVALUE("1/11/"&amp;Kalendář!$B$1))+2</definedName>
    <definedName name="Ne1Pro">DATEVALUE("1/12/"&amp;Kalendář!$B$1)-WEEKDAY(DATEVALUE("1/12/"&amp;Kalendář!$B$1))+2</definedName>
    <definedName name="Ne1Říj">DATEVALUE("1/10/"&amp;Kalendář!$B$1)-WEEKDAY(DATEVALUE("1/10/"&amp;Kalendář!$B$1))+2</definedName>
    <definedName name="Ne1Srp">DATEVALUE("1/8/"&amp;Kalendář!$B$1)-WEEKDAY(DATEVALUE("1/8/"&amp;Kalendář!$B$1))-5</definedName>
    <definedName name="Ne1Úno">DATEVALUE("1/2/"&amp;Kalendář!$B$1)-WEEKDAY(DATEVALUE("1/2/"&amp;Kalendář!$B$1))+2</definedName>
    <definedName name="Ne1Zář">DATEVALUE("1/9/"&amp;Kalendář!$B$1)-WEEKDAY(DATEVALUE("1/9/"&amp;Kalendář!$B$1))+2</definedName>
    <definedName name="OblastNadpisuSloupce1..H9.1">Kalendář!$B$3</definedName>
    <definedName name="OblastNadpisuSloupce1..I9.1">Kalendář!$B$3</definedName>
    <definedName name="OblastNadpisuSloupce10..AF9.1">Kalendář!$Z$3</definedName>
    <definedName name="OblastNadpisuSloupce10..AG9.1">Kalendář!$Z$3</definedName>
    <definedName name="OblastNadpisuSloupce11..AF18.1">Kalendář!$Z$12</definedName>
    <definedName name="OblastNadpisuSloupce11..AG18.1">Kalendář!$Z$12</definedName>
    <definedName name="OblastNadpisuSloupce12..AF27.1">Kalendář!$Z$21</definedName>
    <definedName name="OblastNadpisuSloupce12..AG27.1">Kalendář!$Z$21</definedName>
    <definedName name="OblastNadpisuSloupce2..I18.1">Kalendář!$B$12</definedName>
    <definedName name="OblastNadpisuSloupce3..I27.1">Kalendář!$B$21</definedName>
    <definedName name="OblastNadpisuSloupce6..P27.1">Kalendář!$J$21</definedName>
    <definedName name="OblastNadpisuSloupce8..X18.1">Kalendář!$R$12</definedName>
    <definedName name="OblastNadpisuSloupce8..Y18.1">Kalendář!$R$12</definedName>
    <definedName name="OblastNadpisuSloupce9..X27.1">Kalendář!$R$21</definedName>
    <definedName name="OblastNadpisuSloupce9..Y27.1">Kalendář!$R$21</definedName>
    <definedName name="OblastNázvuSloupce2..H18.1">Kalendář!$B$12</definedName>
    <definedName name="OblastNázvuSloupce3..H27.1">Kalendář!$B$21</definedName>
    <definedName name="OblastNázvuSloupce4..P9.1">Kalendář!$J$3</definedName>
    <definedName name="OblastNázvuSloupce4..Q9.1">Kalendář!$J$3</definedName>
    <definedName name="OblastNázvuSloupce5..P18.1">Kalendář!$J$12</definedName>
    <definedName name="OblastNázvuSloupce5..Q18.1">Kalendář!$J$12</definedName>
    <definedName name="OblastNázvuSloupce6..Q27.1">Kalendář!$J$21</definedName>
    <definedName name="OblastNázvuSloupce7..X9.1">Kalendář!$R$3</definedName>
    <definedName name="OblastNázvuSloupce7..Y9.1">Kalendář!$R$3</definedName>
    <definedName name="Rok">Kalendář!$B$1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F27" i="1" l="1"/>
  <c r="AF4" i="1" l="1"/>
  <c r="J5" i="1"/>
  <c r="F15" i="1"/>
  <c r="AF6" i="1"/>
  <c r="P7" i="1"/>
  <c r="B6" i="1"/>
  <c r="P8" i="1"/>
  <c r="G4" i="1"/>
  <c r="E6" i="1"/>
  <c r="AC8" i="1"/>
  <c r="P4" i="1"/>
  <c r="L5" i="1"/>
  <c r="P6" i="1"/>
  <c r="AC7" i="1"/>
  <c r="B9" i="1"/>
  <c r="T4" i="1"/>
  <c r="X5" i="1"/>
  <c r="AB6" i="1"/>
  <c r="AF7" i="1"/>
  <c r="U9" i="1"/>
  <c r="X13" i="1"/>
  <c r="E4" i="1"/>
  <c r="AC4" i="1"/>
  <c r="U5" i="1"/>
  <c r="N6" i="1"/>
  <c r="L7" i="1"/>
  <c r="L8" i="1"/>
  <c r="P9" i="1"/>
  <c r="AC14" i="1"/>
  <c r="K13" i="1"/>
  <c r="H24" i="1"/>
  <c r="K4" i="1"/>
  <c r="W4" i="1"/>
  <c r="C5" i="1"/>
  <c r="O5" i="1"/>
  <c r="AB5" i="1"/>
  <c r="G6" i="1"/>
  <c r="T6" i="1"/>
  <c r="E7" i="1"/>
  <c r="T7" i="1"/>
  <c r="E8" i="1"/>
  <c r="U8" i="1"/>
  <c r="E9" i="1"/>
  <c r="AD9" i="1"/>
  <c r="B14" i="1"/>
  <c r="U15" i="1"/>
  <c r="B4" i="1"/>
  <c r="N4" i="1"/>
  <c r="Z4" i="1"/>
  <c r="F5" i="1"/>
  <c r="S5" i="1"/>
  <c r="AD5" i="1"/>
  <c r="K6" i="1"/>
  <c r="X6" i="1"/>
  <c r="G7" i="1"/>
  <c r="X7" i="1"/>
  <c r="J8" i="1"/>
  <c r="X8" i="1"/>
  <c r="N9" i="1"/>
  <c r="E13" i="1"/>
  <c r="G14" i="1"/>
  <c r="M18" i="1"/>
  <c r="V16" i="1"/>
  <c r="J9" i="1"/>
  <c r="Z9" i="1"/>
  <c r="O13" i="1"/>
  <c r="P14" i="1"/>
  <c r="D16" i="1"/>
  <c r="R22" i="1"/>
  <c r="S17" i="1"/>
  <c r="AE25" i="1"/>
  <c r="F4" i="1"/>
  <c r="L4" i="1"/>
  <c r="S4" i="1"/>
  <c r="X4" i="1"/>
  <c r="AD4" i="1"/>
  <c r="E5" i="1"/>
  <c r="K5" i="1"/>
  <c r="P5" i="1"/>
  <c r="W5" i="1"/>
  <c r="AC5" i="1"/>
  <c r="C6" i="1"/>
  <c r="J6" i="1"/>
  <c r="O6" i="1"/>
  <c r="U6" i="1"/>
  <c r="AD6" i="1"/>
  <c r="F7" i="1"/>
  <c r="N7" i="1"/>
  <c r="W7" i="1"/>
  <c r="AD7" i="1"/>
  <c r="F8" i="1"/>
  <c r="O8" i="1"/>
  <c r="W8" i="1"/>
  <c r="AD8" i="1"/>
  <c r="G9" i="1"/>
  <c r="O9" i="1"/>
  <c r="W9" i="1"/>
  <c r="B13" i="1"/>
  <c r="L13" i="1"/>
  <c r="AC13" i="1"/>
  <c r="O14" i="1"/>
  <c r="C15" i="1"/>
  <c r="X15" i="1"/>
  <c r="H17" i="1"/>
  <c r="AE18" i="1"/>
  <c r="AA24" i="1"/>
  <c r="C4" i="1"/>
  <c r="J4" i="1"/>
  <c r="O4" i="1"/>
  <c r="U4" i="1"/>
  <c r="AB4" i="1"/>
  <c r="B5" i="1"/>
  <c r="G5" i="1"/>
  <c r="N5" i="1"/>
  <c r="T5" i="1"/>
  <c r="Z5" i="1"/>
  <c r="AF5" i="1"/>
  <c r="F6" i="1"/>
  <c r="L6" i="1"/>
  <c r="S6" i="1"/>
  <c r="Z6" i="1"/>
  <c r="B7" i="1"/>
  <c r="K7" i="1"/>
  <c r="S7" i="1"/>
  <c r="Z7" i="1"/>
  <c r="C8" i="1"/>
  <c r="K8" i="1"/>
  <c r="S8" i="1"/>
  <c r="AB8" i="1"/>
  <c r="C9" i="1"/>
  <c r="K9" i="1"/>
  <c r="T9" i="1"/>
  <c r="AB9" i="1"/>
  <c r="F13" i="1"/>
  <c r="U13" i="1"/>
  <c r="F14" i="1"/>
  <c r="T14" i="1"/>
  <c r="O15" i="1"/>
  <c r="N16" i="1"/>
  <c r="AA17" i="1"/>
  <c r="V23" i="1"/>
  <c r="AA26" i="1"/>
  <c r="D4" i="1"/>
  <c r="H4" i="1"/>
  <c r="M4" i="1"/>
  <c r="R4" i="1"/>
  <c r="V4" i="1"/>
  <c r="AA4" i="1"/>
  <c r="AE4" i="1"/>
  <c r="D5" i="1"/>
  <c r="H5" i="1"/>
  <c r="M5" i="1"/>
  <c r="R5" i="1"/>
  <c r="V5" i="1"/>
  <c r="AA5" i="1"/>
  <c r="AE5" i="1"/>
  <c r="D6" i="1"/>
  <c r="H6" i="1"/>
  <c r="M6" i="1"/>
  <c r="R6" i="1"/>
  <c r="W6" i="1"/>
  <c r="AC6" i="1"/>
  <c r="C7" i="1"/>
  <c r="J7" i="1"/>
  <c r="O7" i="1"/>
  <c r="U7" i="1"/>
  <c r="AB7" i="1"/>
  <c r="B8" i="1"/>
  <c r="G8" i="1"/>
  <c r="N8" i="1"/>
  <c r="T8" i="1"/>
  <c r="Z8" i="1"/>
  <c r="AF8" i="1"/>
  <c r="F9" i="1"/>
  <c r="L9" i="1"/>
  <c r="S9" i="1"/>
  <c r="X9" i="1"/>
  <c r="AF9" i="1"/>
  <c r="G13" i="1"/>
  <c r="T13" i="1"/>
  <c r="AD13" i="1"/>
  <c r="K14" i="1"/>
  <c r="Z14" i="1"/>
  <c r="L15" i="1"/>
  <c r="AE15" i="1"/>
  <c r="AF16" i="1"/>
  <c r="E18" i="1"/>
  <c r="D23" i="1"/>
  <c r="M25" i="1"/>
  <c r="AC9" i="1"/>
  <c r="C13" i="1"/>
  <c r="J13" i="1"/>
  <c r="P13" i="1"/>
  <c r="Z13" i="1"/>
  <c r="C14" i="1"/>
  <c r="L14" i="1"/>
  <c r="U14" i="1"/>
  <c r="AD14" i="1"/>
  <c r="G15" i="1"/>
  <c r="P15" i="1"/>
  <c r="Z15" i="1"/>
  <c r="E16" i="1"/>
  <c r="W16" i="1"/>
  <c r="J17" i="1"/>
  <c r="AB17" i="1"/>
  <c r="N18" i="1"/>
  <c r="AF18" i="1"/>
  <c r="S22" i="1"/>
  <c r="E23" i="1"/>
  <c r="W23" i="1"/>
  <c r="J24" i="1"/>
  <c r="AB24" i="1"/>
  <c r="N25" i="1"/>
  <c r="AF25" i="1"/>
  <c r="AB26" i="1"/>
  <c r="X14" i="1"/>
  <c r="B15" i="1"/>
  <c r="K15" i="1"/>
  <c r="T15" i="1"/>
  <c r="AD15" i="1"/>
  <c r="M16" i="1"/>
  <c r="AE16" i="1"/>
  <c r="R17" i="1"/>
  <c r="D18" i="1"/>
  <c r="V18" i="1"/>
  <c r="H22" i="1"/>
  <c r="AA22" i="1"/>
  <c r="M23" i="1"/>
  <c r="AE23" i="1"/>
  <c r="R24" i="1"/>
  <c r="D25" i="1"/>
  <c r="V25" i="1"/>
  <c r="H26" i="1"/>
  <c r="M27" i="1"/>
  <c r="W18" i="1"/>
  <c r="J22" i="1"/>
  <c r="AB22" i="1"/>
  <c r="N23" i="1"/>
  <c r="AF23" i="1"/>
  <c r="S24" i="1"/>
  <c r="E25" i="1"/>
  <c r="W25" i="1"/>
  <c r="J26" i="1"/>
  <c r="N27" i="1"/>
  <c r="R26" i="1"/>
  <c r="D27" i="1"/>
  <c r="V27" i="1"/>
  <c r="S26" i="1"/>
  <c r="E27" i="1"/>
  <c r="W27" i="1"/>
  <c r="V6" i="1"/>
  <c r="AA6" i="1"/>
  <c r="AE6" i="1"/>
  <c r="D7" i="1"/>
  <c r="H7" i="1"/>
  <c r="M7" i="1"/>
  <c r="R7" i="1"/>
  <c r="V7" i="1"/>
  <c r="AA7" i="1"/>
  <c r="AE7" i="1"/>
  <c r="D8" i="1"/>
  <c r="H8" i="1"/>
  <c r="M8" i="1"/>
  <c r="R8" i="1"/>
  <c r="V8" i="1"/>
  <c r="AA8" i="1"/>
  <c r="AE8" i="1"/>
  <c r="D9" i="1"/>
  <c r="H9" i="1"/>
  <c r="M9" i="1"/>
  <c r="R9" i="1"/>
  <c r="V9" i="1"/>
  <c r="AA9" i="1"/>
  <c r="AE9" i="1"/>
  <c r="D13" i="1"/>
  <c r="H13" i="1"/>
  <c r="M13" i="1"/>
  <c r="R13" i="1"/>
  <c r="V13" i="1"/>
  <c r="AA13" i="1"/>
  <c r="AE13" i="1"/>
  <c r="D14" i="1"/>
  <c r="H14" i="1"/>
  <c r="M14" i="1"/>
  <c r="R14" i="1"/>
  <c r="V14" i="1"/>
  <c r="AA14" i="1"/>
  <c r="AE14" i="1"/>
  <c r="D15" i="1"/>
  <c r="H15" i="1"/>
  <c r="M15" i="1"/>
  <c r="R15" i="1"/>
  <c r="V15" i="1"/>
  <c r="AA15" i="1"/>
  <c r="AF15" i="1"/>
  <c r="H16" i="1"/>
  <c r="R16" i="1"/>
  <c r="AA16" i="1"/>
  <c r="D17" i="1"/>
  <c r="M17" i="1"/>
  <c r="V17" i="1"/>
  <c r="AE17" i="1"/>
  <c r="H18" i="1"/>
  <c r="R18" i="1"/>
  <c r="AA18" i="1"/>
  <c r="D22" i="1"/>
  <c r="M22" i="1"/>
  <c r="V22" i="1"/>
  <c r="AE22" i="1"/>
  <c r="H23" i="1"/>
  <c r="R23" i="1"/>
  <c r="AA23" i="1"/>
  <c r="D24" i="1"/>
  <c r="M24" i="1"/>
  <c r="V24" i="1"/>
  <c r="AE24" i="1"/>
  <c r="H25" i="1"/>
  <c r="R25" i="1"/>
  <c r="AA25" i="1"/>
  <c r="D26" i="1"/>
  <c r="M26" i="1"/>
  <c r="V26" i="1"/>
  <c r="AE26" i="1"/>
  <c r="H27" i="1"/>
  <c r="R27" i="1"/>
  <c r="AA27" i="1"/>
  <c r="N13" i="1"/>
  <c r="S13" i="1"/>
  <c r="W13" i="1"/>
  <c r="AB13" i="1"/>
  <c r="AF13" i="1"/>
  <c r="E14" i="1"/>
  <c r="J14" i="1"/>
  <c r="N14" i="1"/>
  <c r="S14" i="1"/>
  <c r="W14" i="1"/>
  <c r="AB14" i="1"/>
  <c r="AF14" i="1"/>
  <c r="E15" i="1"/>
  <c r="J15" i="1"/>
  <c r="N15" i="1"/>
  <c r="S15" i="1"/>
  <c r="W15" i="1"/>
  <c r="AB15" i="1"/>
  <c r="C16" i="1"/>
  <c r="J16" i="1"/>
  <c r="S16" i="1"/>
  <c r="AB16" i="1"/>
  <c r="E17" i="1"/>
  <c r="N17" i="1"/>
  <c r="W17" i="1"/>
  <c r="AF17" i="1"/>
  <c r="J18" i="1"/>
  <c r="S18" i="1"/>
  <c r="AB18" i="1"/>
  <c r="E22" i="1"/>
  <c r="N22" i="1"/>
  <c r="W22" i="1"/>
  <c r="AF22" i="1"/>
  <c r="J23" i="1"/>
  <c r="S23" i="1"/>
  <c r="AB23" i="1"/>
  <c r="E24" i="1"/>
  <c r="N24" i="1"/>
  <c r="W24" i="1"/>
  <c r="AF24" i="1"/>
  <c r="J25" i="1"/>
  <c r="S25" i="1"/>
  <c r="AB25" i="1"/>
  <c r="E26" i="1"/>
  <c r="N26" i="1"/>
  <c r="W26" i="1"/>
  <c r="AF26" i="1"/>
  <c r="J27" i="1"/>
  <c r="S27" i="1"/>
  <c r="AB27" i="1"/>
  <c r="AC15" i="1"/>
  <c r="B16" i="1"/>
  <c r="F16" i="1"/>
  <c r="K16" i="1"/>
  <c r="O16" i="1"/>
  <c r="T16" i="1"/>
  <c r="X16" i="1"/>
  <c r="AC16" i="1"/>
  <c r="B17" i="1"/>
  <c r="F17" i="1"/>
  <c r="K17" i="1"/>
  <c r="O17" i="1"/>
  <c r="T17" i="1"/>
  <c r="X17" i="1"/>
  <c r="AC17" i="1"/>
  <c r="B18" i="1"/>
  <c r="F18" i="1"/>
  <c r="K18" i="1"/>
  <c r="O18" i="1"/>
  <c r="T18" i="1"/>
  <c r="X18" i="1"/>
  <c r="AC18" i="1"/>
  <c r="B22" i="1"/>
  <c r="F22" i="1"/>
  <c r="K22" i="1"/>
  <c r="O22" i="1"/>
  <c r="T22" i="1"/>
  <c r="X22" i="1"/>
  <c r="AC22" i="1"/>
  <c r="B23" i="1"/>
  <c r="F23" i="1"/>
  <c r="K23" i="1"/>
  <c r="O23" i="1"/>
  <c r="T23" i="1"/>
  <c r="X23" i="1"/>
  <c r="AC23" i="1"/>
  <c r="B24" i="1"/>
  <c r="F24" i="1"/>
  <c r="K24" i="1"/>
  <c r="O24" i="1"/>
  <c r="T24" i="1"/>
  <c r="X24" i="1"/>
  <c r="AC24" i="1"/>
  <c r="B25" i="1"/>
  <c r="F25" i="1"/>
  <c r="K25" i="1"/>
  <c r="O25" i="1"/>
  <c r="T25" i="1"/>
  <c r="X25" i="1"/>
  <c r="AC25" i="1"/>
  <c r="B26" i="1"/>
  <c r="F26" i="1"/>
  <c r="K26" i="1"/>
  <c r="O26" i="1"/>
  <c r="T26" i="1"/>
  <c r="X26" i="1"/>
  <c r="AC26" i="1"/>
  <c r="B27" i="1"/>
  <c r="F27" i="1"/>
  <c r="K27" i="1"/>
  <c r="O27" i="1"/>
  <c r="T27" i="1"/>
  <c r="X27" i="1"/>
  <c r="AC27" i="1"/>
  <c r="G16" i="1"/>
  <c r="L16" i="1"/>
  <c r="P16" i="1"/>
  <c r="U16" i="1"/>
  <c r="Z16" i="1"/>
  <c r="AD16" i="1"/>
  <c r="C17" i="1"/>
  <c r="G17" i="1"/>
  <c r="L17" i="1"/>
  <c r="P17" i="1"/>
  <c r="U17" i="1"/>
  <c r="Z17" i="1"/>
  <c r="AD17" i="1"/>
  <c r="C18" i="1"/>
  <c r="G18" i="1"/>
  <c r="L18" i="1"/>
  <c r="P18" i="1"/>
  <c r="U18" i="1"/>
  <c r="Z18" i="1"/>
  <c r="AD18" i="1"/>
  <c r="C22" i="1"/>
  <c r="G22" i="1"/>
  <c r="L22" i="1"/>
  <c r="P22" i="1"/>
  <c r="U22" i="1"/>
  <c r="Z22" i="1"/>
  <c r="AD22" i="1"/>
  <c r="C23" i="1"/>
  <c r="G23" i="1"/>
  <c r="L23" i="1"/>
  <c r="P23" i="1"/>
  <c r="U23" i="1"/>
  <c r="Z23" i="1"/>
  <c r="AD23" i="1"/>
  <c r="C24" i="1"/>
  <c r="G24" i="1"/>
  <c r="L24" i="1"/>
  <c r="P24" i="1"/>
  <c r="U24" i="1"/>
  <c r="Z24" i="1"/>
  <c r="AD24" i="1"/>
  <c r="C25" i="1"/>
  <c r="G25" i="1"/>
  <c r="L25" i="1"/>
  <c r="P25" i="1"/>
  <c r="U25" i="1"/>
  <c r="Z25" i="1"/>
  <c r="AD25" i="1"/>
  <c r="C26" i="1"/>
  <c r="G26" i="1"/>
  <c r="L26" i="1"/>
  <c r="P26" i="1"/>
  <c r="U26" i="1"/>
  <c r="Z26" i="1"/>
  <c r="AD26" i="1"/>
  <c r="C27" i="1"/>
  <c r="G27" i="1"/>
  <c r="L27" i="1"/>
  <c r="P27" i="1"/>
  <c r="U27" i="1"/>
  <c r="Z27" i="1"/>
  <c r="AE27" i="1"/>
  <c r="AD27" i="1"/>
</calcChain>
</file>

<file path=xl/sharedStrings.xml><?xml version="1.0" encoding="utf-8"?>
<sst xmlns="http://schemas.openxmlformats.org/spreadsheetml/2006/main" count="96" uniqueCount="19">
  <si>
    <t>Leden</t>
  </si>
  <si>
    <t>Po</t>
  </si>
  <si>
    <t>Únor</t>
  </si>
  <si>
    <t>Březen</t>
  </si>
  <si>
    <t>Út</t>
  </si>
  <si>
    <t>St</t>
  </si>
  <si>
    <t>Čt</t>
  </si>
  <si>
    <t>Pá</t>
  </si>
  <si>
    <t>So</t>
  </si>
  <si>
    <t>Ne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</si>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</sst>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* #,##0_);_(* \(#,##0\);_(* &quot;-&quot;_);_(@_)"/>
    <numFmt numFmtId="165" formatCode="_(* #,##0.00_);_(* \(#,##0.00\);_(* &quot;-&quot;??_);_(@_)"/>
    <numFmt numFmtId="166" formatCode="d"/>
  </numFmts>
  <fonts count="18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20"/>
      <name val="Cambria"/>
      <family val="2"/>
      <scheme val="maj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63377788628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" fontId="4" fillId="0" borderId="0">
      <alignment horizontal="center" vertical="center"/>
    </xf>
    <xf numFmtId="0" fontId="5" fillId="2" borderId="1">
      <alignment horizontal="center" vertical="center"/>
    </xf>
    <xf numFmtId="0" fontId="6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3" fillId="0" borderId="1"/>
    <xf numFmtId="166" fontId="3" fillId="0" borderId="0" applyFont="0" applyFill="0" applyBorder="0">
      <alignment horizontal="right"/>
    </xf>
    <xf numFmtId="0" fontId="3" fillId="0" borderId="0" applyFont="0" applyFill="0" applyBorder="0">
      <alignment horizontal="center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8" borderId="4" applyNumberFormat="0" applyAlignment="0" applyProtection="0"/>
    <xf numFmtId="0" fontId="14" fillId="0" borderId="0" applyNumberFormat="0" applyFill="0" applyBorder="0" applyAlignment="0" applyProtection="0"/>
    <xf numFmtId="0" fontId="3" fillId="9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">
    <xf numFmtId="0" fontId="0" fillId="0" borderId="0" xfId="0"/>
    <xf numFmtId="0" fontId="0" fillId="0" borderId="1" xfId="8" applyFont="1" applyBorder="1">
      <alignment horizontal="center"/>
    </xf>
    <xf numFmtId="1" fontId="4" fillId="0" borderId="0" xfId="1">
      <alignment horizontal="center" vertical="center"/>
    </xf>
    <xf numFmtId="0" fontId="5" fillId="2" borderId="1" xfId="2">
      <alignment horizontal="center" vertical="center"/>
    </xf>
    <xf numFmtId="166" fontId="3" fillId="0" borderId="1" xfId="7" applyBorder="1">
      <alignment horizontal="right"/>
    </xf>
  </cellXfs>
  <cellStyles count="49">
    <cellStyle name="20 % – Zvýraznění 1" xfId="26" builtinId="30" customBuiltin="1"/>
    <cellStyle name="20 % – Zvýraznění 2" xfId="30" builtinId="34" customBuiltin="1"/>
    <cellStyle name="20 % – Zvýraznění 3" xfId="34" builtinId="38" customBuiltin="1"/>
    <cellStyle name="20 % – Zvýraznění 4" xfId="38" builtinId="42" customBuiltin="1"/>
    <cellStyle name="20 % – Zvýraznění 5" xfId="42" builtinId="46" customBuiltin="1"/>
    <cellStyle name="20 % – Zvýraznění 6" xfId="46" builtinId="50" customBuiltin="1"/>
    <cellStyle name="40 % – Zvýraznění 1" xfId="27" builtinId="31" customBuiltin="1"/>
    <cellStyle name="40 % – Zvýraznění 2" xfId="31" builtinId="35" customBuiltin="1"/>
    <cellStyle name="40 % – Zvýraznění 3" xfId="35" builtinId="39" customBuiltin="1"/>
    <cellStyle name="40 % – Zvýraznění 4" xfId="39" builtinId="43" customBuiltin="1"/>
    <cellStyle name="40 % – Zvýraznění 5" xfId="43" builtinId="47" customBuiltin="1"/>
    <cellStyle name="40 % – Zvýraznění 6" xfId="47" builtinId="51" customBuiltin="1"/>
    <cellStyle name="60 % – Zvýraznění 1" xfId="28" builtinId="32" customBuiltin="1"/>
    <cellStyle name="60 % – Zvýraznění 2" xfId="32" builtinId="36" customBuiltin="1"/>
    <cellStyle name="60 % – Zvýraznění 3" xfId="36" builtinId="40" customBuiltin="1"/>
    <cellStyle name="60 % – Zvýraznění 4" xfId="40" builtinId="44" customBuiltin="1"/>
    <cellStyle name="60 % – Zvýraznění 5" xfId="44" builtinId="48" customBuiltin="1"/>
    <cellStyle name="60 % – Zvýraznění 6" xfId="48" builtinId="52" customBuiltin="1"/>
    <cellStyle name="Celkem" xfId="24" builtinId="25" customBuiltin="1"/>
    <cellStyle name="Čárka" xfId="9" builtinId="3" customBuiltin="1"/>
    <cellStyle name="Čárky bez des. míst" xfId="10" builtinId="6" customBuiltin="1"/>
    <cellStyle name="Den" xfId="7" xr:uid="{00000000-0005-0000-0000-000000000000}"/>
    <cellStyle name="Den v týdnu" xfId="8" xr:uid="{00000000-0005-0000-0000-000008000000}"/>
    <cellStyle name="Kontrolní buňka" xfId="20" builtinId="23" customBuiltin="1"/>
    <cellStyle name="Měna" xfId="11" builtinId="4" customBuiltin="1"/>
    <cellStyle name="Měny bez des. míst" xfId="12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16" builtinId="28" customBuiltin="1"/>
    <cellStyle name="Normální" xfId="0" builtinId="0" customBuiltin="1"/>
    <cellStyle name="Poznámka" xfId="22" builtinId="10" customBuiltin="1"/>
    <cellStyle name="Procenta" xfId="13" builtinId="5" customBuiltin="1"/>
    <cellStyle name="Propojená buňka" xfId="19" builtinId="24" customBuiltin="1"/>
    <cellStyle name="Správně" xfId="14" builtinId="26" customBuiltin="1"/>
    <cellStyle name="Špatně" xfId="15" builtinId="27" customBuiltin="1"/>
    <cellStyle name="Text upozornění" xfId="21" builtinId="11" customBuiltin="1"/>
    <cellStyle name="Vstup" xfId="17" builtinId="20" customBuiltin="1"/>
    <cellStyle name="Výpočet" xfId="18" builtinId="22" customBuiltin="1"/>
    <cellStyle name="Výstup" xfId="6" builtinId="21" customBuiltin="1"/>
    <cellStyle name="Vysvětlující text" xfId="23" builtinId="53" customBuiltin="1"/>
    <cellStyle name="Zvýraznění 1" xfId="25" builtinId="29" customBuiltin="1"/>
    <cellStyle name="Zvýraznění 2" xfId="29" builtinId="33" customBuiltin="1"/>
    <cellStyle name="Zvýraznění 3" xfId="33" builtinId="37" customBuiltin="1"/>
    <cellStyle name="Zvýraznění 4" xfId="37" builtinId="41" customBuiltin="1"/>
    <cellStyle name="Zvýraznění 5" xfId="41" builtinId="45" customBuiltin="1"/>
    <cellStyle name="Zvýraznění 6" xfId="45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AF27"/>
  <sheetViews>
    <sheetView showGridLines="0" tabSelected="1" zoomScaleNormal="100" workbookViewId="0"/>
  </sheetViews>
  <sheetFormatPr defaultRowHeight="18" customHeight="1" x14ac:dyDescent="0.25"/>
  <cols>
    <col min="1" max="1" width="2.7109375" customWidth="1"/>
    <col min="2" max="32" width="4.28515625" customWidth="1"/>
    <col min="33" max="33" width="2.7109375" customWidth="1"/>
  </cols>
  <sheetData>
    <row r="1" spans="2:32" ht="30" customHeight="1" x14ac:dyDescent="0.25">
      <c r="B1" s="2">
        <f ca="1">YEAR(TODAY())</f>
        <v>2021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x14ac:dyDescent="0.25">
      <c r="B2" s="3" t="s">
        <v>0</v>
      </c>
      <c r="C2" s="3"/>
      <c r="D2" s="3"/>
      <c r="E2" s="3"/>
      <c r="F2" s="3"/>
      <c r="G2" s="3"/>
      <c r="H2" s="3"/>
      <c r="J2" s="3" t="s">
        <v>10</v>
      </c>
      <c r="K2" s="3"/>
      <c r="L2" s="3"/>
      <c r="M2" s="3"/>
      <c r="N2" s="3"/>
      <c r="O2" s="3"/>
      <c r="P2" s="3"/>
      <c r="R2" s="3" t="s">
        <v>13</v>
      </c>
      <c r="S2" s="3"/>
      <c r="T2" s="3"/>
      <c r="U2" s="3"/>
      <c r="V2" s="3"/>
      <c r="W2" s="3"/>
      <c r="X2" s="3"/>
      <c r="Z2" s="3" t="s">
        <v>16</v>
      </c>
      <c r="AA2" s="3"/>
      <c r="AB2" s="3"/>
      <c r="AC2" s="3"/>
      <c r="AD2" s="3"/>
      <c r="AE2" s="3"/>
      <c r="AF2" s="3"/>
    </row>
    <row r="3" spans="2:32" ht="18" customHeight="1" x14ac:dyDescent="0.25"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J3" s="1" t="s">
        <v>1</v>
      </c>
      <c r="K3" s="1" t="s">
        <v>4</v>
      </c>
      <c r="L3" s="1" t="s">
        <v>5</v>
      </c>
      <c r="M3" s="1" t="s">
        <v>6</v>
      </c>
      <c r="N3" s="1" t="s">
        <v>7</v>
      </c>
      <c r="O3" s="1" t="s">
        <v>8</v>
      </c>
      <c r="P3" s="1" t="s">
        <v>9</v>
      </c>
      <c r="R3" s="1" t="s">
        <v>1</v>
      </c>
      <c r="S3" s="1" t="s">
        <v>4</v>
      </c>
      <c r="T3" s="1" t="s">
        <v>5</v>
      </c>
      <c r="U3" s="1" t="s">
        <v>6</v>
      </c>
      <c r="V3" s="1" t="s">
        <v>7</v>
      </c>
      <c r="W3" s="1" t="s">
        <v>8</v>
      </c>
      <c r="X3" s="1" t="s">
        <v>9</v>
      </c>
      <c r="Z3" s="1" t="s">
        <v>1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</row>
    <row r="4" spans="2:32" ht="18" customHeight="1" x14ac:dyDescent="0.25">
      <c r="B4" s="4" t="str">
        <f ca="1">IF(AND(YEAR(Ne1Led)=Rok,MONTH(Ne1Led)=1),Ne1Led, "")</f>
        <v/>
      </c>
      <c r="C4" s="4" t="str">
        <f ca="1">IF(AND(YEAR(Ne1Led+1)=Rok,MONTH(Ne1Led+1)=1),Ne1Led+1, "")</f>
        <v/>
      </c>
      <c r="D4" s="4" t="str">
        <f ca="1">IF(AND(YEAR(Ne1Led+2)=Rok,MONTH(Ne1Led+2)=1),Ne1Led+2, "")</f>
        <v/>
      </c>
      <c r="E4" s="4" t="str">
        <f ca="1">IF(AND(YEAR(Ne1Led+3)=Rok,MONTH(Ne1Led+3)=1),Ne1Led+3, "")</f>
        <v/>
      </c>
      <c r="F4" s="4">
        <f ca="1">IF(AND(YEAR(Ne1Led+4)=Rok,MONTH(Ne1Led+4)=1),Ne1Led+4, "")</f>
        <v>44197</v>
      </c>
      <c r="G4" s="4">
        <f ca="1">IF(AND(YEAR(Ne1Led+5)=Rok,MONTH(Ne1Led+5)=1),Ne1Led+5, "")</f>
        <v>44198</v>
      </c>
      <c r="H4" s="4">
        <f ca="1">IF(AND(YEAR(Ne1Led+6)=Rok,MONTH(Ne1Led+6)=1),Ne1Led+6, "")</f>
        <v>44199</v>
      </c>
      <c r="J4" s="4" t="str">
        <f ca="1">IF(AND(YEAR(Ne1Dub)=Rok,MONTH(Ne1Dub)=4),Ne1Dub, "")</f>
        <v/>
      </c>
      <c r="K4" s="4" t="str">
        <f ca="1">IF(AND(YEAR(Ne1Dub+1)=Rok,MONTH(Ne1Dub+1)=4),Ne1Dub+1, "")</f>
        <v/>
      </c>
      <c r="L4" s="4" t="str">
        <f ca="1">IF(AND(YEAR(Ne1Dub+2)=Rok,MONTH(Ne1Dub+2)=4),Ne1Dub+2, "")</f>
        <v/>
      </c>
      <c r="M4" s="4">
        <f ca="1">IF(AND(YEAR(Ne1Dub+3)=Rok,MONTH(Ne1Dub+3)=4),Ne1Dub+3, "")</f>
        <v>44287</v>
      </c>
      <c r="N4" s="4">
        <f ca="1">IF(AND(YEAR(Ne1Dub+4)=Rok,MONTH(Ne1Dub+4)=4),Ne1Dub+4, "")</f>
        <v>44288</v>
      </c>
      <c r="O4" s="4">
        <f ca="1">IF(AND(YEAR(Ne1Dub+5)=Rok,MONTH(Ne1Dub+5)=4),Ne1Dub+5, "")</f>
        <v>44289</v>
      </c>
      <c r="P4" s="4">
        <f ca="1">IF(AND(YEAR(Ne1Dub+6)=Rok,MONTH(Ne1Dub+6)=4),Ne1Dub+6, "")</f>
        <v>44290</v>
      </c>
      <c r="R4" s="4" t="str">
        <f ca="1">IF(AND(YEAR(Ne1Čvc)=Rok,MONTH(Ne1Čvc)=7),Ne1Čvc, "")</f>
        <v/>
      </c>
      <c r="S4" s="4" t="str">
        <f ca="1">IF(AND(YEAR(Ne1Čvc+1)=Rok,MONTH(Ne1Čvc+1)=7),Ne1Čvc+1, "")</f>
        <v/>
      </c>
      <c r="T4" s="4" t="str">
        <f ca="1">IF(AND(YEAR(Ne1Čvc+2)=Rok,MONTH(Ne1Čvc+2)=7),Ne1Čvc+2, "")</f>
        <v/>
      </c>
      <c r="U4" s="4">
        <f ca="1">IF(AND(YEAR(Ne1Čvc+3)=Rok,MONTH(Ne1Čvc+3)=7),Ne1Čvc+3, "")</f>
        <v>44378</v>
      </c>
      <c r="V4" s="4">
        <f ca="1">IF(AND(YEAR(Ne1Čvc+4)=Rok,MONTH(Ne1Čvc+4)=7),Ne1Čvc+4, "")</f>
        <v>44379</v>
      </c>
      <c r="W4" s="4">
        <f ca="1">IF(AND(YEAR(Ne1Čvc+5)=Rok,MONTH(Ne1Čvc+5)=7),Ne1Čvc+5, "")</f>
        <v>44380</v>
      </c>
      <c r="X4" s="4">
        <f ca="1">IF(AND(YEAR(Ne1Čvc+6)=Rok,MONTH(Ne1Čvc+6)=7),Ne1Čvc+6, "")</f>
        <v>44381</v>
      </c>
      <c r="Z4" s="4" t="str">
        <f ca="1">IF(AND(YEAR(Ne1Říj)=Rok,MONTH(Ne1Říj)=10),Ne1Říj, "")</f>
        <v/>
      </c>
      <c r="AA4" s="4" t="str">
        <f ca="1">IF(AND(YEAR(Ne1Říj+1)=Rok,MONTH(Ne1Říj+1)=10),Ne1Říj+1, "")</f>
        <v/>
      </c>
      <c r="AB4" s="4" t="str">
        <f ca="1">IF(AND(YEAR(Ne1Říj+2)=Rok,MONTH(Ne1Říj+2)=10),Ne1Říj+2, "")</f>
        <v/>
      </c>
      <c r="AC4" s="4" t="str">
        <f ca="1">IF(AND(YEAR(Ne1Říj+3)=Rok,MONTH(Ne1Říj+3)=10),Ne1Říj+3, "")</f>
        <v/>
      </c>
      <c r="AD4" s="4">
        <f ca="1">IF(AND(YEAR(Ne1Říj+4)=Rok,MONTH(Ne1Říj+4)=10),Ne1Říj+4, "")</f>
        <v>44470</v>
      </c>
      <c r="AE4" s="4">
        <f ca="1">IF(AND(YEAR(Ne1Říj+5)=Rok,MONTH(Ne1Říj+5)=10),Ne1Říj+5, "")</f>
        <v>44471</v>
      </c>
      <c r="AF4" s="4">
        <f ca="1">IF(AND(YEAR(Ne1Říj+6)=Rok,MONTH(Ne1Říj+6)=10),Ne1Říj+6, "")</f>
        <v>44472</v>
      </c>
    </row>
    <row r="5" spans="2:32" ht="18" customHeight="1" x14ac:dyDescent="0.25">
      <c r="B5" s="4">
        <f ca="1">IF(AND(YEAR(Ne1Led+7)=Rok,MONTH(Ne1Led+7)=1),Ne1Led+7, "")</f>
        <v>44200</v>
      </c>
      <c r="C5" s="4">
        <f ca="1">IF(AND(YEAR(Ne1Led+8)=Rok,MONTH(Ne1Led+8)=1),Ne1Led+8, "")</f>
        <v>44201</v>
      </c>
      <c r="D5" s="4">
        <f ca="1">IF(AND(YEAR(Ne1Led+9)=Rok,MONTH(Ne1Led+9)=1),Ne1Led+9, "")</f>
        <v>44202</v>
      </c>
      <c r="E5" s="4">
        <f ca="1">IF(AND(YEAR(Ne1Led+10)=Rok,MONTH(Ne1Led+10)=1),Ne1Led+10, "")</f>
        <v>44203</v>
      </c>
      <c r="F5" s="4">
        <f ca="1">IF(AND(YEAR(Ne1Led+11)=Rok,MONTH(Ne1Led+11)=1),Ne1Led+11, "")</f>
        <v>44204</v>
      </c>
      <c r="G5" s="4">
        <f ca="1">IF(AND(YEAR(Ne1Led+12)=Rok,MONTH(Ne1Led+12)=1),Ne1Led+12, "")</f>
        <v>44205</v>
      </c>
      <c r="H5" s="4">
        <f ca="1">IF(AND(YEAR(Ne1Led+13)=Rok,MONTH(Ne1Led+13)=1),Ne1Led+13, "")</f>
        <v>44206</v>
      </c>
      <c r="J5" s="4">
        <f ca="1">IF(AND(YEAR(Ne1Dub+7)=Rok,MONTH(Ne1Dub+7)=4),Ne1Dub+7, "")</f>
        <v>44291</v>
      </c>
      <c r="K5" s="4">
        <f ca="1">IF(AND(YEAR(Ne1Dub+8)=Rok,MONTH(Ne1Dub+8)=4),Ne1Dub+8, "")</f>
        <v>44292</v>
      </c>
      <c r="L5" s="4">
        <f ca="1">IF(AND(YEAR(Ne1Dub+9)=Rok,MONTH(Ne1Dub+9)=4),Ne1Dub+9, "")</f>
        <v>44293</v>
      </c>
      <c r="M5" s="4">
        <f ca="1">IF(AND(YEAR(Ne1Dub+10)=Rok,MONTH(Ne1Dub+10)=4),Ne1Dub+10, "")</f>
        <v>44294</v>
      </c>
      <c r="N5" s="4">
        <f ca="1">IF(AND(YEAR(Ne1Dub+11)=Rok,MONTH(Ne1Dub+11)=4),Ne1Dub+11, "")</f>
        <v>44295</v>
      </c>
      <c r="O5" s="4">
        <f ca="1">IF(AND(YEAR(Ne1Dub+12)=Rok,MONTH(Ne1Dub+12)=4),Ne1Dub+12, "")</f>
        <v>44296</v>
      </c>
      <c r="P5" s="4">
        <f ca="1">IF(AND(YEAR(Ne1Dub+13)=Rok,MONTH(Ne1Dub+13)=4),Ne1Dub+13, "")</f>
        <v>44297</v>
      </c>
      <c r="R5" s="4">
        <f ca="1">IF(AND(YEAR(Ne1Čvc+7)=Rok,MONTH(Ne1Čvc+7)=7),Ne1Čvc+7, "")</f>
        <v>44382</v>
      </c>
      <c r="S5" s="4">
        <f ca="1">IF(AND(YEAR(Ne1Čvc+8)=Rok,MONTH(Ne1Čvc+8)=7),Ne1Čvc+8, "")</f>
        <v>44383</v>
      </c>
      <c r="T5" s="4">
        <f ca="1">IF(AND(YEAR(Ne1Čvc+9)=Rok,MONTH(Ne1Čvc+9)=7),Ne1Čvc+9, "")</f>
        <v>44384</v>
      </c>
      <c r="U5" s="4">
        <f ca="1">IF(AND(YEAR(Ne1Čvc+10)=Rok,MONTH(Ne1Čvc+10)=7),Ne1Čvc+10, "")</f>
        <v>44385</v>
      </c>
      <c r="V5" s="4">
        <f ca="1">IF(AND(YEAR(Ne1Čvc+11)=Rok,MONTH(Ne1Čvc+11)=7),Ne1Čvc+11, "")</f>
        <v>44386</v>
      </c>
      <c r="W5" s="4">
        <f ca="1">IF(AND(YEAR(Ne1Čvc+12)=Rok,MONTH(Ne1Čvc+12)=7),Ne1Čvc+12, "")</f>
        <v>44387</v>
      </c>
      <c r="X5" s="4">
        <f ca="1">IF(AND(YEAR(Ne1Čvc+13)=Rok,MONTH(Ne1Čvc+13)=7),Ne1Čvc+13, "")</f>
        <v>44388</v>
      </c>
      <c r="Z5" s="4">
        <f ca="1">IF(AND(YEAR(Ne1Říj+7)=Rok,MONTH(Ne1Říj+7)=10),Ne1Říj+7, "")</f>
        <v>44473</v>
      </c>
      <c r="AA5" s="4">
        <f ca="1">IF(AND(YEAR(Ne1Říj+8)=Rok,MONTH(Ne1Říj+8)=10),Ne1Říj+8, "")</f>
        <v>44474</v>
      </c>
      <c r="AB5" s="4">
        <f ca="1">IF(AND(YEAR(Ne1Říj+9)=Rok,MONTH(Ne1Říj+9)=10),Ne1Říj+9, "")</f>
        <v>44475</v>
      </c>
      <c r="AC5" s="4">
        <f ca="1">IF(AND(YEAR(Ne1Říj+10)=Rok,MONTH(Ne1Říj+10)=10),Ne1Říj+10, "")</f>
        <v>44476</v>
      </c>
      <c r="AD5" s="4">
        <f ca="1">IF(AND(YEAR(Ne1Říj+11)=Rok,MONTH(Ne1Říj+11)=10),Ne1Říj+11, "")</f>
        <v>44477</v>
      </c>
      <c r="AE5" s="4">
        <f ca="1">IF(AND(YEAR(Ne1Říj+12)=Rok,MONTH(Ne1Říj+12)=10),Ne1Říj+12, "")</f>
        <v>44478</v>
      </c>
      <c r="AF5" s="4">
        <f ca="1">IF(AND(YEAR(Ne1Říj+13)=Rok,MONTH(Ne1Říj+13)=10),Ne1Říj+13, "")</f>
        <v>44479</v>
      </c>
    </row>
    <row r="6" spans="2:32" ht="18" customHeight="1" x14ac:dyDescent="0.25">
      <c r="B6" s="4">
        <f ca="1">IF(AND(YEAR(Ne1Led+14)=Rok,MONTH(Ne1Led+14)=1),Ne1Led+14, "")</f>
        <v>44207</v>
      </c>
      <c r="C6" s="4">
        <f ca="1">IF(AND(YEAR(Ne1Led+15)=Rok,MONTH(Ne1Led+15)=1),Ne1Led+15, "")</f>
        <v>44208</v>
      </c>
      <c r="D6" s="4">
        <f ca="1">IF(AND(YEAR(Ne1Led+16)=Rok,MONTH(Ne1Led+16)=1),Ne1Led+16, "")</f>
        <v>44209</v>
      </c>
      <c r="E6" s="4">
        <f ca="1">IF(AND(YEAR(Ne1Led+17)=Rok,MONTH(Ne1Led+17)=1),Ne1Led+17, "")</f>
        <v>44210</v>
      </c>
      <c r="F6" s="4">
        <f ca="1">IF(AND(YEAR(Ne1Led+18)=Rok,MONTH(Ne1Led+18)=1),Ne1Led+18, "")</f>
        <v>44211</v>
      </c>
      <c r="G6" s="4">
        <f ca="1">IF(AND(YEAR(Ne1Led+19)=Rok,MONTH(Ne1Led+19)=1),Ne1Led+19, "")</f>
        <v>44212</v>
      </c>
      <c r="H6" s="4">
        <f ca="1">IF(AND(YEAR(Ne1Led+20)=Rok,MONTH(Ne1Led+20)=1),Ne1Led+20, "")</f>
        <v>44213</v>
      </c>
      <c r="J6" s="4">
        <f ca="1">IF(AND(YEAR(Ne1Dub+14)=Rok,MONTH(Ne1Dub+14)=4),Ne1Dub+14, "")</f>
        <v>44298</v>
      </c>
      <c r="K6" s="4">
        <f ca="1">IF(AND(YEAR(Ne1Dub+15)=Rok,MONTH(Ne1Dub+15)=4),Ne1Dub+15, "")</f>
        <v>44299</v>
      </c>
      <c r="L6" s="4">
        <f ca="1">IF(AND(YEAR(Ne1Dub+16)=Rok,MONTH(Ne1Dub+16)=4),Ne1Dub+16, "")</f>
        <v>44300</v>
      </c>
      <c r="M6" s="4">
        <f ca="1">IF(AND(YEAR(Ne1Dub+17)=Rok,MONTH(Ne1Dub+17)=4),Ne1Dub+17, "")</f>
        <v>44301</v>
      </c>
      <c r="N6" s="4">
        <f ca="1">IF(AND(YEAR(Ne1Dub+18)=Rok,MONTH(Ne1Dub+18)=4),Ne1Dub+18, "")</f>
        <v>44302</v>
      </c>
      <c r="O6" s="4">
        <f ca="1">IF(AND(YEAR(Ne1Dub+19)=Rok,MONTH(Ne1Dub+19)=4),Ne1Dub+19, "")</f>
        <v>44303</v>
      </c>
      <c r="P6" s="4">
        <f ca="1">IF(AND(YEAR(Ne1Dub+20)=Rok,MONTH(Ne1Dub+20)=4),Ne1Dub+20, "")</f>
        <v>44304</v>
      </c>
      <c r="R6" s="4">
        <f ca="1">IF(AND(YEAR(Ne1Čvc+14)=Rok,MONTH(Ne1Čvc+14)=7),Ne1Čvc+14, "")</f>
        <v>44389</v>
      </c>
      <c r="S6" s="4">
        <f ca="1">IF(AND(YEAR(Ne1Čvc+15)=Rok,MONTH(Ne1Čvc+15)=7),Ne1Čvc+15, "")</f>
        <v>44390</v>
      </c>
      <c r="T6" s="4">
        <f ca="1">IF(AND(YEAR(Ne1Čvc+16)=Rok,MONTH(Ne1Čvc+16)=7),Ne1Čvc+16, "")</f>
        <v>44391</v>
      </c>
      <c r="U6" s="4">
        <f ca="1">IF(AND(YEAR(Ne1Čvc+17)=Rok,MONTH(Ne1Čvc+17)=7),Ne1Čvc+17, "")</f>
        <v>44392</v>
      </c>
      <c r="V6" s="4">
        <f ca="1">IF(AND(YEAR(Ne1Čvc+18)=Rok,MONTH(Ne1Čvc+18)=7),Ne1Čvc+18, "")</f>
        <v>44393</v>
      </c>
      <c r="W6" s="4">
        <f ca="1">IF(AND(YEAR(Ne1Čvc+19)=Rok,MONTH(Ne1Čvc+19)=7),Ne1Čvc+19, "")</f>
        <v>44394</v>
      </c>
      <c r="X6" s="4">
        <f ca="1">IF(AND(YEAR(Ne1Čvc+20)=Rok,MONTH(Ne1Čvc+20)=7),Ne1Čvc+20, "")</f>
        <v>44395</v>
      </c>
      <c r="Z6" s="4">
        <f ca="1">IF(AND(YEAR(Ne1Říj+14)=Rok,MONTH(Ne1Říj+14)=10),Ne1Říj+14, "")</f>
        <v>44480</v>
      </c>
      <c r="AA6" s="4">
        <f ca="1">IF(AND(YEAR(Ne1Říj+15)=Rok,MONTH(Ne1Říj+15)=10),Ne1Říj+15, "")</f>
        <v>44481</v>
      </c>
      <c r="AB6" s="4">
        <f ca="1">IF(AND(YEAR(Ne1Říj+16)=Rok,MONTH(Ne1Říj+16)=10),Ne1Říj+16, "")</f>
        <v>44482</v>
      </c>
      <c r="AC6" s="4">
        <f ca="1">IF(AND(YEAR(Ne1Říj+17)=Rok,MONTH(Ne1Říj+17)=10),Ne1Říj+17, "")</f>
        <v>44483</v>
      </c>
      <c r="AD6" s="4">
        <f ca="1">IF(AND(YEAR(Ne1Říj+18)=Rok,MONTH(Ne1Říj+18)=10),Ne1Říj+18, "")</f>
        <v>44484</v>
      </c>
      <c r="AE6" s="4">
        <f ca="1">IF(AND(YEAR(Ne1Říj+19)=Rok,MONTH(Ne1Říj+19)=10),Ne1Říj+19, "")</f>
        <v>44485</v>
      </c>
      <c r="AF6" s="4">
        <f ca="1">IF(AND(YEAR(Ne1Říj+20)=Rok,MONTH(Ne1Říj+20)=10),Ne1Říj+20, "")</f>
        <v>44486</v>
      </c>
    </row>
    <row r="7" spans="2:32" ht="18" customHeight="1" x14ac:dyDescent="0.25">
      <c r="B7" s="4">
        <f ca="1">IF(AND(YEAR(Ne1Led+21)=Rok,MONTH(Ne1Led+21)=1),Ne1Led+21, "")</f>
        <v>44214</v>
      </c>
      <c r="C7" s="4">
        <f ca="1">IF(AND(YEAR(Ne1Led+22)=Rok,MONTH(Ne1Led+22)=1),Ne1Led+22, "")</f>
        <v>44215</v>
      </c>
      <c r="D7" s="4">
        <f ca="1">IF(AND(YEAR(Ne1Led+23)=Rok,MONTH(Ne1Led+23)=1),Ne1Led+23, "")</f>
        <v>44216</v>
      </c>
      <c r="E7" s="4">
        <f ca="1">IF(AND(YEAR(Ne1Led+24)=Rok,MONTH(Ne1Led+24)=1),Ne1Led+24, "")</f>
        <v>44217</v>
      </c>
      <c r="F7" s="4">
        <f ca="1">IF(AND(YEAR(Ne1Led+25)=Rok,MONTH(Ne1Led+25)=1),Ne1Led+25, "")</f>
        <v>44218</v>
      </c>
      <c r="G7" s="4">
        <f ca="1">IF(AND(YEAR(Ne1Led+26)=Rok,MONTH(Ne1Led+26)=1),Ne1Led+26, "")</f>
        <v>44219</v>
      </c>
      <c r="H7" s="4">
        <f ca="1">IF(AND(YEAR(Ne1Led+27)=Rok,MONTH(Ne1Led+27)=1),Ne1Led+27, "")</f>
        <v>44220</v>
      </c>
      <c r="J7" s="4">
        <f ca="1">IF(AND(YEAR(Ne1Dub+21)=Rok,MONTH(Ne1Dub+21)=4),Ne1Dub+21, "")</f>
        <v>44305</v>
      </c>
      <c r="K7" s="4">
        <f ca="1">IF(AND(YEAR(Ne1Dub+22)=Rok,MONTH(Ne1Dub+22)=4),Ne1Dub+22, "")</f>
        <v>44306</v>
      </c>
      <c r="L7" s="4">
        <f ca="1">IF(AND(YEAR(Ne1Dub+23)=Rok,MONTH(Ne1Dub+23)=4),Ne1Dub+23, "")</f>
        <v>44307</v>
      </c>
      <c r="M7" s="4">
        <f ca="1">IF(AND(YEAR(Ne1Dub+24)=Rok,MONTH(Ne1Dub+24)=4),Ne1Dub+24, "")</f>
        <v>44308</v>
      </c>
      <c r="N7" s="4">
        <f ca="1">IF(AND(YEAR(Ne1Dub+25)=Rok,MONTH(Ne1Dub+25)=4),Ne1Dub+25, "")</f>
        <v>44309</v>
      </c>
      <c r="O7" s="4">
        <f ca="1">IF(AND(YEAR(Ne1Dub+26)=Rok,MONTH(Ne1Dub+26)=4),Ne1Dub+26, "")</f>
        <v>44310</v>
      </c>
      <c r="P7" s="4">
        <f ca="1">IF(AND(YEAR(Ne1Dub+27)=Rok,MONTH(Ne1Dub+27)=4),Ne1Dub+27, "")</f>
        <v>44311</v>
      </c>
      <c r="R7" s="4">
        <f ca="1">IF(AND(YEAR(Ne1Čvc+21)=Rok,MONTH(Ne1Čvc+21)=7),Ne1Čvc+21, "")</f>
        <v>44396</v>
      </c>
      <c r="S7" s="4">
        <f ca="1">IF(AND(YEAR(Ne1Čvc+22)=Rok,MONTH(Ne1Čvc+22)=7),Ne1Čvc+22, "")</f>
        <v>44397</v>
      </c>
      <c r="T7" s="4">
        <f ca="1">IF(AND(YEAR(Ne1Čvc+23)=Rok,MONTH(Ne1Čvc+23)=7),Ne1Čvc+23, "")</f>
        <v>44398</v>
      </c>
      <c r="U7" s="4">
        <f ca="1">IF(AND(YEAR(Ne1Čvc+24)=Rok,MONTH(Ne1Čvc+24)=7),Ne1Čvc+24, "")</f>
        <v>44399</v>
      </c>
      <c r="V7" s="4">
        <f ca="1">IF(AND(YEAR(Ne1Čvc+25)=Rok,MONTH(Ne1Čvc+25)=7),Ne1Čvc+25, "")</f>
        <v>44400</v>
      </c>
      <c r="W7" s="4">
        <f ca="1">IF(AND(YEAR(Ne1Čvc+26)=Rok,MONTH(Ne1Čvc+26)=7),Ne1Čvc+26, "")</f>
        <v>44401</v>
      </c>
      <c r="X7" s="4">
        <f ca="1">IF(AND(YEAR(Ne1Čvc+27)=Rok,MONTH(Ne1Čvc+27)=7),Ne1Čvc+27, "")</f>
        <v>44402</v>
      </c>
      <c r="Z7" s="4">
        <f ca="1">IF(AND(YEAR(Ne1Říj+21)=Rok,MONTH(Ne1Říj+21)=10),Ne1Říj+21, "")</f>
        <v>44487</v>
      </c>
      <c r="AA7" s="4">
        <f ca="1">IF(AND(YEAR(Ne1Říj+22)=Rok,MONTH(Ne1Říj+22)=10),Ne1Říj+22, "")</f>
        <v>44488</v>
      </c>
      <c r="AB7" s="4">
        <f ca="1">IF(AND(YEAR(Ne1Říj+23)=Rok,MONTH(Ne1Říj+23)=10),Ne1Říj+23, "")</f>
        <v>44489</v>
      </c>
      <c r="AC7" s="4">
        <f ca="1">IF(AND(YEAR(Ne1Říj+24)=Rok,MONTH(Ne1Říj+24)=10),Ne1Říj+24, "")</f>
        <v>44490</v>
      </c>
      <c r="AD7" s="4">
        <f ca="1">IF(AND(YEAR(Ne1Říj+25)=Rok,MONTH(Ne1Říj+25)=10),Ne1Říj+25, "")</f>
        <v>44491</v>
      </c>
      <c r="AE7" s="4">
        <f ca="1">IF(AND(YEAR(Ne1Říj+26)=Rok,MONTH(Ne1Říj+26)=10),Ne1Říj+26, "")</f>
        <v>44492</v>
      </c>
      <c r="AF7" s="4">
        <f ca="1">IF(AND(YEAR(Ne1Říj+27)=Rok,MONTH(Ne1Říj+27)=10),Ne1Říj+27, "")</f>
        <v>44493</v>
      </c>
    </row>
    <row r="8" spans="2:32" ht="18" customHeight="1" x14ac:dyDescent="0.25">
      <c r="B8" s="4">
        <f ca="1">IF(AND(YEAR(Ne1Led+28)=Rok,MONTH(Ne1Led+28)=1),Ne1Led+28, "")</f>
        <v>44221</v>
      </c>
      <c r="C8" s="4">
        <f ca="1">IF(AND(YEAR(Ne1Led+29)=Rok,MONTH(Ne1Led+29)=1),Ne1Led+29, "")</f>
        <v>44222</v>
      </c>
      <c r="D8" s="4">
        <f ca="1">IF(AND(YEAR(Ne1Led+30)=Rok,MONTH(Ne1Led+30)=1),Ne1Led+30, "")</f>
        <v>44223</v>
      </c>
      <c r="E8" s="4">
        <f ca="1">IF(AND(YEAR(Ne1Led+31)=Rok,MONTH(Ne1Led+31)=1),Ne1Led+31, "")</f>
        <v>44224</v>
      </c>
      <c r="F8" s="4">
        <f ca="1">IF(AND(YEAR(Ne1Led+32)=Rok,MONTH(Ne1Led+32)=1),Ne1Led+32, "")</f>
        <v>44225</v>
      </c>
      <c r="G8" s="4">
        <f ca="1">IF(AND(YEAR(Ne1Led+33)=Rok,MONTH(Ne1Led+33)=1),Ne1Led+33, "")</f>
        <v>44226</v>
      </c>
      <c r="H8" s="4">
        <f ca="1">IF(AND(YEAR(Ne1Led+34)=Rok,MONTH(Ne1Led+34)=1),Ne1Led+34, "")</f>
        <v>44227</v>
      </c>
      <c r="J8" s="4">
        <f ca="1">IF(AND(YEAR(Ne1Dub+28)=Rok,MONTH(Ne1Dub+28)=4),Ne1Dub+28, "")</f>
        <v>44312</v>
      </c>
      <c r="K8" s="4">
        <f ca="1">IF(AND(YEAR(Ne1Dub+29)=Rok,MONTH(Ne1Dub+29)=4),Ne1Dub+29, "")</f>
        <v>44313</v>
      </c>
      <c r="L8" s="4">
        <f ca="1">IF(AND(YEAR(Ne1Dub+30)=Rok,MONTH(Ne1Dub+30)=4),Ne1Dub+30, "")</f>
        <v>44314</v>
      </c>
      <c r="M8" s="4">
        <f ca="1">IF(AND(YEAR(Ne1Dub+31)=Rok,MONTH(Ne1Dub+31)=4),Ne1Dub+31, "")</f>
        <v>44315</v>
      </c>
      <c r="N8" s="4">
        <f ca="1">IF(AND(YEAR(Ne1Dub+32)=Rok,MONTH(Ne1Dub+32)=4),Ne1Dub+32, "")</f>
        <v>44316</v>
      </c>
      <c r="O8" s="4" t="str">
        <f ca="1">IF(AND(YEAR(Ne1Dub+33)=Rok,MONTH(Ne1Dub+33)=4),Ne1Dub+33, "")</f>
        <v/>
      </c>
      <c r="P8" s="4" t="str">
        <f ca="1">IF(AND(YEAR(Ne1Dub+34)=Rok,MONTH(Ne1Dub+34)=4),Ne1Dub+34, "")</f>
        <v/>
      </c>
      <c r="R8" s="4">
        <f ca="1">IF(AND(YEAR(Ne1Čvc+28)=Rok,MONTH(Ne1Čvc+28)=7),Ne1Čvc+28, "")</f>
        <v>44403</v>
      </c>
      <c r="S8" s="4">
        <f ca="1">IF(AND(YEAR(Ne1Čvc+29)=Rok,MONTH(Ne1Čvc+29)=7),Ne1Čvc+29, "")</f>
        <v>44404</v>
      </c>
      <c r="T8" s="4">
        <f ca="1">IF(AND(YEAR(Ne1Čvc+30)=Rok,MONTH(Ne1Čvc+30)=7),Ne1Čvc+30, "")</f>
        <v>44405</v>
      </c>
      <c r="U8" s="4">
        <f ca="1">IF(AND(YEAR(Ne1Čvc+31)=Rok,MONTH(Ne1Čvc+31)=7),Ne1Čvc+31, "")</f>
        <v>44406</v>
      </c>
      <c r="V8" s="4">
        <f ca="1">IF(AND(YEAR(Ne1Čvc+32)=Rok,MONTH(Ne1Čvc+32)=7),Ne1Čvc+32, "")</f>
        <v>44407</v>
      </c>
      <c r="W8" s="4">
        <f ca="1">IF(AND(YEAR(Ne1Čvc+33)=Rok,MONTH(Ne1Čvc+33)=7),Ne1Čvc+33, "")</f>
        <v>44408</v>
      </c>
      <c r="X8" s="4" t="str">
        <f ca="1">IF(AND(YEAR(Ne1Čvc+34)=Rok,MONTH(Ne1Čvc+34)=7),Ne1Čvc+34, "")</f>
        <v/>
      </c>
      <c r="Z8" s="4">
        <f ca="1">IF(AND(YEAR(Ne1Říj+28)=Rok,MONTH(Ne1Říj+28)=10),Ne1Říj+28, "")</f>
        <v>44494</v>
      </c>
      <c r="AA8" s="4">
        <f ca="1">IF(AND(YEAR(Ne1Říj+29)=Rok,MONTH(Ne1Říj+29)=10),Ne1Říj+29, "")</f>
        <v>44495</v>
      </c>
      <c r="AB8" s="4">
        <f ca="1">IF(AND(YEAR(Ne1Říj+30)=Rok,MONTH(Ne1Říj+30)=10),Ne1Říj+30, "")</f>
        <v>44496</v>
      </c>
      <c r="AC8" s="4">
        <f ca="1">IF(AND(YEAR(Ne1Říj+31)=Rok,MONTH(Ne1Říj+31)=10),Ne1Říj+31, "")</f>
        <v>44497</v>
      </c>
      <c r="AD8" s="4">
        <f ca="1">IF(AND(YEAR(Ne1Říj+32)=Rok,MONTH(Ne1Říj+32)=10),Ne1Říj+32, "")</f>
        <v>44498</v>
      </c>
      <c r="AE8" s="4">
        <f ca="1">IF(AND(YEAR(Ne1Říj+33)=Rok,MONTH(Ne1Říj+33)=10),Ne1Říj+33, "")</f>
        <v>44499</v>
      </c>
      <c r="AF8" s="4">
        <f ca="1">IF(AND(YEAR(Ne1Říj+34)=Rok,MONTH(Ne1Říj+34)=10),Ne1Říj+34, "")</f>
        <v>44500</v>
      </c>
    </row>
    <row r="9" spans="2:32" ht="18" customHeight="1" x14ac:dyDescent="0.25">
      <c r="B9" s="4" t="str">
        <f ca="1">IF(AND(YEAR(Ne1Led+35)=Rok,MONTH(Ne1Led+35)=1),Ne1Led+35, "")</f>
        <v/>
      </c>
      <c r="C9" s="4" t="str">
        <f ca="1">IF(AND(YEAR(Ne1Led+36)=Rok,MONTH(Ne1Led+36)=1),Ne1Led+36, "")</f>
        <v/>
      </c>
      <c r="D9" s="4" t="str">
        <f ca="1">IF(AND(YEAR(Ne1Led+37)=Rok,MONTH(Ne1Led+37)=1),Ne1Led+37, "")</f>
        <v/>
      </c>
      <c r="E9" s="4" t="str">
        <f ca="1">IF(AND(YEAR(Ne1Led+38)=Rok,MONTH(Ne1Led+38)=1),Ne1Led+38, "")</f>
        <v/>
      </c>
      <c r="F9" s="4" t="str">
        <f ca="1">IF(AND(YEAR(Ne1Led+39)=Rok,MONTH(Ne1Led+39)=1),Ne1Led+39, "")</f>
        <v/>
      </c>
      <c r="G9" s="4" t="str">
        <f ca="1">IF(AND(YEAR(Ne1Led+40)=Rok,MONTH(Ne1Led+40)=1),Ne1Led+40, "")</f>
        <v/>
      </c>
      <c r="H9" s="4" t="str">
        <f ca="1">IF(AND(YEAR(Ne1Led+41)=Rok,MONTH(Ne1Led+41)=1),Ne1Led+41, "")</f>
        <v/>
      </c>
      <c r="J9" s="4" t="str">
        <f ca="1">IF(AND(YEAR(Ne1Dub+35)=Rok,MONTH(Ne1Dub+35)=4),Ne1Dub+35, "")</f>
        <v/>
      </c>
      <c r="K9" s="4" t="str">
        <f ca="1">IF(AND(YEAR(Ne1Dub+36)=Rok,MONTH(Ne1Dub+36)=4),Ne1Dub+36, "")</f>
        <v/>
      </c>
      <c r="L9" s="4" t="str">
        <f ca="1">IF(AND(YEAR(Ne1Dub+37)=Rok,MONTH(Ne1Dub+37)=4),Ne1Dub+37, "")</f>
        <v/>
      </c>
      <c r="M9" s="4" t="str">
        <f ca="1">IF(AND(YEAR(Ne1Dub+38)=Rok,MONTH(Ne1Dub+38)=4),Ne1Dub+38, "")</f>
        <v/>
      </c>
      <c r="N9" s="4" t="str">
        <f ca="1">IF(AND(YEAR(Ne1Dub+39)=Rok,MONTH(Ne1Dub+39)=4),Ne1Dub+39, "")</f>
        <v/>
      </c>
      <c r="O9" s="4" t="str">
        <f ca="1">IF(AND(YEAR(Ne1Dub+40)=Rok,MONTH(Ne1Dub+40)=4),Ne1Dub+40, "")</f>
        <v/>
      </c>
      <c r="P9" s="4" t="str">
        <f ca="1">IF(AND(YEAR(Ne1Dub+41)=Rok,MONTH(Ne1Dub+41)=4),Ne1Dub+41, "")</f>
        <v/>
      </c>
      <c r="R9" s="4" t="str">
        <f ca="1">IF(AND(YEAR(Ne1Čvc+35)=Rok,MONTH(Ne1Čvc+35)=7),Ne1Čvc+35, "")</f>
        <v/>
      </c>
      <c r="S9" s="4" t="str">
        <f ca="1">IF(AND(YEAR(Ne1Čvc+36)=Rok,MONTH(Ne1Čvc+36)=7),Ne1Čvc+36, "")</f>
        <v/>
      </c>
      <c r="T9" s="4" t="str">
        <f ca="1">IF(AND(YEAR(Ne1Čvc+37)=Rok,MONTH(Ne1Čvc+37)=7),Ne1Čvc+37, "")</f>
        <v/>
      </c>
      <c r="U9" s="4" t="str">
        <f ca="1">IF(AND(YEAR(Ne1Čvc+38)=Rok,MONTH(Ne1Čvc+38)=7),Ne1Čvc+38, "")</f>
        <v/>
      </c>
      <c r="V9" s="4" t="str">
        <f ca="1">IF(AND(YEAR(Ne1Čvc+39)=Rok,MONTH(Ne1Čvc+39)=7),Ne1Čvc+39, "")</f>
        <v/>
      </c>
      <c r="W9" s="4" t="str">
        <f ca="1">IF(AND(YEAR(Ne1Čvc+40)=Rok,MONTH(Ne1Čvc+40)=7),Ne1Čvc+40, "")</f>
        <v/>
      </c>
      <c r="X9" s="4" t="str">
        <f ca="1">IF(AND(YEAR(Ne1Čvc+41)=Rok,MONTH(Ne1Čvc+41)=7),Ne1Čvc+41, "")</f>
        <v/>
      </c>
      <c r="Z9" s="4" t="str">
        <f ca="1">IF(AND(YEAR(Ne1Říj+35)=Rok,MONTH(Ne1Říj+35)=10),Ne1Říj+35, "")</f>
        <v/>
      </c>
      <c r="AA9" s="4" t="str">
        <f ca="1">IF(AND(YEAR(Ne1Říj+36)=Rok,MONTH(Ne1Říj+36)=10),Ne1Říj+36, "")</f>
        <v/>
      </c>
      <c r="AB9" s="4" t="str">
        <f ca="1">IF(AND(YEAR(Ne1Říj+37)=Rok,MONTH(Ne1Říj+37)=10),Ne1Říj+37, "")</f>
        <v/>
      </c>
      <c r="AC9" s="4" t="str">
        <f ca="1">IF(AND(YEAR(Ne1Říj+38)=Rok,MONTH(Ne1Říj+38)=10),Ne1Říj+38, "")</f>
        <v/>
      </c>
      <c r="AD9" s="4" t="str">
        <f ca="1">IF(AND(YEAR(Ne1Říj+39)=Rok,MONTH(Ne1Říj+39)=10),Ne1Říj+39, "")</f>
        <v/>
      </c>
      <c r="AE9" s="4" t="str">
        <f ca="1">IF(AND(YEAR(Ne1Říj+40)=Rok,MONTH(Ne1Říj+40)=10),Ne1Říj+40, "")</f>
        <v/>
      </c>
      <c r="AF9" s="4" t="str">
        <f ca="1">IF(AND(YEAR(Ne1Říj+41)=Rok,MONTH(Ne1Říj+41)=10),Ne1Říj+41, "")</f>
        <v/>
      </c>
    </row>
    <row r="11" spans="2:32" ht="18" customHeight="1" x14ac:dyDescent="0.25">
      <c r="B11" s="3" t="s">
        <v>2</v>
      </c>
      <c r="C11" s="3"/>
      <c r="D11" s="3"/>
      <c r="E11" s="3"/>
      <c r="F11" s="3"/>
      <c r="G11" s="3"/>
      <c r="H11" s="3"/>
      <c r="J11" s="3" t="s">
        <v>11</v>
      </c>
      <c r="K11" s="3"/>
      <c r="L11" s="3"/>
      <c r="M11" s="3"/>
      <c r="N11" s="3"/>
      <c r="O11" s="3"/>
      <c r="P11" s="3"/>
      <c r="R11" s="3" t="s">
        <v>14</v>
      </c>
      <c r="S11" s="3"/>
      <c r="T11" s="3"/>
      <c r="U11" s="3"/>
      <c r="V11" s="3"/>
      <c r="W11" s="3"/>
      <c r="X11" s="3"/>
      <c r="Z11" s="3" t="s">
        <v>17</v>
      </c>
      <c r="AA11" s="3"/>
      <c r="AB11" s="3"/>
      <c r="AC11" s="3"/>
      <c r="AD11" s="3"/>
      <c r="AE11" s="3"/>
      <c r="AF11" s="3"/>
    </row>
    <row r="12" spans="2:32" ht="18" customHeight="1" x14ac:dyDescent="0.25">
      <c r="B12" s="1" t="s">
        <v>1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J12" s="1" t="s">
        <v>1</v>
      </c>
      <c r="K12" s="1" t="s">
        <v>4</v>
      </c>
      <c r="L12" s="1" t="s">
        <v>5</v>
      </c>
      <c r="M12" s="1" t="s">
        <v>6</v>
      </c>
      <c r="N12" s="1" t="s">
        <v>7</v>
      </c>
      <c r="O12" s="1" t="s">
        <v>8</v>
      </c>
      <c r="P12" s="1" t="s">
        <v>9</v>
      </c>
      <c r="R12" s="1" t="s">
        <v>1</v>
      </c>
      <c r="S12" s="1" t="s">
        <v>4</v>
      </c>
      <c r="T12" s="1" t="s">
        <v>5</v>
      </c>
      <c r="U12" s="1" t="s">
        <v>6</v>
      </c>
      <c r="V12" s="1" t="s">
        <v>7</v>
      </c>
      <c r="W12" s="1" t="s">
        <v>8</v>
      </c>
      <c r="X12" s="1" t="s">
        <v>9</v>
      </c>
      <c r="Z12" s="1" t="s">
        <v>1</v>
      </c>
      <c r="AA12" s="1" t="s">
        <v>4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</row>
    <row r="13" spans="2:32" ht="18" customHeight="1" x14ac:dyDescent="0.25">
      <c r="B13" s="4">
        <f ca="1">IF(AND(YEAR(Ne1Úno)=Rok,MONTH(Ne1Úno)=2),Ne1Úno, "")</f>
        <v>44228</v>
      </c>
      <c r="C13" s="4">
        <f ca="1">IF(AND(YEAR(Ne1Úno+1)=Rok,MONTH(Ne1Úno+1)=2),Ne1Úno+1, "")</f>
        <v>44229</v>
      </c>
      <c r="D13" s="4">
        <f ca="1">IF(AND(YEAR(Ne1Úno+2)=Rok,MONTH(Ne1Úno+2)=2),Ne1Úno+2, "")</f>
        <v>44230</v>
      </c>
      <c r="E13" s="4">
        <f ca="1">IF(AND(YEAR(Ne1Úno+3)=Rok,MONTH(Ne1Úno+3)=2),Ne1Úno+3, "")</f>
        <v>44231</v>
      </c>
      <c r="F13" s="4">
        <f ca="1">IF(AND(YEAR(Ne1Úno+4)=Rok,MONTH(Ne1Úno+4)=2),Ne1Úno+4, "")</f>
        <v>44232</v>
      </c>
      <c r="G13" s="4">
        <f ca="1">IF(AND(YEAR(Ne1Úno+5)=Rok,MONTH(Ne1Úno+5)=2),Ne1Úno+5, "")</f>
        <v>44233</v>
      </c>
      <c r="H13" s="4">
        <f ca="1">IF(AND(YEAR(Ne1Úno+6)=Rok,MONTH(Ne1Úno+6)=2),Ne1Úno+6, "")</f>
        <v>44234</v>
      </c>
      <c r="J13" s="4" t="str">
        <f ca="1">IF(AND(YEAR(Ne1Kvě)=Rok,MONTH(Ne1Kvě)=5),Ne1Kvě, "")</f>
        <v/>
      </c>
      <c r="K13" s="4" t="str">
        <f ca="1">IF(AND(YEAR(Ne1Kvě+1)=Rok,MONTH(Ne1Kvě+1)=5),Ne1Kvě+1, "")</f>
        <v/>
      </c>
      <c r="L13" s="4" t="str">
        <f ca="1">IF(AND(YEAR(Ne1Kvě+2)=Rok,MONTH(Ne1Kvě+2)=5),Ne1Kvě+2, "")</f>
        <v/>
      </c>
      <c r="M13" s="4" t="str">
        <f ca="1">IF(AND(YEAR(Ne1Kvě+3)=Rok,MONTH(Ne1Kvě+3)=5),Ne1Kvě+3, "")</f>
        <v/>
      </c>
      <c r="N13" s="4" t="str">
        <f ca="1">IF(AND(YEAR(Ne1Kvě+4)=Rok,MONTH(Ne1Kvě+4)=5),Ne1Kvě+4, "")</f>
        <v/>
      </c>
      <c r="O13" s="4">
        <f ca="1">IF(AND(YEAR(Ne1Kvě+5)=Rok,MONTH(Ne1Kvě+5)=5),Ne1Kvě+5, "")</f>
        <v>44317</v>
      </c>
      <c r="P13" s="4">
        <f ca="1">IF(AND(YEAR(Ne1Kvě+6)=Rok,MONTH(Ne1Kvě+6)=5),Ne1Kvě+6, "")</f>
        <v>44318</v>
      </c>
      <c r="R13" s="4" t="str">
        <f ca="1">IF(AND(YEAR(Ne1Srp)=Rok,MONTH(Ne1Srp)=8),Ne1Srp, "")</f>
        <v/>
      </c>
      <c r="S13" s="4" t="str">
        <f ca="1">IF(AND(YEAR(Ne1Srp+1)=Rok,MONTH(Ne1Srp+1)=8),Ne1Srp+1, "")</f>
        <v/>
      </c>
      <c r="T13" s="4" t="str">
        <f ca="1">IF(AND(YEAR(Ne1Srp+2)=Rok,MONTH(Ne1Srp+2)=8),Ne1Srp+2, "")</f>
        <v/>
      </c>
      <c r="U13" s="4" t="str">
        <f ca="1">IF(AND(YEAR(Ne1Srp+3)=Rok,MONTH(Ne1Srp+3)=8),Ne1Srp+3, "")</f>
        <v/>
      </c>
      <c r="V13" s="4" t="str">
        <f ca="1">IF(AND(YEAR(Ne1Srp+4)=Rok,MONTH(Ne1Srp+4)=8),Ne1Srp+4, "")</f>
        <v/>
      </c>
      <c r="W13" s="4" t="str">
        <f ca="1">IF(AND(YEAR(Ne1Srp+5)=Rok,MONTH(Ne1Srp+5)=8),Ne1Srp+5, "")</f>
        <v/>
      </c>
      <c r="X13" s="4">
        <f ca="1">IF(AND(YEAR(Ne1Srp+6)=Rok,MONTH(Ne1Srp+6)=8),Ne1Srp+6, "")</f>
        <v>44409</v>
      </c>
      <c r="Z13" s="4">
        <f ca="1">IF(AND(YEAR(Ne1Lis)=Rok,MONTH(Ne1Lis)=11),Ne1Lis, "")</f>
        <v>44501</v>
      </c>
      <c r="AA13" s="4">
        <f ca="1">IF(AND(YEAR(Ne1Lis+1)=Rok,MONTH(Ne1Lis+1)=11),Ne1Lis+1, "")</f>
        <v>44502</v>
      </c>
      <c r="AB13" s="4">
        <f ca="1">IF(AND(YEAR(Ne1Lis+2)=Rok,MONTH(Ne1Lis+2)=11),Ne1Lis+2, "")</f>
        <v>44503</v>
      </c>
      <c r="AC13" s="4">
        <f ca="1">IF(AND(YEAR(Ne1Lis+3)=Rok,MONTH(Ne1Lis+3)=11),Ne1Lis+3, "")</f>
        <v>44504</v>
      </c>
      <c r="AD13" s="4">
        <f ca="1">IF(AND(YEAR(Ne1Lis+4)=Rok,MONTH(Ne1Lis+4)=11),Ne1Lis+4, "")</f>
        <v>44505</v>
      </c>
      <c r="AE13" s="4">
        <f ca="1">IF(AND(YEAR(Ne1Lis+5)=Rok,MONTH(Ne1Lis+5)=11),Ne1Lis+5, "")</f>
        <v>44506</v>
      </c>
      <c r="AF13" s="4">
        <f ca="1">IF(AND(YEAR(Ne1Lis+6)=Rok,MONTH(Ne1Lis+6)=11),Ne1Lis+6, "")</f>
        <v>44507</v>
      </c>
    </row>
    <row r="14" spans="2:32" ht="18" customHeight="1" x14ac:dyDescent="0.25">
      <c r="B14" s="4">
        <f ca="1">IF(AND(YEAR(Ne1Úno+7)=Rok,MONTH(Ne1Úno+7)=2),Ne1Úno+7, "")</f>
        <v>44235</v>
      </c>
      <c r="C14" s="4">
        <f ca="1">IF(AND(YEAR(Ne1Úno+8)=Rok,MONTH(Ne1Úno+8)=2),Ne1Úno+8, "")</f>
        <v>44236</v>
      </c>
      <c r="D14" s="4">
        <f ca="1">IF(AND(YEAR(Ne1Úno+9)=Rok,MONTH(Ne1Úno+9)=2),Ne1Úno+9, "")</f>
        <v>44237</v>
      </c>
      <c r="E14" s="4">
        <f ca="1">IF(AND(YEAR(Ne1Úno+10)=Rok,MONTH(Ne1Úno+10)=2),Ne1Úno+10, "")</f>
        <v>44238</v>
      </c>
      <c r="F14" s="4">
        <f ca="1">IF(AND(YEAR(Ne1Úno+11)=Rok,MONTH(Ne1Úno+11)=2),Ne1Úno+11, "")</f>
        <v>44239</v>
      </c>
      <c r="G14" s="4">
        <f ca="1">IF(AND(YEAR(Ne1Úno+12)=Rok,MONTH(Ne1Úno+12)=2),Ne1Úno+12, "")</f>
        <v>44240</v>
      </c>
      <c r="H14" s="4">
        <f ca="1">IF(AND(YEAR(Ne1Úno+13)=Rok,MONTH(Ne1Úno+13)=2),Ne1Úno+13, "")</f>
        <v>44241</v>
      </c>
      <c r="J14" s="4">
        <f ca="1">IF(AND(YEAR(Ne1Kvě+7)=Rok,MONTH(Ne1Kvě+7)=5),Ne1Kvě+7, "")</f>
        <v>44319</v>
      </c>
      <c r="K14" s="4">
        <f ca="1">IF(AND(YEAR(Ne1Kvě+8)=Rok,MONTH(Ne1Kvě+8)=5),Ne1Kvě+8, "")</f>
        <v>44320</v>
      </c>
      <c r="L14" s="4">
        <f ca="1">IF(AND(YEAR(Ne1Kvě+9)=Rok,MONTH(Ne1Kvě+9)=5),Ne1Kvě+9, "")</f>
        <v>44321</v>
      </c>
      <c r="M14" s="4">
        <f ca="1">IF(AND(YEAR(Ne1Kvě+10)=Rok,MONTH(Ne1Kvě+10)=5),Ne1Kvě+10, "")</f>
        <v>44322</v>
      </c>
      <c r="N14" s="4">
        <f ca="1">IF(AND(YEAR(Ne1Kvě+11)=Rok,MONTH(Ne1Kvě+11)=5),Ne1Kvě+11, "")</f>
        <v>44323</v>
      </c>
      <c r="O14" s="4">
        <f ca="1">IF(AND(YEAR(Ne1Kvě+12)=Rok,MONTH(Ne1Kvě+12)=5),Ne1Kvě+12, "")</f>
        <v>44324</v>
      </c>
      <c r="P14" s="4">
        <f ca="1">IF(AND(YEAR(Ne1Kvě+13)=Rok,MONTH(Ne1Kvě+13)=5),Ne1Kvě+13, "")</f>
        <v>44325</v>
      </c>
      <c r="R14" s="4">
        <f ca="1">IF(AND(YEAR(Ne1Srp+7)=Rok,MONTH(Ne1Srp+7)=8),Ne1Srp+7, "")</f>
        <v>44410</v>
      </c>
      <c r="S14" s="4">
        <f ca="1">IF(AND(YEAR(Ne1Srp+8)=Rok,MONTH(Ne1Srp+8)=8),Ne1Srp+8, "")</f>
        <v>44411</v>
      </c>
      <c r="T14" s="4">
        <f ca="1">IF(AND(YEAR(Ne1Srp+9)=Rok,MONTH(Ne1Srp+9)=8),Ne1Srp+9, "")</f>
        <v>44412</v>
      </c>
      <c r="U14" s="4">
        <f ca="1">IF(AND(YEAR(Ne1Srp+10)=Rok,MONTH(Ne1Srp+10)=8),Ne1Srp+10, "")</f>
        <v>44413</v>
      </c>
      <c r="V14" s="4">
        <f ca="1">IF(AND(YEAR(Ne1Srp+11)=Rok,MONTH(Ne1Srp+11)=8),Ne1Srp+11, "")</f>
        <v>44414</v>
      </c>
      <c r="W14" s="4">
        <f ca="1">IF(AND(YEAR(Ne1Srp+12)=Rok,MONTH(Ne1Srp+12)=8),Ne1Srp+12, "")</f>
        <v>44415</v>
      </c>
      <c r="X14" s="4">
        <f ca="1">IF(AND(YEAR(Ne1Srp+13)=Rok,MONTH(Ne1Srp+13)=8),Ne1Srp+13, "")</f>
        <v>44416</v>
      </c>
      <c r="Z14" s="4">
        <f ca="1">IF(AND(YEAR(Ne1Lis+7)=Rok,MONTH(Ne1Lis+7)=11),Ne1Lis+7, "")</f>
        <v>44508</v>
      </c>
      <c r="AA14" s="4">
        <f ca="1">IF(AND(YEAR(Ne1Lis+8)=Rok,MONTH(Ne1Lis+8)=11),Ne1Lis+8, "")</f>
        <v>44509</v>
      </c>
      <c r="AB14" s="4">
        <f ca="1">IF(AND(YEAR(Ne1Lis+9)=Rok,MONTH(Ne1Lis+9)=11),Ne1Lis+9, "")</f>
        <v>44510</v>
      </c>
      <c r="AC14" s="4">
        <f ca="1">IF(AND(YEAR(Ne1Lis+10)=Rok,MONTH(Ne1Lis+10)=11),Ne1Lis+10, "")</f>
        <v>44511</v>
      </c>
      <c r="AD14" s="4">
        <f ca="1">IF(AND(YEAR(Ne1Lis+11)=Rok,MONTH(Ne1Lis+11)=11),Ne1Lis+11, "")</f>
        <v>44512</v>
      </c>
      <c r="AE14" s="4">
        <f ca="1">IF(AND(YEAR(Ne1Lis+12)=Rok,MONTH(Ne1Lis+12)=11),Ne1Lis+12, "")</f>
        <v>44513</v>
      </c>
      <c r="AF14" s="4">
        <f ca="1">IF(AND(YEAR(Ne1Lis+13)=Rok,MONTH(Ne1Lis+13)=11),Ne1Lis+13, "")</f>
        <v>44514</v>
      </c>
    </row>
    <row r="15" spans="2:32" ht="18" customHeight="1" x14ac:dyDescent="0.25">
      <c r="B15" s="4">
        <f ca="1">IF(AND(YEAR(Ne1Úno+14)=Rok,MONTH(Ne1Úno+14)=2),Ne1Úno+14, "")</f>
        <v>44242</v>
      </c>
      <c r="C15" s="4">
        <f ca="1">IF(AND(YEAR(Ne1Úno+15)=Rok,MONTH(Ne1Úno+15)=2),Ne1Úno+15, "")</f>
        <v>44243</v>
      </c>
      <c r="D15" s="4">
        <f ca="1">IF(AND(YEAR(Ne1Úno+16)=Rok,MONTH(Ne1Úno+16)=2),Ne1Úno+16, "")</f>
        <v>44244</v>
      </c>
      <c r="E15" s="4">
        <f ca="1">IF(AND(YEAR(Ne1Úno+17)=Rok,MONTH(Ne1Úno+17)=2),Ne1Úno+17, "")</f>
        <v>44245</v>
      </c>
      <c r="F15" s="4">
        <f ca="1">IF(AND(YEAR(Ne1Úno+18)=Rok,MONTH(Ne1Úno+18)=2),Ne1Úno+18, "")</f>
        <v>44246</v>
      </c>
      <c r="G15" s="4">
        <f ca="1">IF(AND(YEAR(Ne1Úno+19)=Rok,MONTH(Ne1Úno+19)=2),Ne1Úno+19, "")</f>
        <v>44247</v>
      </c>
      <c r="H15" s="4">
        <f ca="1">IF(AND(YEAR(Ne1Úno+20)=Rok,MONTH(Ne1Úno+20)=2),Ne1Úno+20, "")</f>
        <v>44248</v>
      </c>
      <c r="J15" s="4">
        <f ca="1">IF(AND(YEAR(Ne1Kvě+14)=Rok,MONTH(Ne1Kvě+14)=5),Ne1Kvě+14, "")</f>
        <v>44326</v>
      </c>
      <c r="K15" s="4">
        <f ca="1">IF(AND(YEAR(Ne1Kvě+15)=Rok,MONTH(Ne1Kvě+15)=5),Ne1Kvě+15, "")</f>
        <v>44327</v>
      </c>
      <c r="L15" s="4">
        <f ca="1">IF(AND(YEAR(Ne1Kvě+16)=Rok,MONTH(Ne1Kvě+16)=5),Ne1Kvě+16, "")</f>
        <v>44328</v>
      </c>
      <c r="M15" s="4">
        <f ca="1">IF(AND(YEAR(Ne1Kvě+17)=Rok,MONTH(Ne1Kvě+17)=5),Ne1Kvě+17, "")</f>
        <v>44329</v>
      </c>
      <c r="N15" s="4">
        <f ca="1">IF(AND(YEAR(Ne1Kvě+18)=Rok,MONTH(Ne1Kvě+18)=5),Ne1Kvě+18, "")</f>
        <v>44330</v>
      </c>
      <c r="O15" s="4">
        <f ca="1">IF(AND(YEAR(Ne1Kvě+19)=Rok,MONTH(Ne1Kvě+19)=5),Ne1Kvě+19, "")</f>
        <v>44331</v>
      </c>
      <c r="P15" s="4">
        <f ca="1">IF(AND(YEAR(Ne1Kvě+20)=Rok,MONTH(Ne1Kvě+20)=5),Ne1Kvě+20, "")</f>
        <v>44332</v>
      </c>
      <c r="R15" s="4">
        <f ca="1">IF(AND(YEAR(Ne1Srp+14)=Rok,MONTH(Ne1Srp+14)=8),Ne1Srp+14, "")</f>
        <v>44417</v>
      </c>
      <c r="S15" s="4">
        <f ca="1">IF(AND(YEAR(Ne1Srp+15)=Rok,MONTH(Ne1Srp+15)=8),Ne1Srp+15, "")</f>
        <v>44418</v>
      </c>
      <c r="T15" s="4">
        <f ca="1">IF(AND(YEAR(Ne1Srp+16)=Rok,MONTH(Ne1Srp+16)=8),Ne1Srp+16, "")</f>
        <v>44419</v>
      </c>
      <c r="U15" s="4">
        <f ca="1">IF(AND(YEAR(Ne1Srp+17)=Rok,MONTH(Ne1Srp+17)=8),Ne1Srp+17, "")</f>
        <v>44420</v>
      </c>
      <c r="V15" s="4">
        <f ca="1">IF(AND(YEAR(Ne1Srp+18)=Rok,MONTH(Ne1Srp+18)=8),Ne1Srp+18, "")</f>
        <v>44421</v>
      </c>
      <c r="W15" s="4">
        <f ca="1">IF(AND(YEAR(Ne1Srp+19)=Rok,MONTH(Ne1Srp+19)=8),Ne1Srp+19, "")</f>
        <v>44422</v>
      </c>
      <c r="X15" s="4">
        <f ca="1">IF(AND(YEAR(Ne1Srp+20)=Rok,MONTH(Ne1Srp+20)=8),Ne1Srp+20, "")</f>
        <v>44423</v>
      </c>
      <c r="Z15" s="4">
        <f ca="1">IF(AND(YEAR(Ne1Lis+14)=Rok,MONTH(Ne1Lis+14)=11),Ne1Lis+14, "")</f>
        <v>44515</v>
      </c>
      <c r="AA15" s="4">
        <f ca="1">IF(AND(YEAR(Ne1Lis+15)=Rok,MONTH(Ne1Lis+15)=11),Ne1Lis+15, "")</f>
        <v>44516</v>
      </c>
      <c r="AB15" s="4">
        <f ca="1">IF(AND(YEAR(Ne1Lis+16)=Rok,MONTH(Ne1Lis+16)=11),Ne1Lis+16, "")</f>
        <v>44517</v>
      </c>
      <c r="AC15" s="4">
        <f ca="1">IF(AND(YEAR(Ne1Lis+17)=Rok,MONTH(Ne1Lis+17)=11),Ne1Lis+17, "")</f>
        <v>44518</v>
      </c>
      <c r="AD15" s="4">
        <f ca="1">IF(AND(YEAR(Ne1Lis+18)=Rok,MONTH(Ne1Lis+18)=11),Ne1Lis+18, "")</f>
        <v>44519</v>
      </c>
      <c r="AE15" s="4">
        <f ca="1">IF(AND(YEAR(Ne1Lis+19)=Rok,MONTH(Ne1Lis+19)=11),Ne1Lis+19, "")</f>
        <v>44520</v>
      </c>
      <c r="AF15" s="4">
        <f ca="1">IF(AND(YEAR(Ne1Lis+20)=Rok,MONTH(Ne1Lis+20)=11),Ne1Lis+20, "")</f>
        <v>44521</v>
      </c>
    </row>
    <row r="16" spans="2:32" ht="18" customHeight="1" x14ac:dyDescent="0.25">
      <c r="B16" s="4">
        <f ca="1">IF(AND(YEAR(Ne1Úno+21)=Rok,MONTH(Ne1Úno+21)=2),Ne1Úno+21, "")</f>
        <v>44249</v>
      </c>
      <c r="C16" s="4">
        <f ca="1">IF(AND(YEAR(Ne1Úno+22)=Rok,MONTH(Ne1Úno+22)=2),Ne1Úno+22, "")</f>
        <v>44250</v>
      </c>
      <c r="D16" s="4">
        <f ca="1">IF(AND(YEAR(Ne1Úno+23)=Rok,MONTH(Ne1Úno+23)=2),Ne1Úno+23, "")</f>
        <v>44251</v>
      </c>
      <c r="E16" s="4">
        <f ca="1">IF(AND(YEAR(Ne1Úno+24)=Rok,MONTH(Ne1Úno+24)=2),Ne1Úno+24, "")</f>
        <v>44252</v>
      </c>
      <c r="F16" s="4">
        <f ca="1">IF(AND(YEAR(Ne1Úno+25)=Rok,MONTH(Ne1Úno+25)=2),Ne1Úno+25, "")</f>
        <v>44253</v>
      </c>
      <c r="G16" s="4">
        <f ca="1">IF(AND(YEAR(Ne1Úno+26)=Rok,MONTH(Ne1Úno+26)=2),Ne1Úno+26, "")</f>
        <v>44254</v>
      </c>
      <c r="H16" s="4">
        <f ca="1">IF(AND(YEAR(Ne1Úno+27)=Rok,MONTH(Ne1Úno+27)=2),Ne1Úno+27, "")</f>
        <v>44255</v>
      </c>
      <c r="J16" s="4">
        <f ca="1">IF(AND(YEAR(Ne1Kvě+21)=Rok,MONTH(Ne1Kvě+21)=5),Ne1Kvě+21, "")</f>
        <v>44333</v>
      </c>
      <c r="K16" s="4">
        <f ca="1">IF(AND(YEAR(Ne1Kvě+22)=Rok,MONTH(Ne1Kvě+22)=5),Ne1Kvě+22, "")</f>
        <v>44334</v>
      </c>
      <c r="L16" s="4">
        <f ca="1">IF(AND(YEAR(Ne1Kvě+23)=Rok,MONTH(Ne1Kvě+23)=5),Ne1Kvě+23, "")</f>
        <v>44335</v>
      </c>
      <c r="M16" s="4">
        <f ca="1">IF(AND(YEAR(Ne1Kvě+24)=Rok,MONTH(Ne1Kvě+24)=5),Ne1Kvě+24, "")</f>
        <v>44336</v>
      </c>
      <c r="N16" s="4">
        <f ca="1">IF(AND(YEAR(Ne1Kvě+25)=Rok,MONTH(Ne1Kvě+25)=5),Ne1Kvě+25, "")</f>
        <v>44337</v>
      </c>
      <c r="O16" s="4">
        <f ca="1">IF(AND(YEAR(Ne1Kvě+26)=Rok,MONTH(Ne1Kvě+26)=5),Ne1Kvě+26, "")</f>
        <v>44338</v>
      </c>
      <c r="P16" s="4">
        <f ca="1">IF(AND(YEAR(Ne1Kvě+27)=Rok,MONTH(Ne1Kvě+27)=5),Ne1Kvě+27, "")</f>
        <v>44339</v>
      </c>
      <c r="R16" s="4">
        <f ca="1">IF(AND(YEAR(Ne1Srp+21)=Rok,MONTH(Ne1Srp+21)=8),Ne1Srp+21, "")</f>
        <v>44424</v>
      </c>
      <c r="S16" s="4">
        <f ca="1">IF(AND(YEAR(Ne1Srp+22)=Rok,MONTH(Ne1Srp+22)=8),Ne1Srp+22, "")</f>
        <v>44425</v>
      </c>
      <c r="T16" s="4">
        <f ca="1">IF(AND(YEAR(Ne1Srp+23)=Rok,MONTH(Ne1Srp+23)=8),Ne1Srp+23, "")</f>
        <v>44426</v>
      </c>
      <c r="U16" s="4">
        <f ca="1">IF(AND(YEAR(Ne1Srp+24)=Rok,MONTH(Ne1Srp+24)=8),Ne1Srp+24, "")</f>
        <v>44427</v>
      </c>
      <c r="V16" s="4">
        <f ca="1">IF(AND(YEAR(Ne1Srp+25)=Rok,MONTH(Ne1Srp+25)=8),Ne1Srp+25, "")</f>
        <v>44428</v>
      </c>
      <c r="W16" s="4">
        <f ca="1">IF(AND(YEAR(Ne1Srp+26)=Rok,MONTH(Ne1Srp+26)=8),Ne1Srp+26, "")</f>
        <v>44429</v>
      </c>
      <c r="X16" s="4">
        <f ca="1">IF(AND(YEAR(Ne1Srp+27)=Rok,MONTH(Ne1Srp+27)=8),Ne1Srp+27, "")</f>
        <v>44430</v>
      </c>
      <c r="Z16" s="4">
        <f ca="1">IF(AND(YEAR(Ne1Lis+21)=Rok,MONTH(Ne1Lis+21)=11),Ne1Lis+21, "")</f>
        <v>44522</v>
      </c>
      <c r="AA16" s="4">
        <f ca="1">IF(AND(YEAR(Ne1Lis+22)=Rok,MONTH(Ne1Lis+22)=11),Ne1Lis+22, "")</f>
        <v>44523</v>
      </c>
      <c r="AB16" s="4">
        <f ca="1">IF(AND(YEAR(Ne1Lis+23)=Rok,MONTH(Ne1Lis+23)=11),Ne1Lis+23, "")</f>
        <v>44524</v>
      </c>
      <c r="AC16" s="4">
        <f ca="1">IF(AND(YEAR(Ne1Lis+24)=Rok,MONTH(Ne1Lis+24)=11),Ne1Lis+24, "")</f>
        <v>44525</v>
      </c>
      <c r="AD16" s="4">
        <f ca="1">IF(AND(YEAR(Ne1Lis+25)=Rok,MONTH(Ne1Lis+25)=11),Ne1Lis+25, "")</f>
        <v>44526</v>
      </c>
      <c r="AE16" s="4">
        <f ca="1">IF(AND(YEAR(Ne1Lis+26)=Rok,MONTH(Ne1Lis+26)=11),Ne1Lis+26, "")</f>
        <v>44527</v>
      </c>
      <c r="AF16" s="4">
        <f ca="1">IF(AND(YEAR(Ne1Lis+27)=Rok,MONTH(Ne1Lis+27)=11),Ne1Lis+27, "")</f>
        <v>44528</v>
      </c>
    </row>
    <row r="17" spans="2:32" ht="18" customHeight="1" x14ac:dyDescent="0.25">
      <c r="B17" s="4" t="str">
        <f ca="1">IF(AND(YEAR(Ne1Úno+28)=Rok,MONTH(Ne1Úno+28)=2),Ne1Úno+28, "")</f>
        <v/>
      </c>
      <c r="C17" s="4" t="str">
        <f ca="1">IF(AND(YEAR(Ne1Úno+29)=Rok,MONTH(Ne1Úno+29)=2),Ne1Úno+29, "")</f>
        <v/>
      </c>
      <c r="D17" s="4" t="str">
        <f ca="1">IF(AND(YEAR(Ne1Úno+30)=Rok,MONTH(Ne1Úno+30)=2),Ne1Úno+30, "")</f>
        <v/>
      </c>
      <c r="E17" s="4" t="str">
        <f ca="1">IF(AND(YEAR(Ne1Úno+31)=Rok,MONTH(Ne1Úno+31)=2),Ne1Úno+31, "")</f>
        <v/>
      </c>
      <c r="F17" s="4" t="str">
        <f ca="1">IF(AND(YEAR(Ne1Úno+32)=Rok,MONTH(Ne1Úno+32)=2),Ne1Úno+32, "")</f>
        <v/>
      </c>
      <c r="G17" s="4" t="str">
        <f ca="1">IF(AND(YEAR(Ne1Úno+33)=Rok,MONTH(Ne1Úno+33)=2),Ne1Úno+33, "")</f>
        <v/>
      </c>
      <c r="H17" s="4" t="str">
        <f ca="1">IF(AND(YEAR(Ne1Úno+34)=Rok,MONTH(Ne1Úno+34)=2),Ne1Úno+34, "")</f>
        <v/>
      </c>
      <c r="J17" s="4">
        <f ca="1">IF(AND(YEAR(Ne1Kvě+28)=Rok,MONTH(Ne1Kvě+28)=5),Ne1Kvě+28, "")</f>
        <v>44340</v>
      </c>
      <c r="K17" s="4">
        <f ca="1">IF(AND(YEAR(Ne1Kvě+29)=Rok,MONTH(Ne1Kvě+29)=5),Ne1Kvě+29, "")</f>
        <v>44341</v>
      </c>
      <c r="L17" s="4">
        <f ca="1">IF(AND(YEAR(Ne1Kvě+30)=Rok,MONTH(Ne1Kvě+30)=5),Ne1Kvě+30, "")</f>
        <v>44342</v>
      </c>
      <c r="M17" s="4">
        <f ca="1">IF(AND(YEAR(Ne1Kvě+31)=Rok,MONTH(Ne1Kvě+31)=5),Ne1Kvě+31, "")</f>
        <v>44343</v>
      </c>
      <c r="N17" s="4">
        <f ca="1">IF(AND(YEAR(Ne1Kvě+32)=Rok,MONTH(Ne1Kvě+32)=5),Ne1Kvě+32, "")</f>
        <v>44344</v>
      </c>
      <c r="O17" s="4">
        <f ca="1">IF(AND(YEAR(Ne1Kvě+33)=Rok,MONTH(Ne1Kvě+33)=5),Ne1Kvě+33, "")</f>
        <v>44345</v>
      </c>
      <c r="P17" s="4">
        <f ca="1">IF(AND(YEAR(Ne1Kvě+34)=Rok,MONTH(Ne1Kvě+34)=5),Ne1Kvě+34, "")</f>
        <v>44346</v>
      </c>
      <c r="R17" s="4">
        <f ca="1">IF(AND(YEAR(Ne1Srp+28)=Rok,MONTH(Ne1Srp+28)=8),Ne1Srp+28, "")</f>
        <v>44431</v>
      </c>
      <c r="S17" s="4">
        <f ca="1">IF(AND(YEAR(Ne1Srp+29)=Rok,MONTH(Ne1Srp+29)=8),Ne1Srp+29, "")</f>
        <v>44432</v>
      </c>
      <c r="T17" s="4">
        <f ca="1">IF(AND(YEAR(Ne1Srp+30)=Rok,MONTH(Ne1Srp+30)=8),Ne1Srp+30, "")</f>
        <v>44433</v>
      </c>
      <c r="U17" s="4">
        <f ca="1">IF(AND(YEAR(Ne1Srp+31)=Rok,MONTH(Ne1Srp+31)=8),Ne1Srp+31, "")</f>
        <v>44434</v>
      </c>
      <c r="V17" s="4">
        <f ca="1">IF(AND(YEAR(Ne1Srp+32)=Rok,MONTH(Ne1Srp+32)=8),Ne1Srp+32, "")</f>
        <v>44435</v>
      </c>
      <c r="W17" s="4">
        <f ca="1">IF(AND(YEAR(Ne1Srp+33)=Rok,MONTH(Ne1Srp+33)=8),Ne1Srp+33, "")</f>
        <v>44436</v>
      </c>
      <c r="X17" s="4">
        <f ca="1">IF(AND(YEAR(Ne1Srp+34)=Rok,MONTH(Ne1Srp+34)=8),Ne1Srp+34, "")</f>
        <v>44437</v>
      </c>
      <c r="Z17" s="4">
        <f ca="1">IF(AND(YEAR(Ne1Lis+28)=Rok,MONTH(Ne1Lis+28)=11),Ne1Lis+28, "")</f>
        <v>44529</v>
      </c>
      <c r="AA17" s="4">
        <f ca="1">IF(AND(YEAR(Ne1Lis+29)=Rok,MONTH(Ne1Lis+29)=11),Ne1Lis+29, "")</f>
        <v>44530</v>
      </c>
      <c r="AB17" s="4" t="str">
        <f ca="1">IF(AND(YEAR(Ne1Lis+30)=Rok,MONTH(Ne1Lis+30)=11),Ne1Lis+30, "")</f>
        <v/>
      </c>
      <c r="AC17" s="4" t="str">
        <f ca="1">IF(AND(YEAR(Ne1Lis+31)=Rok,MONTH(Ne1Lis+31)=11),Ne1Lis+31, "")</f>
        <v/>
      </c>
      <c r="AD17" s="4" t="str">
        <f ca="1">IF(AND(YEAR(Ne1Lis+32)=Rok,MONTH(Ne1Lis+32)=11),Ne1Lis+32, "")</f>
        <v/>
      </c>
      <c r="AE17" s="4" t="str">
        <f ca="1">IF(AND(YEAR(Ne1Lis+33)=Rok,MONTH(Ne1Lis+33)=11),Ne1Lis+33, "")</f>
        <v/>
      </c>
      <c r="AF17" s="4" t="str">
        <f ca="1">IF(AND(YEAR(Ne1Lis+34)=Rok,MONTH(Ne1Lis+34)=11),Ne1Lis+34, "")</f>
        <v/>
      </c>
    </row>
    <row r="18" spans="2:32" ht="18" customHeight="1" x14ac:dyDescent="0.25">
      <c r="B18" s="4" t="str">
        <f ca="1">IF(AND(YEAR(Ne1Úno+35)=Rok,MONTH(Ne1Úno+35)=2),Ne1Úno+35, "")</f>
        <v/>
      </c>
      <c r="C18" s="4" t="str">
        <f ca="1">IF(AND(YEAR(Ne1Úno+36)=Rok,MONTH(Ne1Úno+36)=2),Ne1Úno+36, "")</f>
        <v/>
      </c>
      <c r="D18" s="4" t="str">
        <f ca="1">IF(AND(YEAR(Ne1Úno+37)=Rok,MONTH(Ne1Úno+37)=2),Ne1Úno+37, "")</f>
        <v/>
      </c>
      <c r="E18" s="4" t="str">
        <f ca="1">IF(AND(YEAR(Ne1Úno+38)=Rok,MONTH(Ne1Úno+38)=2),Ne1Úno+38, "")</f>
        <v/>
      </c>
      <c r="F18" s="4" t="str">
        <f ca="1">IF(AND(YEAR(Ne1Úno+39)=Rok,MONTH(Ne1Úno+39)=2),Ne1Úno+39, "")</f>
        <v/>
      </c>
      <c r="G18" s="4" t="str">
        <f ca="1">IF(AND(YEAR(Ne1Úno+40)=Rok,MONTH(Ne1Úno+40)=2),Ne1Úno+40, "")</f>
        <v/>
      </c>
      <c r="H18" s="4" t="str">
        <f ca="1">IF(AND(YEAR(Ne1Úno+41)=Rok,MONTH(Ne1Úno+41)=2),Ne1Úno+41, "")</f>
        <v/>
      </c>
      <c r="J18" s="4">
        <f ca="1">IF(AND(YEAR(Ne1Kvě+35)=Rok,MONTH(Ne1Kvě+35)=5),Ne1Kvě+35, "")</f>
        <v>44347</v>
      </c>
      <c r="K18" s="4" t="str">
        <f ca="1">IF(AND(YEAR(Ne1Kvě+36)=Rok,MONTH(Ne1Kvě+36)=5),Ne1Kvě+36, "")</f>
        <v/>
      </c>
      <c r="L18" s="4" t="str">
        <f ca="1">IF(AND(YEAR(Ne1Kvě+37)=Rok,MONTH(Ne1Kvě+37)=5),Ne1Kvě+37, "")</f>
        <v/>
      </c>
      <c r="M18" s="4" t="str">
        <f ca="1">IF(AND(YEAR(Ne1Kvě+38)=Rok,MONTH(Ne1Kvě+38)=5),Ne1Kvě+38, "")</f>
        <v/>
      </c>
      <c r="N18" s="4" t="str">
        <f ca="1">IF(AND(YEAR(Ne1Kvě+39)=Rok,MONTH(Ne1Kvě+39)=5),Ne1Kvě+39, "")</f>
        <v/>
      </c>
      <c r="O18" s="4" t="str">
        <f ca="1">IF(AND(YEAR(Ne1Kvě+40)=Rok,MONTH(Ne1Kvě+40)=5),Ne1Kvě+40, "")</f>
        <v/>
      </c>
      <c r="P18" s="4" t="str">
        <f ca="1">IF(AND(YEAR(Ne1Kvě+41)=Rok,MONTH(Ne1Kvě+41)=5),Ne1Kvě+41, "")</f>
        <v/>
      </c>
      <c r="R18" s="4">
        <f ca="1">IF(AND(YEAR(Ne1Srp+35)=Rok,MONTH(Ne1Srp+35)=8),Ne1Srp+35, "")</f>
        <v>44438</v>
      </c>
      <c r="S18" s="4">
        <f ca="1">IF(AND(YEAR(Ne1Srp+36)=Rok,MONTH(Ne1Srp+36)=8),Ne1Srp+36, "")</f>
        <v>44439</v>
      </c>
      <c r="T18" s="4" t="str">
        <f ca="1">IF(AND(YEAR(Ne1Srp+37)=Rok,MONTH(Ne1Srp+37)=8),Ne1Srp+37, "")</f>
        <v/>
      </c>
      <c r="U18" s="4" t="str">
        <f ca="1">IF(AND(YEAR(Ne1Srp+38)=Rok,MONTH(Ne1Srp+38)=8),Ne1Srp+38, "")</f>
        <v/>
      </c>
      <c r="V18" s="4" t="str">
        <f ca="1">IF(AND(YEAR(Ne1Srp+39)=Rok,MONTH(Ne1Srp+39)=8),Ne1Srp+39, "")</f>
        <v/>
      </c>
      <c r="W18" s="4" t="str">
        <f ca="1">IF(AND(YEAR(Ne1Srp+40)=Rok,MONTH(Ne1Srp+40)=8),Ne1Srp+40, "")</f>
        <v/>
      </c>
      <c r="X18" s="4" t="str">
        <f ca="1">IF(AND(YEAR(Ne1Srp+41)=Rok,MONTH(Ne1Srp+41)=8),Ne1Srp+41, "")</f>
        <v/>
      </c>
      <c r="Z18" s="4" t="str">
        <f ca="1">IF(AND(YEAR(Ne1Lis+35)=Rok,MONTH(Ne1Lis+35)=11),Ne1Lis+35, "")</f>
        <v/>
      </c>
      <c r="AA18" s="4" t="str">
        <f ca="1">IF(AND(YEAR(Ne1Lis+36)=Rok,MONTH(Ne1Lis+36)=11),Ne1Lis+36, "")</f>
        <v/>
      </c>
      <c r="AB18" s="4" t="str">
        <f ca="1">IF(AND(YEAR(Ne1Lis+37)=Rok,MONTH(Ne1Lis+37)=11),Ne1Lis+37, "")</f>
        <v/>
      </c>
      <c r="AC18" s="4" t="str">
        <f ca="1">IF(AND(YEAR(Ne1Lis+38)=Rok,MONTH(Ne1Lis+38)=11),Ne1Lis+38, "")</f>
        <v/>
      </c>
      <c r="AD18" s="4" t="str">
        <f ca="1">IF(AND(YEAR(Ne1Lis+39)=Rok,MONTH(Ne1Lis+39)=11),Ne1Lis+39, "")</f>
        <v/>
      </c>
      <c r="AE18" s="4" t="str">
        <f ca="1">IF(AND(YEAR(Ne1Lis+40)=Rok,MONTH(Ne1Lis+40)=11),Ne1Lis+40, "")</f>
        <v/>
      </c>
      <c r="AF18" s="4" t="str">
        <f ca="1">IF(AND(YEAR(Ne1Lis+41)=Rok,MONTH(Ne1Lis+41)=11),Ne1Lis+41, "")</f>
        <v/>
      </c>
    </row>
    <row r="20" spans="2:32" ht="18" customHeight="1" x14ac:dyDescent="0.25">
      <c r="B20" s="3" t="s">
        <v>3</v>
      </c>
      <c r="C20" s="3"/>
      <c r="D20" s="3"/>
      <c r="E20" s="3"/>
      <c r="F20" s="3"/>
      <c r="G20" s="3"/>
      <c r="H20" s="3"/>
      <c r="J20" s="3" t="s">
        <v>12</v>
      </c>
      <c r="K20" s="3"/>
      <c r="L20" s="3"/>
      <c r="M20" s="3"/>
      <c r="N20" s="3"/>
      <c r="O20" s="3"/>
      <c r="P20" s="3"/>
      <c r="R20" s="3" t="s">
        <v>15</v>
      </c>
      <c r="S20" s="3"/>
      <c r="T20" s="3"/>
      <c r="U20" s="3"/>
      <c r="V20" s="3"/>
      <c r="W20" s="3"/>
      <c r="X20" s="3"/>
      <c r="Z20" s="3" t="s">
        <v>18</v>
      </c>
      <c r="AA20" s="3"/>
      <c r="AB20" s="3"/>
      <c r="AC20" s="3"/>
      <c r="AD20" s="3"/>
      <c r="AE20" s="3"/>
      <c r="AF20" s="3"/>
    </row>
    <row r="21" spans="2:32" ht="18" customHeight="1" x14ac:dyDescent="0.25">
      <c r="B21" s="1" t="s">
        <v>1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J21" s="1" t="s">
        <v>1</v>
      </c>
      <c r="K21" s="1" t="s">
        <v>4</v>
      </c>
      <c r="L21" s="1" t="s">
        <v>5</v>
      </c>
      <c r="M21" s="1" t="s">
        <v>6</v>
      </c>
      <c r="N21" s="1" t="s">
        <v>7</v>
      </c>
      <c r="O21" s="1" t="s">
        <v>8</v>
      </c>
      <c r="P21" s="1" t="s">
        <v>9</v>
      </c>
      <c r="R21" s="1" t="s">
        <v>1</v>
      </c>
      <c r="S21" s="1" t="s">
        <v>4</v>
      </c>
      <c r="T21" s="1" t="s">
        <v>5</v>
      </c>
      <c r="U21" s="1" t="s">
        <v>6</v>
      </c>
      <c r="V21" s="1" t="s">
        <v>7</v>
      </c>
      <c r="W21" s="1" t="s">
        <v>8</v>
      </c>
      <c r="X21" s="1" t="s">
        <v>9</v>
      </c>
      <c r="Z21" s="1" t="s">
        <v>1</v>
      </c>
      <c r="AA21" s="1" t="s">
        <v>4</v>
      </c>
      <c r="AB21" s="1" t="s">
        <v>5</v>
      </c>
      <c r="AC21" s="1" t="s">
        <v>6</v>
      </c>
      <c r="AD21" s="1" t="s">
        <v>7</v>
      </c>
      <c r="AE21" s="1" t="s">
        <v>8</v>
      </c>
      <c r="AF21" s="1" t="s">
        <v>9</v>
      </c>
    </row>
    <row r="22" spans="2:32" ht="18" customHeight="1" x14ac:dyDescent="0.25">
      <c r="B22" s="4">
        <f ca="1">IF(AND(YEAR(Ne1Bře)=Rok,MONTH(Ne1Bře)=3),Ne1Bře, "")</f>
        <v>44256</v>
      </c>
      <c r="C22" s="4">
        <f ca="1">IF(AND(YEAR(Ne1Bře+1)=Rok,MONTH(Ne1Bře+1)=3),Ne1Bře+1, "")</f>
        <v>44257</v>
      </c>
      <c r="D22" s="4">
        <f ca="1">IF(AND(YEAR(Ne1Bře+2)=Rok,MONTH(Ne1Bře+2)=3),Ne1Bře+2, "")</f>
        <v>44258</v>
      </c>
      <c r="E22" s="4">
        <f ca="1">IF(AND(YEAR(Ne1Bře+3)=Rok,MONTH(Ne1Bře+3)=3),Ne1Bře+3, "")</f>
        <v>44259</v>
      </c>
      <c r="F22" s="4">
        <f ca="1">IF(AND(YEAR(Ne1Bře+4)=Rok,MONTH(Ne1Bře+4)=3),Ne1Bře+4, "")</f>
        <v>44260</v>
      </c>
      <c r="G22" s="4">
        <f ca="1">IF(AND(YEAR(Ne1Bře+5)=Rok,MONTH(Ne1Bře+5)=3),Ne1Bře+5, "")</f>
        <v>44261</v>
      </c>
      <c r="H22" s="4">
        <f ca="1">IF(AND(YEAR(Ne1Bře+6)=Rok,MONTH(Ne1Bře+6)=3),Ne1Bře+6, "")</f>
        <v>44262</v>
      </c>
      <c r="J22" s="4" t="str">
        <f ca="1">IF(AND(YEAR(Ne1Čer)=Rok,MONTH(Ne1Čer)=6),Ne1Čer, "")</f>
        <v/>
      </c>
      <c r="K22" s="4">
        <f ca="1">IF(AND(YEAR(Ne1Čer+1)=Rok,MONTH(Ne1Čer+1)=6),Ne1Čer+1, "")</f>
        <v>44348</v>
      </c>
      <c r="L22" s="4">
        <f ca="1">IF(AND(YEAR(Ne1Čer+2)=Rok,MONTH(Ne1Čer+2)=6),Ne1Čer+2, "")</f>
        <v>44349</v>
      </c>
      <c r="M22" s="4">
        <f ca="1">IF(AND(YEAR(Ne1Čer+3)=Rok,MONTH(Ne1Čer+3)=6),Ne1Čer+3, "")</f>
        <v>44350</v>
      </c>
      <c r="N22" s="4">
        <f ca="1">IF(AND(YEAR(Ne1Čer+4)=Rok,MONTH(Ne1Čer+4)=6),Ne1Čer+4, "")</f>
        <v>44351</v>
      </c>
      <c r="O22" s="4">
        <f ca="1">IF(AND(YEAR(Ne1Čer+5)=Rok,MONTH(Ne1Čer+5)=6),Ne1Čer+5, "")</f>
        <v>44352</v>
      </c>
      <c r="P22" s="4">
        <f ca="1">IF(AND(YEAR(Ne1Čer+6)=Rok,MONTH(Ne1Čer+6)=6),Ne1Čer+6, "")</f>
        <v>44353</v>
      </c>
      <c r="R22" s="4" t="str">
        <f ca="1">IF(AND(YEAR(Ne1Zář)=Rok,MONTH(Ne1Zář)=9),Ne1Zář, "")</f>
        <v/>
      </c>
      <c r="S22" s="4" t="str">
        <f ca="1">IF(AND(YEAR(Ne1Zář+1)=Rok,MONTH(Ne1Zář+1)=9),Ne1Zář+1, "")</f>
        <v/>
      </c>
      <c r="T22" s="4">
        <f ca="1">IF(AND(YEAR(Ne1Zář+2)=Rok,MONTH(Ne1Zář+2)=9),Ne1Zář+2, "")</f>
        <v>44440</v>
      </c>
      <c r="U22" s="4">
        <f ca="1">IF(AND(YEAR(Ne1Zář+3)=Rok,MONTH(Ne1Zář+3)=9),Ne1Zář+3, "")</f>
        <v>44441</v>
      </c>
      <c r="V22" s="4">
        <f ca="1">IF(AND(YEAR(Ne1Zář+4)=Rok,MONTH(Ne1Zář+4)=9),Ne1Zář+4, "")</f>
        <v>44442</v>
      </c>
      <c r="W22" s="4">
        <f ca="1">IF(AND(YEAR(Ne1Zář+5)=Rok,MONTH(Ne1Zář+5)=9),Ne1Zář+5, "")</f>
        <v>44443</v>
      </c>
      <c r="X22" s="4">
        <f ca="1">IF(AND(YEAR(Ne1Zář+6)=Rok,MONTH(Ne1Zář+6)=9),Ne1Zář+6, "")</f>
        <v>44444</v>
      </c>
      <c r="Z22" s="4" t="str">
        <f ca="1">IF(AND(YEAR(Ne1Pro)=Rok,MONTH(Ne1Pro)=12),Ne1Pro, "")</f>
        <v/>
      </c>
      <c r="AA22" s="4" t="str">
        <f ca="1">IF(AND(YEAR(Ne1Pro+1)=Rok,MONTH(Ne1Pro+1)=12),Ne1Pro+1, "")</f>
        <v/>
      </c>
      <c r="AB22" s="4">
        <f ca="1">IF(AND(YEAR(Ne1Pro+2)=Rok,MONTH(Ne1Pro+2)=12),Ne1Pro+2, "")</f>
        <v>44531</v>
      </c>
      <c r="AC22" s="4">
        <f ca="1">IF(AND(YEAR(Ne1Pro+3)=Rok,MONTH(Ne1Pro+3)=12),Ne1Pro+3, "")</f>
        <v>44532</v>
      </c>
      <c r="AD22" s="4">
        <f ca="1">IF(AND(YEAR(Ne1Pro+4)=Rok,MONTH(Ne1Pro+4)=12),Ne1Pro+4, "")</f>
        <v>44533</v>
      </c>
      <c r="AE22" s="4">
        <f ca="1">IF(AND(YEAR(Ne1Pro+5)=Rok,MONTH(Ne1Pro+5)=12),Ne1Pro+5, "")</f>
        <v>44534</v>
      </c>
      <c r="AF22" s="4">
        <f ca="1">IF(AND(YEAR(Ne1Pro+6)=Rok,MONTH(Ne1Pro+6)=12),Ne1Pro+6, "")</f>
        <v>44535</v>
      </c>
    </row>
    <row r="23" spans="2:32" ht="18" customHeight="1" x14ac:dyDescent="0.25">
      <c r="B23" s="4">
        <f ca="1">IF(AND(YEAR(Ne1Bře+7)=Rok,MONTH(Ne1Bře+7)=3),Ne1Bře+7, "")</f>
        <v>44263</v>
      </c>
      <c r="C23" s="4">
        <f ca="1">IF(AND(YEAR(Ne1Bře+8)=Rok,MONTH(Ne1Bře+8)=3),Ne1Bře+8, "")</f>
        <v>44264</v>
      </c>
      <c r="D23" s="4">
        <f ca="1">IF(AND(YEAR(Ne1Bře+9)=Rok,MONTH(Ne1Bře+9)=3),Ne1Bře+9, "")</f>
        <v>44265</v>
      </c>
      <c r="E23" s="4">
        <f ca="1">IF(AND(YEAR(Ne1Bře+10)=Rok,MONTH(Ne1Bře+10)=3),Ne1Bře+10, "")</f>
        <v>44266</v>
      </c>
      <c r="F23" s="4">
        <f ca="1">IF(AND(YEAR(Ne1Bře+11)=Rok,MONTH(Ne1Bře+11)=3),Ne1Bře+11, "")</f>
        <v>44267</v>
      </c>
      <c r="G23" s="4">
        <f ca="1">IF(AND(YEAR(Ne1Bře+12)=Rok,MONTH(Ne1Bře+12)=3),Ne1Bře+12, "")</f>
        <v>44268</v>
      </c>
      <c r="H23" s="4">
        <f ca="1">IF(AND(YEAR(Ne1Bře+13)=Rok,MONTH(Ne1Bře+13)=3),Ne1Bře+13, "")</f>
        <v>44269</v>
      </c>
      <c r="J23" s="4">
        <f ca="1">IF(AND(YEAR(Ne1Čer+7)=Rok,MONTH(Ne1Čer+7)=6),Ne1Čer+7, "")</f>
        <v>44354</v>
      </c>
      <c r="K23" s="4">
        <f ca="1">IF(AND(YEAR(Ne1Čer+8)=Rok,MONTH(Ne1Čer+8)=6),Ne1Čer+8, "")</f>
        <v>44355</v>
      </c>
      <c r="L23" s="4">
        <f ca="1">IF(AND(YEAR(Ne1Čer+9)=Rok,MONTH(Ne1Čer+9)=6),Ne1Čer+9, "")</f>
        <v>44356</v>
      </c>
      <c r="M23" s="4">
        <f ca="1">IF(AND(YEAR(Ne1Čer+10)=Rok,MONTH(Ne1Čer+10)=6),Ne1Čer+10, "")</f>
        <v>44357</v>
      </c>
      <c r="N23" s="4">
        <f ca="1">IF(AND(YEAR(Ne1Čer+11)=Rok,MONTH(Ne1Čer+11)=6),Ne1Čer+11, "")</f>
        <v>44358</v>
      </c>
      <c r="O23" s="4">
        <f ca="1">IF(AND(YEAR(Ne1Čer+12)=Rok,MONTH(Ne1Čer+12)=6),Ne1Čer+12, "")</f>
        <v>44359</v>
      </c>
      <c r="P23" s="4">
        <f ca="1">IF(AND(YEAR(Ne1Čer+13)=Rok,MONTH(Ne1Čer+13)=6),Ne1Čer+13, "")</f>
        <v>44360</v>
      </c>
      <c r="R23" s="4">
        <f ca="1">IF(AND(YEAR(Ne1Zář+7)=Rok,MONTH(Ne1Zář+7)=9),Ne1Zář+7, "")</f>
        <v>44445</v>
      </c>
      <c r="S23" s="4">
        <f ca="1">IF(AND(YEAR(Ne1Zář+8)=Rok,MONTH(Ne1Zář+8)=9),Ne1Zář+8, "")</f>
        <v>44446</v>
      </c>
      <c r="T23" s="4">
        <f ca="1">IF(AND(YEAR(Ne1Zář+9)=Rok,MONTH(Ne1Zář+9)=9),Ne1Zář+9, "")</f>
        <v>44447</v>
      </c>
      <c r="U23" s="4">
        <f ca="1">IF(AND(YEAR(Ne1Zář+10)=Rok,MONTH(Ne1Zář+10)=9),Ne1Zář+10, "")</f>
        <v>44448</v>
      </c>
      <c r="V23" s="4">
        <f ca="1">IF(AND(YEAR(Ne1Zář+11)=Rok,MONTH(Ne1Zář+11)=9),Ne1Zář+11, "")</f>
        <v>44449</v>
      </c>
      <c r="W23" s="4">
        <f ca="1">IF(AND(YEAR(Ne1Zář+12)=Rok,MONTH(Ne1Zář+12)=9),Ne1Zář+12, "")</f>
        <v>44450</v>
      </c>
      <c r="X23" s="4">
        <f ca="1">IF(AND(YEAR(Ne1Zář+13)=Rok,MONTH(Ne1Zář+13)=9),Ne1Zář+13, "")</f>
        <v>44451</v>
      </c>
      <c r="Z23" s="4">
        <f ca="1">IF(AND(YEAR(Ne1Pro+7)=Rok,MONTH(Ne1Pro+7)=12),Ne1Pro+7, "")</f>
        <v>44536</v>
      </c>
      <c r="AA23" s="4">
        <f ca="1">IF(AND(YEAR(Ne1Pro+8)=Rok,MONTH(Ne1Pro+8)=12),Ne1Pro+8, "")</f>
        <v>44537</v>
      </c>
      <c r="AB23" s="4">
        <f ca="1">IF(AND(YEAR(Ne1Pro+9)=Rok,MONTH(Ne1Pro+9)=12),Ne1Pro+9, "")</f>
        <v>44538</v>
      </c>
      <c r="AC23" s="4">
        <f ca="1">IF(AND(YEAR(Ne1Pro+10)=Rok,MONTH(Ne1Pro+10)=12),Ne1Pro+10, "")</f>
        <v>44539</v>
      </c>
      <c r="AD23" s="4">
        <f ca="1">IF(AND(YEAR(Ne1Pro+11)=Rok,MONTH(Ne1Pro+11)=12),Ne1Pro+11, "")</f>
        <v>44540</v>
      </c>
      <c r="AE23" s="4">
        <f ca="1">IF(AND(YEAR(Ne1Pro+12)=Rok,MONTH(Ne1Pro+12)=12),Ne1Pro+12, "")</f>
        <v>44541</v>
      </c>
      <c r="AF23" s="4">
        <f ca="1">IF(AND(YEAR(Ne1Pro+13)=Rok,MONTH(Ne1Pro+13)=12),Ne1Pro+13, "")</f>
        <v>44542</v>
      </c>
    </row>
    <row r="24" spans="2:32" ht="18" customHeight="1" x14ac:dyDescent="0.25">
      <c r="B24" s="4">
        <f ca="1">IF(AND(YEAR(Ne1Bře+14)=Rok,MONTH(Ne1Bře+14)=3),Ne1Bře+14, "")</f>
        <v>44270</v>
      </c>
      <c r="C24" s="4">
        <f ca="1">IF(AND(YEAR(Ne1Bře+15)=Rok,MONTH(Ne1Bře+15)=3),Ne1Bře+15, "")</f>
        <v>44271</v>
      </c>
      <c r="D24" s="4">
        <f ca="1">IF(AND(YEAR(Ne1Bře+16)=Rok,MONTH(Ne1Bře+16)=3),Ne1Bře+16, "")</f>
        <v>44272</v>
      </c>
      <c r="E24" s="4">
        <f ca="1">IF(AND(YEAR(Ne1Bře+17)=Rok,MONTH(Ne1Bře+17)=3),Ne1Bře+17, "")</f>
        <v>44273</v>
      </c>
      <c r="F24" s="4">
        <f ca="1">IF(AND(YEAR(Ne1Bře+18)=Rok,MONTH(Ne1Bře+18)=3),Ne1Bře+18, "")</f>
        <v>44274</v>
      </c>
      <c r="G24" s="4">
        <f ca="1">IF(AND(YEAR(Ne1Bře+19)=Rok,MONTH(Ne1Bře+19)=3),Ne1Bře+19, "")</f>
        <v>44275</v>
      </c>
      <c r="H24" s="4">
        <f ca="1">IF(AND(YEAR(Ne1Bře+20)=Rok,MONTH(Ne1Bře+20)=3),Ne1Bře+20, "")</f>
        <v>44276</v>
      </c>
      <c r="J24" s="4">
        <f ca="1">IF(AND(YEAR(Ne1Čer+14)=Rok,MONTH(Ne1Čer+14)=6),Ne1Čer+14, "")</f>
        <v>44361</v>
      </c>
      <c r="K24" s="4">
        <f ca="1">IF(AND(YEAR(Ne1Čer+15)=Rok,MONTH(Ne1Čer+15)=6),Ne1Čer+15, "")</f>
        <v>44362</v>
      </c>
      <c r="L24" s="4">
        <f ca="1">IF(AND(YEAR(Ne1Čer+16)=Rok,MONTH(Ne1Čer+16)=6),Ne1Čer+16, "")</f>
        <v>44363</v>
      </c>
      <c r="M24" s="4">
        <f ca="1">IF(AND(YEAR(Ne1Čer+17)=Rok,MONTH(Ne1Čer+17)=6),Ne1Čer+17, "")</f>
        <v>44364</v>
      </c>
      <c r="N24" s="4">
        <f ca="1">IF(AND(YEAR(Ne1Čer+18)=Rok,MONTH(Ne1Čer+18)=6),Ne1Čer+18, "")</f>
        <v>44365</v>
      </c>
      <c r="O24" s="4">
        <f ca="1">IF(AND(YEAR(Ne1Čer+19)=Rok,MONTH(Ne1Čer+19)=6),Ne1Čer+19, "")</f>
        <v>44366</v>
      </c>
      <c r="P24" s="4">
        <f ca="1">IF(AND(YEAR(Ne1Čer+20)=Rok,MONTH(Ne1Čer+20)=6),Ne1Čer+20, "")</f>
        <v>44367</v>
      </c>
      <c r="R24" s="4">
        <f ca="1">IF(AND(YEAR(Ne1Zář+14)=Rok,MONTH(Ne1Zář+14)=9),Ne1Zář+14, "")</f>
        <v>44452</v>
      </c>
      <c r="S24" s="4">
        <f ca="1">IF(AND(YEAR(Ne1Zář+15)=Rok,MONTH(Ne1Zář+15)=9),Ne1Zář+15, "")</f>
        <v>44453</v>
      </c>
      <c r="T24" s="4">
        <f ca="1">IF(AND(YEAR(Ne1Zář+16)=Rok,MONTH(Ne1Zář+16)=9),Ne1Zář+16, "")</f>
        <v>44454</v>
      </c>
      <c r="U24" s="4">
        <f ca="1">IF(AND(YEAR(Ne1Zář+17)=Rok,MONTH(Ne1Zář+17)=9),Ne1Zář+17, "")</f>
        <v>44455</v>
      </c>
      <c r="V24" s="4">
        <f ca="1">IF(AND(YEAR(Ne1Zář+18)=Rok,MONTH(Ne1Zář+18)=9),Ne1Zář+18, "")</f>
        <v>44456</v>
      </c>
      <c r="W24" s="4">
        <f ca="1">IF(AND(YEAR(Ne1Zář+19)=Rok,MONTH(Ne1Zář+19)=9),Ne1Zář+19, "")</f>
        <v>44457</v>
      </c>
      <c r="X24" s="4">
        <f ca="1">IF(AND(YEAR(Ne1Zář+20)=Rok,MONTH(Ne1Zář+20)=9),Ne1Zář+20, "")</f>
        <v>44458</v>
      </c>
      <c r="Z24" s="4">
        <f ca="1">IF(AND(YEAR(Ne1Pro+14)=Rok,MONTH(Ne1Pro+14)=12),Ne1Pro+14, "")</f>
        <v>44543</v>
      </c>
      <c r="AA24" s="4">
        <f ca="1">IF(AND(YEAR(Ne1Pro+15)=Rok,MONTH(Ne1Pro+15)=12),Ne1Pro+15, "")</f>
        <v>44544</v>
      </c>
      <c r="AB24" s="4">
        <f ca="1">IF(AND(YEAR(Ne1Pro+16)=Rok,MONTH(Ne1Pro+16)=12),Ne1Pro+16, "")</f>
        <v>44545</v>
      </c>
      <c r="AC24" s="4">
        <f ca="1">IF(AND(YEAR(Ne1Pro+17)=Rok,MONTH(Ne1Pro+17)=12),Ne1Pro+17, "")</f>
        <v>44546</v>
      </c>
      <c r="AD24" s="4">
        <f ca="1">IF(AND(YEAR(Ne1Pro+18)=Rok,MONTH(Ne1Pro+18)=12),Ne1Pro+18, "")</f>
        <v>44547</v>
      </c>
      <c r="AE24" s="4">
        <f ca="1">IF(AND(YEAR(Ne1Pro+19)=Rok,MONTH(Ne1Pro+19)=12),Ne1Pro+19, "")</f>
        <v>44548</v>
      </c>
      <c r="AF24" s="4">
        <f ca="1">IF(AND(YEAR(Ne1Pro+20)=Rok,MONTH(Ne1Pro+20)=12),Ne1Pro+20, "")</f>
        <v>44549</v>
      </c>
    </row>
    <row r="25" spans="2:32" ht="18" customHeight="1" x14ac:dyDescent="0.25">
      <c r="B25" s="4">
        <f ca="1">IF(AND(YEAR(Ne1Bře+21)=Rok,MONTH(Ne1Bře+21)=3),Ne1Bře+21, "")</f>
        <v>44277</v>
      </c>
      <c r="C25" s="4">
        <f ca="1">IF(AND(YEAR(Ne1Bře+22)=Rok,MONTH(Ne1Bře+22)=3),Ne1Bře+22, "")</f>
        <v>44278</v>
      </c>
      <c r="D25" s="4">
        <f ca="1">IF(AND(YEAR(Ne1Bře+23)=Rok,MONTH(Ne1Bře+23)=3),Ne1Bře+23, "")</f>
        <v>44279</v>
      </c>
      <c r="E25" s="4">
        <f ca="1">IF(AND(YEAR(Ne1Bře+24)=Rok,MONTH(Ne1Bře+24)=3),Ne1Bře+24, "")</f>
        <v>44280</v>
      </c>
      <c r="F25" s="4">
        <f ca="1">IF(AND(YEAR(Ne1Bře+25)=Rok,MONTH(Ne1Bře+25)=3),Ne1Bře+25, "")</f>
        <v>44281</v>
      </c>
      <c r="G25" s="4">
        <f ca="1">IF(AND(YEAR(Ne1Bře+26)=Rok,MONTH(Ne1Bře+26)=3),Ne1Bře+26, "")</f>
        <v>44282</v>
      </c>
      <c r="H25" s="4">
        <f ca="1">IF(AND(YEAR(Ne1Bře+27)=Rok,MONTH(Ne1Bře+27)=3),Ne1Bře+27, "")</f>
        <v>44283</v>
      </c>
      <c r="J25" s="4">
        <f ca="1">IF(AND(YEAR(Ne1Čer+21)=Rok,MONTH(Ne1Čer+21)=6),Ne1Čer+21, "")</f>
        <v>44368</v>
      </c>
      <c r="K25" s="4">
        <f ca="1">IF(AND(YEAR(Ne1Čer+22)=Rok,MONTH(Ne1Čer+22)=6),Ne1Čer+22, "")</f>
        <v>44369</v>
      </c>
      <c r="L25" s="4">
        <f ca="1">IF(AND(YEAR(Ne1Čer+23)=Rok,MONTH(Ne1Čer+23)=6),Ne1Čer+23, "")</f>
        <v>44370</v>
      </c>
      <c r="M25" s="4">
        <f ca="1">IF(AND(YEAR(Ne1Čer+24)=Rok,MONTH(Ne1Čer+24)=6),Ne1Čer+24, "")</f>
        <v>44371</v>
      </c>
      <c r="N25" s="4">
        <f ca="1">IF(AND(YEAR(Ne1Čer+25)=Rok,MONTH(Ne1Čer+25)=6),Ne1Čer+25, "")</f>
        <v>44372</v>
      </c>
      <c r="O25" s="4">
        <f ca="1">IF(AND(YEAR(Ne1Čer+26)=Rok,MONTH(Ne1Čer+26)=6),Ne1Čer+26, "")</f>
        <v>44373</v>
      </c>
      <c r="P25" s="4">
        <f ca="1">IF(AND(YEAR(Ne1Čer+27)=Rok,MONTH(Ne1Čer+27)=6),Ne1Čer+27, "")</f>
        <v>44374</v>
      </c>
      <c r="R25" s="4">
        <f ca="1">IF(AND(YEAR(Ne1Zář+21)=Rok,MONTH(Ne1Zář+21)=9),Ne1Zář+21, "")</f>
        <v>44459</v>
      </c>
      <c r="S25" s="4">
        <f ca="1">IF(AND(YEAR(Ne1Zář+22)=Rok,MONTH(Ne1Zář+22)=9),Ne1Zář+22, "")</f>
        <v>44460</v>
      </c>
      <c r="T25" s="4">
        <f ca="1">IF(AND(YEAR(Ne1Zář+23)=Rok,MONTH(Ne1Zář+23)=9),Ne1Zář+23, "")</f>
        <v>44461</v>
      </c>
      <c r="U25" s="4">
        <f ca="1">IF(AND(YEAR(Ne1Zář+24)=Rok,MONTH(Ne1Zář+24)=9),Ne1Zář+24, "")</f>
        <v>44462</v>
      </c>
      <c r="V25" s="4">
        <f ca="1">IF(AND(YEAR(Ne1Zář+25)=Rok,MONTH(Ne1Zář+25)=9),Ne1Zář+25, "")</f>
        <v>44463</v>
      </c>
      <c r="W25" s="4">
        <f ca="1">IF(AND(YEAR(Ne1Zář+26)=Rok,MONTH(Ne1Zář+26)=9),Ne1Zář+26, "")</f>
        <v>44464</v>
      </c>
      <c r="X25" s="4">
        <f ca="1">IF(AND(YEAR(Ne1Zář+27)=Rok,MONTH(Ne1Zář+27)=9),Ne1Zář+27, "")</f>
        <v>44465</v>
      </c>
      <c r="Z25" s="4">
        <f ca="1">IF(AND(YEAR(Ne1Pro+21)=Rok,MONTH(Ne1Pro+21)=12),Ne1Pro+21, "")</f>
        <v>44550</v>
      </c>
      <c r="AA25" s="4">
        <f ca="1">IF(AND(YEAR(Ne1Pro+22)=Rok,MONTH(Ne1Pro+22)=12),Ne1Pro+22, "")</f>
        <v>44551</v>
      </c>
      <c r="AB25" s="4">
        <f ca="1">IF(AND(YEAR(Ne1Pro+23)=Rok,MONTH(Ne1Pro+23)=12),Ne1Pro+23, "")</f>
        <v>44552</v>
      </c>
      <c r="AC25" s="4">
        <f ca="1">IF(AND(YEAR(Ne1Pro+24)=Rok,MONTH(Ne1Pro+24)=12),Ne1Pro+24, "")</f>
        <v>44553</v>
      </c>
      <c r="AD25" s="4">
        <f ca="1">IF(AND(YEAR(Ne1Pro+25)=Rok,MONTH(Ne1Pro+25)=12),Ne1Pro+25, "")</f>
        <v>44554</v>
      </c>
      <c r="AE25" s="4">
        <f ca="1">IF(AND(YEAR(Ne1Pro+26)=Rok,MONTH(Ne1Pro+26)=12),Ne1Pro+26, "")</f>
        <v>44555</v>
      </c>
      <c r="AF25" s="4">
        <f ca="1">IF(AND(YEAR(Ne1Pro+27)=Rok,MONTH(Ne1Pro+27)=12),Ne1Pro+27, "")</f>
        <v>44556</v>
      </c>
    </row>
    <row r="26" spans="2:32" ht="18" customHeight="1" x14ac:dyDescent="0.25">
      <c r="B26" s="4">
        <f ca="1">IF(AND(YEAR(Ne1Bře+28)=Rok,MONTH(Ne1Bře+28)=3),Ne1Bře+28, "")</f>
        <v>44284</v>
      </c>
      <c r="C26" s="4">
        <f ca="1">IF(AND(YEAR(Ne1Bře+29)=Rok,MONTH(Ne1Bře+29)=3),Ne1Bře+29, "")</f>
        <v>44285</v>
      </c>
      <c r="D26" s="4">
        <f ca="1">IF(AND(YEAR(Ne1Bře+30)=Rok,MONTH(Ne1Bře+30)=3),Ne1Bře+30, "")</f>
        <v>44286</v>
      </c>
      <c r="E26" s="4" t="str">
        <f ca="1">IF(AND(YEAR(Ne1Bře+31)=Rok,MONTH(Ne1Bře+31)=3),Ne1Bře+31, "")</f>
        <v/>
      </c>
      <c r="F26" s="4" t="str">
        <f ca="1">IF(AND(YEAR(Ne1Bře+32)=Rok,MONTH(Ne1Bře+32)=3),Ne1Bře+32, "")</f>
        <v/>
      </c>
      <c r="G26" s="4" t="str">
        <f ca="1">IF(AND(YEAR(Ne1Bře+33)=Rok,MONTH(Ne1Bře+33)=3),Ne1Bře+33, "")</f>
        <v/>
      </c>
      <c r="H26" s="4" t="str">
        <f ca="1">IF(AND(YEAR(Ne1Bře+34)=Rok,MONTH(Ne1Bře+34)=3),Ne1Bře+34, "")</f>
        <v/>
      </c>
      <c r="J26" s="4">
        <f ca="1">IF(AND(YEAR(Ne1Čer+28)=Rok,MONTH(Ne1Čer+28)=6),Ne1Čer+28, "")</f>
        <v>44375</v>
      </c>
      <c r="K26" s="4">
        <f ca="1">IF(AND(YEAR(Ne1Čer+29)=Rok,MONTH(Ne1Čer+29)=6),Ne1Čer+29, "")</f>
        <v>44376</v>
      </c>
      <c r="L26" s="4">
        <f ca="1">IF(AND(YEAR(Ne1Čer+30)=Rok,MONTH(Ne1Čer+30)=6),Ne1Čer+30, "")</f>
        <v>44377</v>
      </c>
      <c r="M26" s="4" t="str">
        <f ca="1">IF(AND(YEAR(Ne1Čer+31)=Rok,MONTH(Ne1Čer+31)=6),Ne1Čer+31, "")</f>
        <v/>
      </c>
      <c r="N26" s="4" t="str">
        <f ca="1">IF(AND(YEAR(Ne1Čer+32)=Rok,MONTH(Ne1Čer+32)=6),Ne1Čer+32, "")</f>
        <v/>
      </c>
      <c r="O26" s="4" t="str">
        <f ca="1">IF(AND(YEAR(Ne1Čer+33)=Rok,MONTH(Ne1Čer+33)=6),Ne1Čer+33, "")</f>
        <v/>
      </c>
      <c r="P26" s="4" t="str">
        <f ca="1">IF(AND(YEAR(Ne1Čer+34)=Rok,MONTH(Ne1Čer+34)=6),Ne1Čer+34, "")</f>
        <v/>
      </c>
      <c r="R26" s="4">
        <f ca="1">IF(AND(YEAR(Ne1Zář+28)=Rok,MONTH(Ne1Zář+28)=9),Ne1Zář+28, "")</f>
        <v>44466</v>
      </c>
      <c r="S26" s="4">
        <f ca="1">IF(AND(YEAR(Ne1Zář+29)=Rok,MONTH(Ne1Zář+29)=9),Ne1Zář+29, "")</f>
        <v>44467</v>
      </c>
      <c r="T26" s="4">
        <f ca="1">IF(AND(YEAR(Ne1Zář+30)=Rok,MONTH(Ne1Zář+30)=9),Ne1Zář+30, "")</f>
        <v>44468</v>
      </c>
      <c r="U26" s="4">
        <f ca="1">IF(AND(YEAR(Ne1Zář+31)=Rok,MONTH(Ne1Zář+31)=9),Ne1Zář+31, "")</f>
        <v>44469</v>
      </c>
      <c r="V26" s="4" t="str">
        <f ca="1">IF(AND(YEAR(Ne1Zář+32)=Rok,MONTH(Ne1Zář+32)=9),Ne1Zář+32, "")</f>
        <v/>
      </c>
      <c r="W26" s="4" t="str">
        <f ca="1">IF(AND(YEAR(Ne1Zář+33)=Rok,MONTH(Ne1Zář+33)=9),Ne1Zář+33, "")</f>
        <v/>
      </c>
      <c r="X26" s="4" t="str">
        <f ca="1">IF(AND(YEAR(Ne1Zář+34)=Rok,MONTH(Ne1Zář+34)=9),Ne1Zář+34, "")</f>
        <v/>
      </c>
      <c r="Z26" s="4">
        <f ca="1">IF(AND(YEAR(Ne1Pro+28)=Rok,MONTH(Ne1Pro+28)=12),Ne1Pro+28, "")</f>
        <v>44557</v>
      </c>
      <c r="AA26" s="4">
        <f ca="1">IF(AND(YEAR(Ne1Pro+29)=Rok,MONTH(Ne1Pro+29)=12),Ne1Pro+29, "")</f>
        <v>44558</v>
      </c>
      <c r="AB26" s="4">
        <f ca="1">IF(AND(YEAR(Ne1Pro+30)=Rok,MONTH(Ne1Pro+30)=12),Ne1Pro+30, "")</f>
        <v>44559</v>
      </c>
      <c r="AC26" s="4">
        <f ca="1">IF(AND(YEAR(Ne1Pro+31)=Rok,MONTH(Ne1Pro+31)=12),Ne1Pro+31, "")</f>
        <v>44560</v>
      </c>
      <c r="AD26" s="4">
        <f ca="1">IF(AND(YEAR(Ne1Pro+32)=Rok,MONTH(Ne1Pro+32)=12),Ne1Pro+32, "")</f>
        <v>44561</v>
      </c>
      <c r="AE26" s="4" t="str">
        <f ca="1">IF(AND(YEAR(Ne1Pro+33)=Rok,MONTH(Ne1Pro+33)=12),Ne1Pro+33, "")</f>
        <v/>
      </c>
      <c r="AF26" s="4" t="str">
        <f ca="1">IF(AND(YEAR(Ne1Pro+34)=Rok,MONTH(Ne1Pro+34)=12),Ne1Pro+34, "")</f>
        <v/>
      </c>
    </row>
    <row r="27" spans="2:32" ht="18" customHeight="1" x14ac:dyDescent="0.25">
      <c r="B27" s="4" t="str">
        <f ca="1">IF(AND(YEAR(Ne1Bře+35)=Rok,MONTH(Ne1Bře+35)=3),Ne1Bře+35, "")</f>
        <v/>
      </c>
      <c r="C27" s="4" t="str">
        <f ca="1">IF(AND(YEAR(Ne1Bře+36)=Rok,MONTH(Ne1Bře+36)=3),Ne1Bře+36, "")</f>
        <v/>
      </c>
      <c r="D27" s="4" t="str">
        <f ca="1">IF(AND(YEAR(Ne1Bře+37)=Rok,MONTH(Ne1Bře+37)=3),Ne1Bře+37, "")</f>
        <v/>
      </c>
      <c r="E27" s="4" t="str">
        <f ca="1">IF(AND(YEAR(Ne1Bře+38)=Rok,MONTH(Ne1Bře+38)=3),Ne1Bře+38, "")</f>
        <v/>
      </c>
      <c r="F27" s="4" t="str">
        <f ca="1">IF(AND(YEAR(Ne1Bře+39)=Rok,MONTH(Ne1Bře+39)=3),Ne1Bře+39, "")</f>
        <v/>
      </c>
      <c r="G27" s="4" t="str">
        <f ca="1">IF(AND(YEAR(Ne1Bře+40)=Rok,MONTH(Ne1Bře+40)=3),Ne1Bře+40, "")</f>
        <v/>
      </c>
      <c r="H27" s="4" t="str">
        <f ca="1">IF(AND(YEAR(Ne1Bře+41)=Rok,MONTH(Ne1Bře+41)=3),Ne1Bře+41, "")</f>
        <v/>
      </c>
      <c r="J27" s="4" t="str">
        <f ca="1">IF(AND(YEAR(Ne1Čer+35)=Rok,MONTH(Ne1Čer+35)=6),Ne1Čer+35, "")</f>
        <v/>
      </c>
      <c r="K27" s="4" t="str">
        <f ca="1">IF(AND(YEAR(Ne1Čer+36)=Rok,MONTH(Ne1Čer+36)=6),Ne1Čer+36, "")</f>
        <v/>
      </c>
      <c r="L27" s="4" t="str">
        <f ca="1">IF(AND(YEAR(Ne1Čer+37)=Rok,MONTH(Ne1Čer+37)=6),Ne1Čer+37, "")</f>
        <v/>
      </c>
      <c r="M27" s="4" t="str">
        <f ca="1">IF(AND(YEAR(Ne1Čer+38)=Rok,MONTH(Ne1Čer+38)=6),Ne1Čer+38, "")</f>
        <v/>
      </c>
      <c r="N27" s="4" t="str">
        <f ca="1">IF(AND(YEAR(Ne1Čer+39)=Rok,MONTH(Ne1Čer+39)=6),Ne1Čer+39, "")</f>
        <v/>
      </c>
      <c r="O27" s="4" t="str">
        <f ca="1">IF(AND(YEAR(Ne1Čer+40)=Rok,MONTH(Ne1Čer+40)=6),Ne1Čer+40, "")</f>
        <v/>
      </c>
      <c r="P27" s="4" t="str">
        <f ca="1">IF(AND(YEAR(Ne1Čer+41)=Rok,MONTH(Ne1Čer+41)=6),Ne1Čer+41, "")</f>
        <v/>
      </c>
      <c r="R27" s="4" t="str">
        <f ca="1">IF(AND(YEAR(Ne1Zář+35)=Rok,MONTH(Ne1Zář+35)=9),Ne1Zář+35, "")</f>
        <v/>
      </c>
      <c r="S27" s="4" t="str">
        <f ca="1">IF(AND(YEAR(Ne1Zář+36)=Rok,MONTH(Ne1Zář+36)=9),Ne1Zář+36, "")</f>
        <v/>
      </c>
      <c r="T27" s="4" t="str">
        <f ca="1">IF(AND(YEAR(Ne1Zář+37)=Rok,MONTH(Ne1Zář+37)=9),Ne1Zář+37, "")</f>
        <v/>
      </c>
      <c r="U27" s="4" t="str">
        <f ca="1">IF(AND(YEAR(Ne1Zář+38)=Rok,MONTH(Ne1Zář+38)=9),Ne1Zář+38, "")</f>
        <v/>
      </c>
      <c r="V27" s="4" t="str">
        <f ca="1">IF(AND(YEAR(Ne1Zář+39)=Rok,MONTH(Ne1Zář+39)=9),Ne1Zář+39, "")</f>
        <v/>
      </c>
      <c r="W27" s="4" t="str">
        <f ca="1">IF(AND(YEAR(Ne1Zář+40)=Rok,MONTH(Ne1Zář+40)=9),Ne1Zář+40, "")</f>
        <v/>
      </c>
      <c r="X27" s="4" t="str">
        <f ca="1">IF(AND(YEAR(Ne1Zář+41)=Rok,MONTH(Ne1Zář+41)=9),Ne1Zář+41, "")</f>
        <v/>
      </c>
      <c r="Z27" s="4" t="str">
        <f ca="1">IF(AND(YEAR(Ne1Pro+35)=Rok,MONTH(Ne1Pro+35)=12),Ne1Pro+35, "")</f>
        <v/>
      </c>
      <c r="AA27" s="4" t="str">
        <f ca="1">IF(AND(YEAR(Ne1Pro+36)=Rok,MONTH(Ne1Pro+36)=12),Ne1Pro+36, "")</f>
        <v/>
      </c>
      <c r="AB27" s="4" t="str">
        <f ca="1">IF(AND(YEAR(Ne1Pro+37)=Rok,MONTH(Ne1Pro+37)=12),Ne1Pro+37, "")</f>
        <v/>
      </c>
      <c r="AC27" s="4" t="str">
        <f ca="1">IF(AND(YEAR(Ne1Pro+38)=Rok,MONTH(Ne1Pro+38)=12),Ne1Pro+38, "")</f>
        <v/>
      </c>
      <c r="AD27" s="4" t="str">
        <f ca="1">IF(AND(YEAR(Ne1Pro+39)=Rok,MONTH(Ne1Pro+39)=12),Ne1Pro+39, "")</f>
        <v/>
      </c>
      <c r="AE27" s="4" t="str">
        <f ca="1">IF(AND(YEAR(Ne1Pro+40)=Rok,MONTH(Ne1Pro+40)=12),Ne1Pro+40, "")</f>
        <v/>
      </c>
      <c r="AF27" s="4" t="str">
        <f ca="1">IF(AND(YEAR(Ne1Pro+41)=Rok,MONTH(Ne1Pro+41)=12),Ne1Pro+41, "")</f>
        <v/>
      </c>
    </row>
  </sheetData>
  <dataConsolidate/>
  <mergeCells count="13">
    <mergeCell ref="B1:AF1"/>
    <mergeCell ref="B2:H2"/>
    <mergeCell ref="B11:H11"/>
    <mergeCell ref="B20:H20"/>
    <mergeCell ref="J2:P2"/>
    <mergeCell ref="J11:P11"/>
    <mergeCell ref="J20:P20"/>
    <mergeCell ref="R2:X2"/>
    <mergeCell ref="R11:X11"/>
    <mergeCell ref="R20:X20"/>
    <mergeCell ref="Z2:AF2"/>
    <mergeCell ref="Z11:AF11"/>
    <mergeCell ref="Z20:AF20"/>
  </mergeCells>
  <phoneticPr fontId="2" type="noConversion"/>
  <dataValidations count="38">
    <dataValidation allowBlank="1" showInputMessage="1" showErrorMessage="1" prompt="Kalendář na každý měsíc se automaticky aktualizuje v buňkách B2 až AF27 po zadání roku v této buňce." sqref="B1:AF1" xr:uid="{00000000-0002-0000-0000-000000000000}"/>
    <dataValidation allowBlank="1" showInputMessage="1" showErrorMessage="1" prompt="Pomocí listu Šablona pro vytvoření kalendáře můžete vytvořit kalendář pro libovolný rok. Kalendář na každý měsíc se automaticky aktualizuje po zadaní roku do buňky vpravo." sqref="A1" xr:uid="{00000000-0002-0000-0000-000001000000}"/>
    <dataValidation allowBlank="1" showInputMessage="1" showErrorMessage="1" prompt="V této buňce je kalendářní měsíc. V buňkách B3 až H9 se automaticky aktualizuje kalendář na tento měsíc." sqref="B2:H2" xr:uid="{00000000-0002-0000-0000-000002000000}"/>
    <dataValidation allowBlank="1" showInputMessage="1" showErrorMessage="1" prompt="V této buňce je kalendářní měsíc. V buňkách J3 až P9 se automaticky aktualizuje kalendář na tento měsíc." sqref="J2:P2" xr:uid="{00000000-0002-0000-0000-000003000000}"/>
    <dataValidation allowBlank="1" showInputMessage="1" showErrorMessage="1" prompt="V této buňce je kalendářní měsíc. V buňkách R3 až X9 se automaticky aktualizuje kalendář na tento měsíc." sqref="R2:X2" xr:uid="{00000000-0002-0000-0000-000004000000}"/>
    <dataValidation allowBlank="1" showInputMessage="1" showErrorMessage="1" prompt="V této buňce je kalendářní měsíc. V buňkách Z3 až AF9 se automaticky aktualizuje kalendář na tento měsíc." sqref="Z2:AF2" xr:uid="{00000000-0002-0000-0000-000005000000}"/>
    <dataValidation allowBlank="1" showInputMessage="1" showErrorMessage="1" prompt="V této buňce je kalendářní měsíc. V buňkách B12 až H18 se automaticky aktualizuje kalendář na tento měsíc." sqref="B11:H11" xr:uid="{00000000-0002-0000-0000-000006000000}"/>
    <dataValidation allowBlank="1" showInputMessage="1" showErrorMessage="1" prompt="V této buňce je kalendářní měsíc. V buňkách B21 až H27 se automaticky aktualizuje kalendář na tento měsíc." sqref="B20:H20" xr:uid="{00000000-0002-0000-0000-000007000000}"/>
    <dataValidation allowBlank="1" showInputMessage="1" showErrorMessage="1" prompt="V této buňce je kalendářní měsíc. V buňkách J12 až P18 se automaticky aktualizuje kalendář na tento měsíc." sqref="J11:P11" xr:uid="{00000000-0002-0000-0000-000008000000}"/>
    <dataValidation allowBlank="1" showInputMessage="1" showErrorMessage="1" prompt="V této buňce je kalendářní měsíc. V buňkách R12 až X18 se automaticky aktualizuje kalendář na tento měsíc." sqref="R11:X11" xr:uid="{00000000-0002-0000-0000-000009000000}"/>
    <dataValidation allowBlank="1" showInputMessage="1" showErrorMessage="1" prompt="V této buňce je kalendářní měsíc. V buňkách Z12 až AF18 se automaticky aktualizuje kalendář na tento měsíc." sqref="Z11:AF11" xr:uid="{00000000-0002-0000-0000-00000A000000}"/>
    <dataValidation allowBlank="1" showInputMessage="1" showErrorMessage="1" prompt="V této buňce je kalendářní měsíc. V buňkách J21 až P27 se automaticky aktualizuje kalendář na tento měsíc." sqref="J20:P20" xr:uid="{00000000-0002-0000-0000-00000B000000}"/>
    <dataValidation allowBlank="1" showInputMessage="1" showErrorMessage="1" prompt="V této buňce je kalendářní měsíc. V buňkách R21 až X27 se automaticky aktualizuje kalendář na tento měsíc." sqref="R20:X20" xr:uid="{00000000-0002-0000-0000-00000C000000}"/>
    <dataValidation allowBlank="1" showInputMessage="1" showErrorMessage="1" prompt="V této buňce je kalendářní měsíc. V buňkách Z21 až AF27 se automaticky aktualizuje kalendář na tento měsíc." sqref="Z20:AF20" xr:uid="{00000000-0002-0000-0000-00000D000000}"/>
    <dataValidation allowBlank="1" showInputMessage="1" showErrorMessage="1" prompt="V buňkách B4 až H9 se automaticky aktualizují kalendářní dny pro tento měsíc." sqref="B4" xr:uid="{00000000-0002-0000-0000-00001A000000}"/>
    <dataValidation allowBlank="1" showInputMessage="1" showErrorMessage="1" prompt="V buňkách J4 až P9 se automaticky aktualizují kalendářní dny pro tento měsíc." sqref="J4" xr:uid="{00000000-0002-0000-0000-00001B000000}"/>
    <dataValidation allowBlank="1" showInputMessage="1" showErrorMessage="1" prompt="V buňkách R4 až X9 se automaticky aktualizují kalendářní dny pro tento měsíc." sqref="R4" xr:uid="{00000000-0002-0000-0000-00001C000000}"/>
    <dataValidation allowBlank="1" showInputMessage="1" showErrorMessage="1" prompt="V buňkách Z4 až AF9 se automaticky aktualizují kalendářní dny pro tento měsíc." sqref="Z4" xr:uid="{00000000-0002-0000-0000-00001D000000}"/>
    <dataValidation allowBlank="1" showInputMessage="1" showErrorMessage="1" prompt="V buňkách B13 až H18 se automaticky aktualizují kalendářní dny pro tento měsíc." sqref="B13" xr:uid="{00000000-0002-0000-0000-00001E000000}"/>
    <dataValidation allowBlank="1" showInputMessage="1" showErrorMessage="1" prompt="V buňkách J13 až P18 se automaticky aktualizují kalendářní dny pro tento měsíc." sqref="J13" xr:uid="{00000000-0002-0000-0000-00001F000000}"/>
    <dataValidation allowBlank="1" showInputMessage="1" showErrorMessage="1" prompt="V buňkách R13 až X18 se automaticky aktualizují kalendářní dny pro tento měsíc." sqref="R13" xr:uid="{00000000-0002-0000-0000-000020000000}"/>
    <dataValidation allowBlank="1" showInputMessage="1" showErrorMessage="1" prompt="V buňkách Z13 až AF18 se automaticky aktualizují kalendářní dny pro tento měsíc." sqref="Z13" xr:uid="{00000000-0002-0000-0000-000021000000}"/>
    <dataValidation allowBlank="1" showInputMessage="1" showErrorMessage="1" prompt="V buňkách B22 až H27 se automaticky aktualizují kalendářní dny pro tento měsíc." sqref="B22" xr:uid="{00000000-0002-0000-0000-000022000000}"/>
    <dataValidation allowBlank="1" showInputMessage="1" showErrorMessage="1" prompt="V buňkách J22 až P27 se automaticky aktualizují kalendářní dny pro tento měsíc." sqref="J22" xr:uid="{00000000-0002-0000-0000-000023000000}"/>
    <dataValidation allowBlank="1" showInputMessage="1" showErrorMessage="1" prompt="V buňkách R22 až X27 se automaticky aktualizují kalendářní dny pro tento měsíc." sqref="R22" xr:uid="{00000000-0002-0000-0000-000024000000}"/>
    <dataValidation allowBlank="1" showInputMessage="1" showErrorMessage="1" prompt="V buňkách Z22 až AF27 se automaticky aktualizují kalendářní dny pro tento měsíc." sqref="Z22" xr:uid="{00000000-0002-0000-0000-000025000000}"/>
    <dataValidation allowBlank="1" showInputMessage="1" showErrorMessage="1" prompt="Veckodagar för månaden i cellen ovan finns i cellerna B3 till H3" sqref="B3" xr:uid="{7C3F2049-F261-4E65-AE9A-939301A4765F}"/>
    <dataValidation allowBlank="1" showInputMessage="1" showErrorMessage="1" prompt="Veckodagar för månaden i cellen ovan finns i cellerna J3 till P3" sqref="J3" xr:uid="{817B11BB-237D-4B6F-B600-DF58C4BBCF71}"/>
    <dataValidation allowBlank="1" showInputMessage="1" showErrorMessage="1" prompt="Veckodagar för månaden i cellen ovan finns i cellerna R3 till X3" sqref="R3" xr:uid="{0B9A7316-4096-4F01-B98C-10FF3004ABEE}"/>
    <dataValidation allowBlank="1" showInputMessage="1" showErrorMessage="1" prompt="Veckodagar för månaden i cellen ovan finns i cellerna Z3 till AF3" sqref="Z3" xr:uid="{AF351400-96B1-4D2C-AF54-61BFB3F1220A}"/>
    <dataValidation allowBlank="1" showInputMessage="1" showErrorMessage="1" prompt="Veckodagar för månaden i cellen ovan finns i cell B12 till H12" sqref="B12" xr:uid="{41D216DF-8DEC-433A-8436-17AF398D4694}"/>
    <dataValidation allowBlank="1" showInputMessage="1" showErrorMessage="1" prompt="Veckodagar för månaden i cellen ovan finns i cellerna J12 till P12" sqref="J12" xr:uid="{9985D173-625E-4D16-9FF3-457BA2A2D791}"/>
    <dataValidation allowBlank="1" showInputMessage="1" showErrorMessage="1" prompt="Veckodagar för månaden i cellen ovan finns i cell R12 till X12" sqref="R12" xr:uid="{EB5C1D32-CA6A-443D-B01B-4162FCB8CDA5}"/>
    <dataValidation allowBlank="1" showInputMessage="1" showErrorMessage="1" prompt="Veckodagar för månaden i cellen ovan finns i cell Z12 till AF12" sqref="Z12" xr:uid="{AE807945-DC41-4D4C-B249-610D8ED76046}"/>
    <dataValidation allowBlank="1" showInputMessage="1" showErrorMessage="1" prompt="Veckodagar för månaden i cellen ovan finns i cellerna B21 till H21" sqref="B21" xr:uid="{73B85989-2384-43D8-B42A-2D499D4809CA}"/>
    <dataValidation allowBlank="1" showInputMessage="1" showErrorMessage="1" prompt="Veckodagar för månaden i cellen ovan finns i cellerna J21 till P21" sqref="J21" xr:uid="{19FE920E-F7E5-47ED-9616-6D8374F44B68}"/>
    <dataValidation allowBlank="1" showInputMessage="1" showErrorMessage="1" prompt="Veckodagar för månaden i cellen ovan finns i cellerna R21 till X21" sqref="R21" xr:uid="{62222926-9EA1-48B1-A8BC-CB08C26253C7}"/>
    <dataValidation allowBlank="1" showInputMessage="1" showErrorMessage="1" prompt="Veckodagar för månaden i cellen ovan finns i cellerna Z21 till AF21" sqref="Z21" xr:uid="{8B6FD61B-9E81-4FFB-AD20-7B2A3FE0A45A}"/>
  </dataValidations>
  <printOptions horizontalCentered="1" verticalCentered="1"/>
  <pageMargins left="0.5" right="0.5" top="0.5" bottom="0.5" header="0.5" footer="0.5"/>
  <pageSetup paperSize="9" scale="99" orientation="landscape" r:id="rId1"/>
  <headerFooter differentFirst="1">
    <oddFooter>Page &amp;P of &amp;N</oddFooter>
  </headerFooter>
</worksheet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Template>TM16400586</ap:Template>
  <ap:DocSecurity>0</ap:DocSecurity>
  <ap:ScaleCrop>false</ap:ScaleCrop>
  <ap:HeadingPairs>
    <vt:vector baseType="variant" size="4">
      <vt:variant>
        <vt:lpstr>Listy</vt:lpstr>
      </vt:variant>
      <vt:variant>
        <vt:i4>1</vt:i4>
      </vt:variant>
      <vt:variant>
        <vt:lpstr>Pojmenované oblasti</vt:lpstr>
      </vt:variant>
      <vt:variant>
        <vt:i4>25</vt:i4>
      </vt:variant>
    </vt:vector>
  </ap:HeadingPairs>
  <ap:TitlesOfParts>
    <vt:vector baseType="lpstr" size="26">
      <vt:lpstr>Kalendář</vt:lpstr>
      <vt:lpstr>OblastNadpisuSloupce1..H9.1</vt:lpstr>
      <vt:lpstr>OblastNadpisuSloupce1..I9.1</vt:lpstr>
      <vt:lpstr>OblastNadpisuSloupce10..AF9.1</vt:lpstr>
      <vt:lpstr>OblastNadpisuSloupce10..AG9.1</vt:lpstr>
      <vt:lpstr>OblastNadpisuSloupce11..AF18.1</vt:lpstr>
      <vt:lpstr>OblastNadpisuSloupce11..AG18.1</vt:lpstr>
      <vt:lpstr>OblastNadpisuSloupce12..AF27.1</vt:lpstr>
      <vt:lpstr>OblastNadpisuSloupce12..AG27.1</vt:lpstr>
      <vt:lpstr>OblastNadpisuSloupce2..I18.1</vt:lpstr>
      <vt:lpstr>OblastNadpisuSloupce3..I27.1</vt:lpstr>
      <vt:lpstr>OblastNadpisuSloupce6..P27.1</vt:lpstr>
      <vt:lpstr>OblastNadpisuSloupce8..X18.1</vt:lpstr>
      <vt:lpstr>OblastNadpisuSloupce8..Y18.1</vt:lpstr>
      <vt:lpstr>OblastNadpisuSloupce9..X27.1</vt:lpstr>
      <vt:lpstr>OblastNadpisuSloupce9..Y27.1</vt:lpstr>
      <vt:lpstr>OblastNázvuSloupce2..H18.1</vt:lpstr>
      <vt:lpstr>OblastNázvuSloupce3..H27.1</vt:lpstr>
      <vt:lpstr>OblastNázvuSloupce4..P9.1</vt:lpstr>
      <vt:lpstr>OblastNázvuSloupce4..Q9.1</vt:lpstr>
      <vt:lpstr>OblastNázvuSloupce5..P18.1</vt:lpstr>
      <vt:lpstr>OblastNázvuSloupce5..Q18.1</vt:lpstr>
      <vt:lpstr>OblastNázvuSloupce6..Q27.1</vt:lpstr>
      <vt:lpstr>OblastNázvuSloupce7..X9.1</vt:lpstr>
      <vt:lpstr>OblastNázvuSloupce7..Y9.1</vt:lpstr>
      <vt:lpstr>Rok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2017-08-12T10:05:54Z</dcterms:created>
  <dcterms:modified xsi:type="dcterms:W3CDTF">2021-12-22T12:17:11Z</dcterms:modified>
</cp:coreProperties>
</file>