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61.xml" ContentType="application/vnd.openxmlformats-officedocument.spreadsheetml.table+xml"/>
  <Override PartName="/xl/tables/table102.xml" ContentType="application/vnd.openxmlformats-officedocument.spreadsheetml.table+xml"/>
  <Override PartName="/xl/drawings/drawing21.xml" ContentType="application/vnd.openxmlformats-officedocument.drawing+xml"/>
  <Override PartName="/xl/tables/table93.xml" ContentType="application/vnd.openxmlformats-officedocument.spreadsheetml.table+xml"/>
  <Override PartName="/xl/tables/table84.xml" ContentType="application/vnd.openxmlformats-officedocument.spreadsheetml.table+xml"/>
  <Override PartName="/xl/tables/table75.xml" ContentType="application/vnd.openxmlformats-officedocument.spreadsheetml.tab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worksheets/sheet22.xml" ContentType="application/vnd.openxmlformats-officedocument.spreadsheetml.worksheet+xml"/>
  <Override PartName="/xl/tables/table16.xml" ContentType="application/vnd.openxmlformats-officedocument.spreadsheetml.table+xml"/>
  <Override PartName="/xl/tables/table57.xml" ContentType="application/vnd.openxmlformats-officedocument.spreadsheetml.table+xml"/>
  <Override PartName="/xl/drawings/drawing12.xml" ContentType="application/vnd.openxmlformats-officedocument.drawing+xml"/>
  <Override PartName="/xl/tables/table48.xml" ContentType="application/vnd.openxmlformats-officedocument.spreadsheetml.table+xml"/>
  <Override PartName="/xl/tables/table39.xml" ContentType="application/vnd.openxmlformats-officedocument.spreadsheetml.table+xml"/>
  <Override PartName="/xl/tables/table210.xml" ContentType="application/vnd.openxmlformats-officedocument.spreadsheetml.table+xml"/>
  <Override PartName="/xl/worksheets/sheet13.xml" ContentType="application/vnd.openxmlformats-officedocument.spreadsheetml.worksheet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54.xml" ContentType="application/vnd.openxmlformats-officedocument.spreadsheetml.worksheet+xml"/>
  <Override PartName="/xl/tables/table1611.xml" ContentType="application/vnd.openxmlformats-officedocument.spreadsheetml.table+xml"/>
  <Override PartName="/xl/drawings/drawing43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worksheets/sheet45.xml" ContentType="application/vnd.openxmlformats-officedocument.spreadsheetml.worksheet+xml"/>
  <Override PartName="/xl/tables/table1112.xml" ContentType="application/vnd.openxmlformats-officedocument.spreadsheetml.table+xml"/>
  <Override PartName="/xl/tables/table1513.xml" ContentType="application/vnd.openxmlformats-officedocument.spreadsheetml.table+xml"/>
  <Override PartName="/xl/drawings/drawing34.xml" ContentType="application/vnd.openxmlformats-officedocument.drawing+xml"/>
  <Override PartName="/xl/tables/table1414.xml" ContentType="application/vnd.openxmlformats-officedocument.spreadsheetml.table+xml"/>
  <Override PartName="/xl/tables/table1315.xml" ContentType="application/vnd.openxmlformats-officedocument.spreadsheetml.table+xml"/>
  <Override PartName="/xl/tables/table1216.xml" ContentType="application/vnd.openxmlformats-officedocument.spreadsheetml.table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codeName="ThisWorkbook"/>
  <xr:revisionPtr revIDLastSave="0" documentId="13_ncr:1_{9A153B4C-1916-4EA5-B434-73D19D188DF8}" xr6:coauthVersionLast="47" xr6:coauthVersionMax="48" xr10:uidLastSave="{00000000-0000-0000-0000-000000000000}"/>
  <bookViews>
    <workbookView xWindow="-120" yWindow="-120" windowWidth="29040" windowHeight="17640" tabRatio="756" xr2:uid="{00000000-000D-0000-FFFF-FFFF00000000}"/>
  </bookViews>
  <sheets>
    <sheet name="НАЧАЛО" sheetId="6" r:id="rId1"/>
    <sheet name="ПЛАНИРАНИ РАЗХОДИ" sheetId="2" r:id="rId2"/>
    <sheet name="ДЕЙСТВИТЕЛНИ РАЗХОДИ" sheetId="3" r:id="rId3"/>
    <sheet name="РАЗЛИКИ В РАЗХОДИТЕ" sheetId="4" r:id="rId4"/>
    <sheet name="АНАЛИЗ НА РАЗХОДИТЕ" sheetId="5" r:id="rId5"/>
  </sheets>
  <definedNames>
    <definedName name="заглавие_работен_лист">'ПЛАНИРАНИ РАЗХОДИ'!$K$2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3" l="1"/>
  <c r="K2" i="4"/>
  <c r="E3" i="5"/>
  <c r="B2" i="3" l="1"/>
  <c r="B2" i="5" l="1"/>
  <c r="B2" i="4"/>
  <c r="I7" i="3" l="1"/>
  <c r="J7" i="3"/>
  <c r="K7" i="3"/>
  <c r="L7" i="3"/>
  <c r="M7" i="3"/>
  <c r="N7" i="3"/>
  <c r="C32" i="4"/>
  <c r="D32" i="4"/>
  <c r="E32" i="4"/>
  <c r="F32" i="4"/>
  <c r="G32" i="4"/>
  <c r="H32" i="4"/>
  <c r="I32" i="4"/>
  <c r="J32" i="4"/>
  <c r="K32" i="4"/>
  <c r="L32" i="4"/>
  <c r="M32" i="4"/>
  <c r="N32" i="4"/>
  <c r="D31" i="4"/>
  <c r="E31" i="4"/>
  <c r="F31" i="4"/>
  <c r="G31" i="4"/>
  <c r="H31" i="4"/>
  <c r="I31" i="4"/>
  <c r="J31" i="4"/>
  <c r="K31" i="4"/>
  <c r="L31" i="4"/>
  <c r="M31" i="4"/>
  <c r="N31" i="4"/>
  <c r="C31" i="4"/>
  <c r="C23" i="4"/>
  <c r="D23" i="4"/>
  <c r="E23" i="4"/>
  <c r="F23" i="4"/>
  <c r="G23" i="4"/>
  <c r="H23" i="4"/>
  <c r="I23" i="4"/>
  <c r="J23" i="4"/>
  <c r="K23" i="4"/>
  <c r="L23" i="4"/>
  <c r="M23" i="4"/>
  <c r="N23" i="4"/>
  <c r="C24" i="4"/>
  <c r="D24" i="4"/>
  <c r="E24" i="4"/>
  <c r="F24" i="4"/>
  <c r="G24" i="4"/>
  <c r="H24" i="4"/>
  <c r="I24" i="4"/>
  <c r="J24" i="4"/>
  <c r="K24" i="4"/>
  <c r="L24" i="4"/>
  <c r="M24" i="4"/>
  <c r="N24" i="4"/>
  <c r="C25" i="4"/>
  <c r="D25" i="4"/>
  <c r="E25" i="4"/>
  <c r="F25" i="4"/>
  <c r="G25" i="4"/>
  <c r="H25" i="4"/>
  <c r="I25" i="4"/>
  <c r="J25" i="4"/>
  <c r="K25" i="4"/>
  <c r="L25" i="4"/>
  <c r="M25" i="4"/>
  <c r="N25" i="4"/>
  <c r="C26" i="4"/>
  <c r="D26" i="4"/>
  <c r="E26" i="4"/>
  <c r="F26" i="4"/>
  <c r="G26" i="4"/>
  <c r="H26" i="4"/>
  <c r="I26" i="4"/>
  <c r="J26" i="4"/>
  <c r="K26" i="4"/>
  <c r="L26" i="4"/>
  <c r="M26" i="4"/>
  <c r="N26" i="4"/>
  <c r="C27" i="4"/>
  <c r="D27" i="4"/>
  <c r="E27" i="4"/>
  <c r="F27" i="4"/>
  <c r="G27" i="4"/>
  <c r="H27" i="4"/>
  <c r="I27" i="4"/>
  <c r="J27" i="4"/>
  <c r="K27" i="4"/>
  <c r="L27" i="4"/>
  <c r="M27" i="4"/>
  <c r="N27" i="4"/>
  <c r="D22" i="4"/>
  <c r="E22" i="4"/>
  <c r="F22" i="4"/>
  <c r="G22" i="4"/>
  <c r="H22" i="4"/>
  <c r="I22" i="4"/>
  <c r="J22" i="4"/>
  <c r="K22" i="4"/>
  <c r="L22" i="4"/>
  <c r="M22" i="4"/>
  <c r="N22" i="4"/>
  <c r="C22" i="4"/>
  <c r="D6" i="4"/>
  <c r="E6" i="4"/>
  <c r="F6" i="4"/>
  <c r="G6" i="4"/>
  <c r="H6" i="4"/>
  <c r="I6" i="4"/>
  <c r="J6" i="4"/>
  <c r="K6" i="4"/>
  <c r="L6" i="4"/>
  <c r="M6" i="4"/>
  <c r="N6" i="4"/>
  <c r="C6" i="4"/>
  <c r="C12" i="4"/>
  <c r="D12" i="4"/>
  <c r="E12" i="4"/>
  <c r="F12" i="4"/>
  <c r="G12" i="4"/>
  <c r="H12" i="4"/>
  <c r="I12" i="4"/>
  <c r="J12" i="4"/>
  <c r="K12" i="4"/>
  <c r="L12" i="4"/>
  <c r="M12" i="4"/>
  <c r="N12" i="4"/>
  <c r="C13" i="4"/>
  <c r="D13" i="4"/>
  <c r="E13" i="4"/>
  <c r="F13" i="4"/>
  <c r="G13" i="4"/>
  <c r="H13" i="4"/>
  <c r="I13" i="4"/>
  <c r="J13" i="4"/>
  <c r="K13" i="4"/>
  <c r="L13" i="4"/>
  <c r="M13" i="4"/>
  <c r="N13" i="4"/>
  <c r="C14" i="4"/>
  <c r="D14" i="4"/>
  <c r="E14" i="4"/>
  <c r="F14" i="4"/>
  <c r="G14" i="4"/>
  <c r="H14" i="4"/>
  <c r="I14" i="4"/>
  <c r="J14" i="4"/>
  <c r="K14" i="4"/>
  <c r="L14" i="4"/>
  <c r="M14" i="4"/>
  <c r="N14" i="4"/>
  <c r="C15" i="4"/>
  <c r="D15" i="4"/>
  <c r="E15" i="4"/>
  <c r="F15" i="4"/>
  <c r="G15" i="4"/>
  <c r="H15" i="4"/>
  <c r="I15" i="4"/>
  <c r="J15" i="4"/>
  <c r="K15" i="4"/>
  <c r="L15" i="4"/>
  <c r="M15" i="4"/>
  <c r="N15" i="4"/>
  <c r="C16" i="4"/>
  <c r="D16" i="4"/>
  <c r="E16" i="4"/>
  <c r="F16" i="4"/>
  <c r="G16" i="4"/>
  <c r="H16" i="4"/>
  <c r="I16" i="4"/>
  <c r="J16" i="4"/>
  <c r="K16" i="4"/>
  <c r="L16" i="4"/>
  <c r="M16" i="4"/>
  <c r="N16" i="4"/>
  <c r="C17" i="4"/>
  <c r="D17" i="4"/>
  <c r="E17" i="4"/>
  <c r="F17" i="4"/>
  <c r="G17" i="4"/>
  <c r="H17" i="4"/>
  <c r="I17" i="4"/>
  <c r="J17" i="4"/>
  <c r="K17" i="4"/>
  <c r="L17" i="4"/>
  <c r="M17" i="4"/>
  <c r="N17" i="4"/>
  <c r="C18" i="4"/>
  <c r="D18" i="4"/>
  <c r="E18" i="4"/>
  <c r="F18" i="4"/>
  <c r="G18" i="4"/>
  <c r="H18" i="4"/>
  <c r="I18" i="4"/>
  <c r="J18" i="4"/>
  <c r="K18" i="4"/>
  <c r="L18" i="4"/>
  <c r="M18" i="4"/>
  <c r="N18" i="4"/>
  <c r="D11" i="4"/>
  <c r="E11" i="4"/>
  <c r="F11" i="4"/>
  <c r="G11" i="4"/>
  <c r="H11" i="4"/>
  <c r="I11" i="4"/>
  <c r="J11" i="4"/>
  <c r="K11" i="4"/>
  <c r="L11" i="4"/>
  <c r="M11" i="4"/>
  <c r="N11" i="4"/>
  <c r="C11" i="4"/>
  <c r="D19" i="3"/>
  <c r="E19" i="3"/>
  <c r="F19" i="3"/>
  <c r="G19" i="3"/>
  <c r="H19" i="3"/>
  <c r="I19" i="3"/>
  <c r="J19" i="3"/>
  <c r="K19" i="3"/>
  <c r="L19" i="3"/>
  <c r="M19" i="3"/>
  <c r="N19" i="3"/>
  <c r="D28" i="3"/>
  <c r="E28" i="3"/>
  <c r="F28" i="3"/>
  <c r="G28" i="3"/>
  <c r="H28" i="3"/>
  <c r="I28" i="3"/>
  <c r="J28" i="3"/>
  <c r="K28" i="3"/>
  <c r="L28" i="3"/>
  <c r="M28" i="3"/>
  <c r="N28" i="3"/>
  <c r="D33" i="3"/>
  <c r="E33" i="3"/>
  <c r="F33" i="3"/>
  <c r="G33" i="3"/>
  <c r="H33" i="3"/>
  <c r="I33" i="3"/>
  <c r="J33" i="3"/>
  <c r="K33" i="3"/>
  <c r="L33" i="3"/>
  <c r="M33" i="3"/>
  <c r="N33" i="3"/>
  <c r="C33" i="3"/>
  <c r="C28" i="3"/>
  <c r="C19" i="3"/>
  <c r="D33" i="2"/>
  <c r="E33" i="2"/>
  <c r="F33" i="2"/>
  <c r="G33" i="2"/>
  <c r="H33" i="2"/>
  <c r="I33" i="2"/>
  <c r="J33" i="2"/>
  <c r="K33" i="2"/>
  <c r="L33" i="2"/>
  <c r="M33" i="2"/>
  <c r="N33" i="2"/>
  <c r="C33" i="2"/>
  <c r="D28" i="2"/>
  <c r="E28" i="2"/>
  <c r="F28" i="2"/>
  <c r="G28" i="2"/>
  <c r="H28" i="2"/>
  <c r="I28" i="2"/>
  <c r="J28" i="2"/>
  <c r="K28" i="2"/>
  <c r="L28" i="2"/>
  <c r="M28" i="2"/>
  <c r="N28" i="2"/>
  <c r="C28" i="2"/>
  <c r="D19" i="2"/>
  <c r="E19" i="2"/>
  <c r="F19" i="2"/>
  <c r="G19" i="2"/>
  <c r="H19" i="2"/>
  <c r="I19" i="2"/>
  <c r="J19" i="2"/>
  <c r="K19" i="2"/>
  <c r="L19" i="2"/>
  <c r="M19" i="2"/>
  <c r="N19" i="2"/>
  <c r="C19" i="2"/>
  <c r="O22" i="4" l="1"/>
  <c r="O24" i="4"/>
  <c r="O6" i="4"/>
  <c r="O23" i="4"/>
  <c r="O32" i="4"/>
  <c r="O27" i="4"/>
  <c r="O26" i="4"/>
  <c r="O25" i="4"/>
  <c r="O31" i="4"/>
  <c r="O17" i="4"/>
  <c r="O16" i="4"/>
  <c r="O15" i="4"/>
  <c r="O14" i="4"/>
  <c r="O12" i="4"/>
  <c r="O18" i="4"/>
  <c r="O13" i="4"/>
  <c r="O11" i="4"/>
  <c r="B10" i="5"/>
  <c r="B9" i="5"/>
  <c r="B8" i="5"/>
  <c r="B7" i="5"/>
  <c r="N33" i="4"/>
  <c r="M33" i="4"/>
  <c r="L33" i="4"/>
  <c r="K33" i="4"/>
  <c r="J33" i="4"/>
  <c r="I33" i="4"/>
  <c r="H33" i="4"/>
  <c r="G33" i="4"/>
  <c r="F33" i="4"/>
  <c r="E33" i="4"/>
  <c r="D33" i="4"/>
  <c r="C33" i="4"/>
  <c r="N28" i="4"/>
  <c r="M28" i="4"/>
  <c r="L28" i="4"/>
  <c r="K28" i="4"/>
  <c r="J28" i="4"/>
  <c r="I28" i="4"/>
  <c r="H28" i="4"/>
  <c r="G28" i="4"/>
  <c r="F28" i="4"/>
  <c r="E28" i="4"/>
  <c r="D28" i="4"/>
  <c r="C28" i="4"/>
  <c r="N19" i="4"/>
  <c r="M19" i="4"/>
  <c r="L19" i="4"/>
  <c r="K19" i="4"/>
  <c r="J19" i="4"/>
  <c r="I19" i="4"/>
  <c r="H19" i="4"/>
  <c r="G19" i="4"/>
  <c r="F19" i="4"/>
  <c r="E19" i="4"/>
  <c r="D19" i="4"/>
  <c r="C19" i="4"/>
  <c r="O32" i="3"/>
  <c r="O31" i="3"/>
  <c r="O27" i="3"/>
  <c r="O26" i="3"/>
  <c r="O25" i="3"/>
  <c r="O24" i="3"/>
  <c r="O23" i="3"/>
  <c r="O22" i="3"/>
  <c r="O18" i="3"/>
  <c r="O17" i="3"/>
  <c r="O16" i="3"/>
  <c r="O15" i="3"/>
  <c r="O14" i="3"/>
  <c r="O13" i="3"/>
  <c r="O12" i="3"/>
  <c r="O11" i="3"/>
  <c r="N8" i="3"/>
  <c r="N36" i="3" s="1"/>
  <c r="M8" i="3"/>
  <c r="M36" i="3" s="1"/>
  <c r="L8" i="3"/>
  <c r="L36" i="3" s="1"/>
  <c r="K8" i="3"/>
  <c r="K36" i="3" s="1"/>
  <c r="J8" i="3"/>
  <c r="J36" i="3" s="1"/>
  <c r="I8" i="3"/>
  <c r="I36" i="3" s="1"/>
  <c r="H7" i="3"/>
  <c r="H8" i="3" s="1"/>
  <c r="H36" i="3" s="1"/>
  <c r="G7" i="3"/>
  <c r="G8" i="3" s="1"/>
  <c r="G36" i="3" s="1"/>
  <c r="F7" i="3"/>
  <c r="F8" i="3" s="1"/>
  <c r="F36" i="3" s="1"/>
  <c r="E7" i="3"/>
  <c r="E8" i="3" s="1"/>
  <c r="E36" i="3" s="1"/>
  <c r="D7" i="3"/>
  <c r="D8" i="3" s="1"/>
  <c r="D36" i="3" s="1"/>
  <c r="C7" i="3"/>
  <c r="C8" i="3" s="1"/>
  <c r="C36" i="3" s="1"/>
  <c r="O6" i="3"/>
  <c r="O32" i="2"/>
  <c r="O31" i="2"/>
  <c r="O33" i="2" s="1"/>
  <c r="O27" i="2"/>
  <c r="O26" i="2"/>
  <c r="O25" i="2"/>
  <c r="O24" i="2"/>
  <c r="O23" i="2"/>
  <c r="O22" i="2"/>
  <c r="O18" i="2"/>
  <c r="O17" i="2"/>
  <c r="O16" i="2"/>
  <c r="O15" i="2"/>
  <c r="O14" i="2"/>
  <c r="O13" i="2"/>
  <c r="O12" i="2"/>
  <c r="O11" i="2"/>
  <c r="N7" i="2"/>
  <c r="M7" i="2"/>
  <c r="L7" i="2"/>
  <c r="K7" i="2"/>
  <c r="J7" i="2"/>
  <c r="I7" i="2"/>
  <c r="H7" i="2"/>
  <c r="G7" i="2"/>
  <c r="F7" i="2"/>
  <c r="E7" i="2"/>
  <c r="D7" i="2"/>
  <c r="C7" i="2"/>
  <c r="O6" i="2"/>
  <c r="J8" i="2" l="1"/>
  <c r="J36" i="2" s="1"/>
  <c r="J7" i="4"/>
  <c r="J8" i="4" s="1"/>
  <c r="J36" i="4" s="1"/>
  <c r="L8" i="2"/>
  <c r="L36" i="2" s="1"/>
  <c r="L7" i="4"/>
  <c r="L8" i="4" s="1"/>
  <c r="L36" i="4" s="1"/>
  <c r="G8" i="2"/>
  <c r="G36" i="2" s="1"/>
  <c r="G7" i="4"/>
  <c r="G8" i="4" s="1"/>
  <c r="G36" i="4" s="1"/>
  <c r="H8" i="2"/>
  <c r="H36" i="2" s="1"/>
  <c r="H7" i="4"/>
  <c r="H8" i="4" s="1"/>
  <c r="H36" i="4" s="1"/>
  <c r="N8" i="2"/>
  <c r="N36" i="2" s="1"/>
  <c r="N7" i="4"/>
  <c r="N8" i="4" s="1"/>
  <c r="N36" i="4" s="1"/>
  <c r="D8" i="2"/>
  <c r="D36" i="2" s="1"/>
  <c r="D7" i="4"/>
  <c r="D8" i="4" s="1"/>
  <c r="D36" i="4" s="1"/>
  <c r="E7" i="4"/>
  <c r="E8" i="4" s="1"/>
  <c r="E36" i="4" s="1"/>
  <c r="E8" i="2"/>
  <c r="E36" i="2" s="1"/>
  <c r="K8" i="2"/>
  <c r="K36" i="2" s="1"/>
  <c r="K7" i="4"/>
  <c r="K8" i="4" s="1"/>
  <c r="K36" i="4" s="1"/>
  <c r="F7" i="4"/>
  <c r="F8" i="4" s="1"/>
  <c r="F36" i="4" s="1"/>
  <c r="F8" i="2"/>
  <c r="F36" i="2" s="1"/>
  <c r="M8" i="2"/>
  <c r="M36" i="2" s="1"/>
  <c r="M7" i="4"/>
  <c r="M8" i="4" s="1"/>
  <c r="M36" i="4" s="1"/>
  <c r="C7" i="4"/>
  <c r="C8" i="4" s="1"/>
  <c r="C36" i="4" s="1"/>
  <c r="C8" i="2"/>
  <c r="C36" i="2" s="1"/>
  <c r="I7" i="4"/>
  <c r="I8" i="4" s="1"/>
  <c r="I36" i="4" s="1"/>
  <c r="I8" i="2"/>
  <c r="I36" i="2" s="1"/>
  <c r="O33" i="3"/>
  <c r="O28" i="3"/>
  <c r="D8" i="5" s="1"/>
  <c r="O19" i="3"/>
  <c r="D7" i="5" s="1"/>
  <c r="C9" i="5"/>
  <c r="O28" i="2"/>
  <c r="C8" i="5" s="1"/>
  <c r="O19" i="2"/>
  <c r="C7" i="5" s="1"/>
  <c r="O7" i="3"/>
  <c r="O8" i="3" s="1"/>
  <c r="D6" i="5" s="1"/>
  <c r="O33" i="4"/>
  <c r="O7" i="2"/>
  <c r="O8" i="2" s="1"/>
  <c r="C6" i="5" s="1"/>
  <c r="E37" i="2" l="1"/>
  <c r="D37" i="2"/>
  <c r="J37" i="2"/>
  <c r="O7" i="4"/>
  <c r="O8" i="4" s="1"/>
  <c r="O36" i="2"/>
  <c r="C10" i="5" s="1"/>
  <c r="I37" i="2"/>
  <c r="C37" i="2"/>
  <c r="F37" i="2"/>
  <c r="E8" i="5"/>
  <c r="F8" i="5" s="1"/>
  <c r="D37" i="4"/>
  <c r="J37" i="4"/>
  <c r="M37" i="4"/>
  <c r="H37" i="4"/>
  <c r="N37" i="4"/>
  <c r="C37" i="4"/>
  <c r="E37" i="4"/>
  <c r="K37" i="4"/>
  <c r="F37" i="4"/>
  <c r="L37" i="4"/>
  <c r="G37" i="4"/>
  <c r="I37" i="4"/>
  <c r="O19" i="4"/>
  <c r="O28" i="4"/>
  <c r="D9" i="5"/>
  <c r="E9" i="5" s="1"/>
  <c r="F9" i="5" s="1"/>
  <c r="O36" i="3"/>
  <c r="D10" i="5" s="1"/>
  <c r="K37" i="2"/>
  <c r="G37" i="3"/>
  <c r="M37" i="3"/>
  <c r="J37" i="3"/>
  <c r="F37" i="3"/>
  <c r="H37" i="3"/>
  <c r="N37" i="3"/>
  <c r="I37" i="3"/>
  <c r="C37" i="3"/>
  <c r="D37" i="3"/>
  <c r="E37" i="3"/>
  <c r="K37" i="3"/>
  <c r="L37" i="3"/>
  <c r="E7" i="5"/>
  <c r="F7" i="5" s="1"/>
  <c r="N37" i="2"/>
  <c r="H37" i="2"/>
  <c r="M37" i="2"/>
  <c r="L37" i="2"/>
  <c r="G37" i="2"/>
  <c r="E6" i="5"/>
  <c r="F6" i="5" s="1"/>
  <c r="O36" i="4" l="1"/>
  <c r="E10" i="5"/>
  <c r="F10" i="5" s="1"/>
</calcChain>
</file>

<file path=xl/sharedStrings.xml><?xml version="1.0" encoding="utf-8"?>
<sst xmlns="http://schemas.openxmlformats.org/spreadsheetml/2006/main" count="348" uniqueCount="74">
  <si>
    <t>ЗА ТОЗИ ШАБЛОН</t>
  </si>
  <si>
    <t>Използвайте тази работна книга за бюджет на разходите на фирмата, за да проследявате планираните и действителните разходи и разликите.</t>
  </si>
  <si>
    <t>Попълнете името на фирмата и добавете емблема.</t>
  </si>
  <si>
    <t>Въведете подробните данни в таблиците в работните листове "Планирани разходи" и "Действителни разходи".</t>
  </si>
  <si>
    <t>Таблиците се актуализират автоматично в работния лист "Разлики в разходите" и диаграмите в работния лист "Анализ на разходите"</t>
  </si>
  <si>
    <t>Забележка: </t>
  </si>
  <si>
    <t>Допълнителни инструкции са предоставени в колона A във всеки работен лист. Този текст е скрит нарочно. За да премахнете текста, изберете колона А, след което изберете DELETE. За да покажете текст, изберете колона A, след което променете цвета на шрифта.</t>
  </si>
  <si>
    <t>За да научите повече за таблиците, натиснете SHIFT и след това F10 в таблица, изберете опцията ТАБЛИЦА, след което изберете АЛТЕРНАТИВЕН ТЕКСТ</t>
  </si>
  <si>
    <t>Име на фирма</t>
  </si>
  <si>
    <t>ПЛАНИРАНИ РАЗХОДИ</t>
  </si>
  <si>
    <t>Разходи за служители</t>
  </si>
  <si>
    <t>Заплати</t>
  </si>
  <si>
    <t>Осигуровки</t>
  </si>
  <si>
    <t>Междинна сума</t>
  </si>
  <si>
    <t>Разходи за офис</t>
  </si>
  <si>
    <t>Наем на офис</t>
  </si>
  <si>
    <t>Газ</t>
  </si>
  <si>
    <t>Ток</t>
  </si>
  <si>
    <t>Вода</t>
  </si>
  <si>
    <t>Телефон</t>
  </si>
  <si>
    <t>Достъп до интернет</t>
  </si>
  <si>
    <t>Канцеларски материали</t>
  </si>
  <si>
    <t>Охрана</t>
  </si>
  <si>
    <t>Разходи за маркетинг</t>
  </si>
  <si>
    <t>Хостинг на уеб сайт</t>
  </si>
  <si>
    <t>Актуализации на уеб сайт</t>
  </si>
  <si>
    <t>Подготовка на маркетингови материали</t>
  </si>
  <si>
    <t>Печат на маркетингови материали</t>
  </si>
  <si>
    <t>Маркетингови събития</t>
  </si>
  <si>
    <t>Разни разходи</t>
  </si>
  <si>
    <t>Обучения/пътувания</t>
  </si>
  <si>
    <t>Курсове за обучение</t>
  </si>
  <si>
    <t>Пътни разходи, свързани с обучение</t>
  </si>
  <si>
    <t>ОБЩИ СУМИ</t>
  </si>
  <si>
    <t>Месечни планирани разходи</t>
  </si>
  <si>
    <t>ОБЩИ планирани разходи</t>
  </si>
  <si>
    <t>ЯНР</t>
  </si>
  <si>
    <t>Янр</t>
  </si>
  <si>
    <t>ФЕВ</t>
  </si>
  <si>
    <t>Фев</t>
  </si>
  <si>
    <t>МАР</t>
  </si>
  <si>
    <t>Мар</t>
  </si>
  <si>
    <t>АПР</t>
  </si>
  <si>
    <t>Апр</t>
  </si>
  <si>
    <t>МАЙ</t>
  </si>
  <si>
    <t>Май</t>
  </si>
  <si>
    <t>ЮНИ</t>
  </si>
  <si>
    <t>Юни</t>
  </si>
  <si>
    <t>ЮЛИ</t>
  </si>
  <si>
    <t>Юли</t>
  </si>
  <si>
    <t>АВГ</t>
  </si>
  <si>
    <t>Авг</t>
  </si>
  <si>
    <t>Подробни прогнози за разходите</t>
  </si>
  <si>
    <t>Оцветените клетки се изчисляват.</t>
  </si>
  <si>
    <t>СЕПТ</t>
  </si>
  <si>
    <t>Сеп</t>
  </si>
  <si>
    <t>ОКТ</t>
  </si>
  <si>
    <t>Окт</t>
  </si>
  <si>
    <t>НОЕ</t>
  </si>
  <si>
    <t>Ное</t>
  </si>
  <si>
    <t>ДЕК</t>
  </si>
  <si>
    <t>Дек</t>
  </si>
  <si>
    <t>ГОДИНА</t>
  </si>
  <si>
    <t>Година</t>
  </si>
  <si>
    <t xml:space="preserve"> </t>
  </si>
  <si>
    <t>ДЕЙСТВИТЕЛНИ РАЗХОДИ</t>
  </si>
  <si>
    <t>Месечни действителни разходи</t>
  </si>
  <si>
    <t>ОБЩИ действителни разходи</t>
  </si>
  <si>
    <t>РАЗЛИКИ В РАЗХОДИТЕ</t>
  </si>
  <si>
    <t>Категория разходи</t>
  </si>
  <si>
    <t>Планирани разходи</t>
  </si>
  <si>
    <t>Действителни разходи</t>
  </si>
  <si>
    <t>Разлики в разходите</t>
  </si>
  <si>
    <t>Процент на разликата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</si>
</sst>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-* #,##0_-;\-* #,##0_-;_-* &quot;-&quot;_-;_-@_-"/>
    <numFmt numFmtId="43" formatCode="_-* #,##0.00_-;\-* #,##0.00_-;_-* &quot;-&quot;??_-;_-@_-"/>
    <numFmt numFmtId="164" formatCode="_-* #,##0\ &quot;лв.&quot;_-;\-* #,##0\ &quot;лв.&quot;_-;_-* &quot;-&quot;\ &quot;лв.&quot;_-;_-@_-"/>
    <numFmt numFmtId="165" formatCode="_-* #,##0.00\ &quot;лв.&quot;_-;\-* #,##0.00\ &quot;лв.&quot;_-;_-* &quot;-&quot;??\ &quot;лв.&quot;_-;_-@_-"/>
    <numFmt numFmtId="166" formatCode="#,##0.00\ &quot;лв.&quot;;[Red]#,##0.00\ &quot;лв.&quot;"/>
    <numFmt numFmtId="167" formatCode="#,##0.00\ [$лв.-402];[Red]\-#,##0.00\ [$лв.-402]"/>
  </numFmts>
  <fonts count="54" x14ac:knownFonts="1">
    <font>
      <sz val="9"/>
      <color theme="1" tint="0.24994659260841701"/>
      <name val="Microsoft Sans Serif"/>
      <family val="2"/>
      <scheme val="minor"/>
    </font>
    <font>
      <sz val="11"/>
      <color theme="1"/>
      <name val="Microsoft Sans Serif"/>
      <family val="2"/>
      <scheme val="minor"/>
    </font>
    <font>
      <sz val="14"/>
      <color theme="1"/>
      <name val="Microsoft Sans Serif"/>
      <family val="2"/>
      <scheme val="minor"/>
    </font>
    <font>
      <b/>
      <sz val="14"/>
      <color theme="1"/>
      <name val="Microsoft Sans Serif"/>
      <family val="2"/>
      <scheme val="minor"/>
    </font>
    <font>
      <sz val="10"/>
      <color theme="1"/>
      <name val="Microsoft Sans Serif"/>
      <family val="2"/>
      <scheme val="minor"/>
    </font>
    <font>
      <b/>
      <u/>
      <sz val="10"/>
      <color theme="1"/>
      <name val="Microsoft Sans Serif"/>
      <family val="2"/>
      <scheme val="minor"/>
    </font>
    <font>
      <b/>
      <sz val="10"/>
      <color theme="1"/>
      <name val="Microsoft Sans Serif"/>
      <family val="2"/>
      <scheme val="minor"/>
    </font>
    <font>
      <b/>
      <i/>
      <sz val="10"/>
      <color theme="1"/>
      <name val="Microsoft Sans Serif"/>
      <family val="2"/>
      <scheme val="minor"/>
    </font>
    <font>
      <b/>
      <sz val="22"/>
      <color theme="1" tint="0.24994659260841701"/>
      <name val="Franklin Gothic Book"/>
      <family val="2"/>
      <scheme val="major"/>
    </font>
    <font>
      <sz val="11"/>
      <color theme="1" tint="0.24994659260841701"/>
      <name val="Franklin Gothic Book"/>
      <family val="2"/>
      <scheme val="major"/>
    </font>
    <font>
      <b/>
      <sz val="10"/>
      <color theme="2"/>
      <name val="Franklin Gothic Book"/>
      <family val="2"/>
      <scheme val="major"/>
    </font>
    <font>
      <b/>
      <sz val="14"/>
      <color theme="0"/>
      <name val="Franklin Gothic Book"/>
      <family val="2"/>
      <scheme val="major"/>
    </font>
    <font>
      <i/>
      <sz val="11"/>
      <color theme="3" tint="0.79998168889431442"/>
      <name val="Microsoft Sans Serif"/>
      <family val="2"/>
      <scheme val="minor"/>
    </font>
    <font>
      <b/>
      <sz val="36"/>
      <color theme="0"/>
      <name val="Franklin Gothic Book"/>
      <family val="2"/>
      <scheme val="major"/>
    </font>
    <font>
      <sz val="9"/>
      <color theme="1"/>
      <name val="Microsoft Sans Serif"/>
      <family val="2"/>
      <scheme val="minor"/>
    </font>
    <font>
      <b/>
      <sz val="9"/>
      <color theme="1"/>
      <name val="Microsoft Sans Serif"/>
      <family val="2"/>
      <scheme val="minor"/>
    </font>
    <font>
      <b/>
      <sz val="10"/>
      <color theme="0"/>
      <name val="Microsoft Sans Serif"/>
      <family val="2"/>
      <scheme val="minor"/>
    </font>
    <font>
      <b/>
      <sz val="16"/>
      <color theme="0"/>
      <name val="Franklin Gothic Book"/>
      <family val="2"/>
      <scheme val="major"/>
    </font>
    <font>
      <sz val="10"/>
      <color theme="1" tint="0.24994659260841701"/>
      <name val="Microsoft Sans Serif"/>
      <family val="2"/>
      <scheme val="minor"/>
    </font>
    <font>
      <b/>
      <sz val="10"/>
      <color theme="1" tint="0.24994659260841701"/>
      <name val="Microsoft Sans Serif"/>
      <family val="2"/>
      <scheme val="minor"/>
    </font>
    <font>
      <sz val="9"/>
      <color theme="6" tint="0.39997558519241921"/>
      <name val="Microsoft Sans Serif"/>
      <family val="2"/>
      <scheme val="minor"/>
    </font>
    <font>
      <b/>
      <sz val="14"/>
      <color theme="2"/>
      <name val="Franklin Gothic Book"/>
      <family val="2"/>
      <scheme val="major"/>
    </font>
    <font>
      <sz val="14"/>
      <color theme="3"/>
      <name val="Microsoft Sans Serif"/>
      <family val="2"/>
      <scheme val="minor"/>
    </font>
    <font>
      <b/>
      <sz val="13"/>
      <color theme="3"/>
      <name val="Franklin Gothic Book"/>
      <family val="2"/>
      <scheme val="major"/>
    </font>
    <font>
      <b/>
      <sz val="14"/>
      <color theme="0"/>
      <name val="Microsoft Sans Serif"/>
      <family val="2"/>
      <scheme val="minor"/>
    </font>
    <font>
      <sz val="9"/>
      <name val="Microsoft Sans Serif"/>
      <family val="2"/>
      <scheme val="minor"/>
    </font>
    <font>
      <b/>
      <sz val="9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 tint="-0.499984740745262"/>
      <name val="Franklin Gothic Book"/>
      <family val="2"/>
      <scheme val="major"/>
    </font>
    <font>
      <b/>
      <sz val="14"/>
      <color theme="3"/>
      <name val="Microsoft Sans Serif"/>
      <family val="2"/>
      <scheme val="minor"/>
    </font>
    <font>
      <b/>
      <sz val="14"/>
      <color theme="3" tint="-0.499984740745262"/>
      <name val="Franklin Gothic Book"/>
      <family val="2"/>
      <scheme val="major"/>
    </font>
    <font>
      <sz val="10"/>
      <color theme="5" tint="0.79998168889431442"/>
      <name val="Microsoft Sans Serif"/>
      <family val="2"/>
      <scheme val="minor"/>
    </font>
    <font>
      <b/>
      <sz val="16"/>
      <color theme="0"/>
      <name val="Arial"/>
      <family val="2"/>
    </font>
    <font>
      <sz val="14"/>
      <color theme="3" tint="-0.249977111117893"/>
      <name val="Microsoft Sans Serif"/>
      <family val="2"/>
      <scheme val="minor"/>
    </font>
    <font>
      <sz val="14"/>
      <color theme="6" tint="0.39997558519241921"/>
      <name val="Microsoft Sans Serif"/>
      <family val="2"/>
      <scheme val="minor"/>
    </font>
    <font>
      <sz val="11"/>
      <color theme="6" tint="0.39997558519241921"/>
      <name val="Calibri"/>
      <family val="2"/>
    </font>
    <font>
      <sz val="11"/>
      <color theme="1" tint="4.9989318521683403E-2"/>
      <name val="Calibri"/>
      <family val="2"/>
    </font>
    <font>
      <b/>
      <sz val="11"/>
      <color theme="1" tint="4.9989318521683403E-2"/>
      <name val="Calibri"/>
      <family val="2"/>
    </font>
    <font>
      <i/>
      <sz val="11"/>
      <color theme="0"/>
      <name val="Microsoft Sans Serif"/>
      <family val="2"/>
      <scheme val="minor"/>
    </font>
    <font>
      <b/>
      <sz val="16"/>
      <color theme="3"/>
      <name val="Franklin Gothic Book"/>
      <family val="2"/>
      <scheme val="major"/>
    </font>
    <font>
      <sz val="14"/>
      <color theme="0"/>
      <name val="Microsoft Sans Serif"/>
      <family val="2"/>
      <scheme val="minor"/>
    </font>
    <font>
      <sz val="9"/>
      <color theme="1" tint="0.24994659260841701"/>
      <name val="Microsoft Sans Serif"/>
      <family val="2"/>
      <scheme val="minor"/>
    </font>
    <font>
      <sz val="18"/>
      <color theme="3"/>
      <name val="Franklin Gothic Book"/>
      <family val="2"/>
      <scheme val="major"/>
    </font>
    <font>
      <sz val="11"/>
      <color rgb="FF0061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sz val="11"/>
      <color rgb="FF9C5700"/>
      <name val="Microsoft Sans Serif"/>
      <family val="2"/>
      <scheme val="minor"/>
    </font>
    <font>
      <sz val="11"/>
      <color rgb="FF3F3F76"/>
      <name val="Microsoft Sans Serif"/>
      <family val="2"/>
      <scheme val="minor"/>
    </font>
    <font>
      <b/>
      <sz val="11"/>
      <color rgb="FF3F3F3F"/>
      <name val="Microsoft Sans Serif"/>
      <family val="2"/>
      <scheme val="minor"/>
    </font>
    <font>
      <b/>
      <sz val="11"/>
      <color rgb="FFFA7D00"/>
      <name val="Microsoft Sans Serif"/>
      <family val="2"/>
      <scheme val="minor"/>
    </font>
    <font>
      <sz val="11"/>
      <color rgb="FFFA7D00"/>
      <name val="Microsoft Sans Serif"/>
      <family val="2"/>
      <scheme val="minor"/>
    </font>
    <font>
      <b/>
      <sz val="11"/>
      <color theme="0"/>
      <name val="Microsoft Sans Serif"/>
      <family val="2"/>
      <scheme val="minor"/>
    </font>
    <font>
      <sz val="11"/>
      <color rgb="FFFF0000"/>
      <name val="Microsoft Sans Serif"/>
      <family val="2"/>
      <scheme val="minor"/>
    </font>
    <font>
      <b/>
      <sz val="11"/>
      <color theme="1"/>
      <name val="Microsoft Sans Serif"/>
      <family val="2"/>
      <scheme val="minor"/>
    </font>
    <font>
      <sz val="11"/>
      <color theme="0"/>
      <name val="Microsoft Sans Serif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3" tint="0.8999603259376811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medium">
        <color theme="6" tint="0.39997558519241921"/>
      </left>
      <right style="medium">
        <color theme="6" tint="0.39997558519241921"/>
      </right>
      <top style="medium">
        <color theme="6" tint="0.39997558519241921"/>
      </top>
      <bottom style="medium">
        <color theme="6" tint="0.39997558519241921"/>
      </bottom>
      <diagonal/>
    </border>
    <border>
      <left/>
      <right/>
      <top/>
      <bottom style="medium">
        <color theme="6" tint="0.39997558519241921"/>
      </bottom>
      <diagonal/>
    </border>
    <border>
      <left/>
      <right/>
      <top style="medium">
        <color theme="6" tint="0.39997558519241921"/>
      </top>
      <bottom/>
      <diagonal/>
    </border>
    <border>
      <left style="medium">
        <color theme="6" tint="0.39997558519241921"/>
      </left>
      <right style="medium">
        <color theme="6" tint="0.39997558519241921"/>
      </right>
      <top style="medium">
        <color theme="6" tint="0.39997558519241921"/>
      </top>
      <bottom/>
      <diagonal/>
    </border>
    <border>
      <left/>
      <right style="medium">
        <color theme="6" tint="0.39997558519241921"/>
      </right>
      <top/>
      <bottom/>
      <diagonal/>
    </border>
    <border>
      <left/>
      <right style="medium">
        <color theme="6" tint="0.39997558519241921"/>
      </right>
      <top style="medium">
        <color theme="6" tint="0.39997558519241921"/>
      </top>
      <bottom/>
      <diagonal/>
    </border>
    <border>
      <left style="medium">
        <color theme="6" tint="0.39997558519241921"/>
      </left>
      <right style="medium">
        <color theme="6" tint="0.39997558519241921"/>
      </right>
      <top/>
      <bottom/>
      <diagonal/>
    </border>
    <border>
      <left/>
      <right/>
      <top/>
      <bottom style="medium">
        <color theme="6" tint="0.39994506668294322"/>
      </bottom>
      <diagonal/>
    </border>
    <border>
      <left/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14548173467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 style="medium">
        <color theme="6" tint="0.39994506668294322"/>
      </bottom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14548173467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14548173467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1454817346722"/>
      </top>
      <bottom style="medium">
        <color theme="6" tint="0.39994506668294322"/>
      </bottom>
      <diagonal/>
    </border>
    <border>
      <left style="medium">
        <color theme="6" tint="0.39988402966399123"/>
      </left>
      <right/>
      <top style="medium">
        <color theme="6" tint="0.39991454817346722"/>
      </top>
      <bottom style="medium">
        <color theme="6" tint="0.39994506668294322"/>
      </bottom>
      <diagonal/>
    </border>
    <border>
      <left style="medium">
        <color theme="6" tint="0.39988402966399123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85351115451523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85351115451523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85351115451523"/>
      </bottom>
      <diagonal/>
    </border>
    <border>
      <left style="medium">
        <color theme="6" tint="0.39988402966399123"/>
      </left>
      <right style="medium">
        <color theme="6" tint="0.39985351115451523"/>
      </right>
      <top style="medium">
        <color theme="6" tint="0.39994506668294322"/>
      </top>
      <bottom style="medium">
        <color theme="6" tint="0.39985351115451523"/>
      </bottom>
      <diagonal/>
    </border>
    <border>
      <left/>
      <right style="medium">
        <color theme="6" tint="0.39997558519241921"/>
      </right>
      <top style="medium">
        <color theme="6" tint="0.39997558519241921"/>
      </top>
      <bottom style="medium">
        <color theme="6" tint="0.39997558519241921"/>
      </bottom>
      <diagonal/>
    </border>
    <border>
      <left/>
      <right style="medium">
        <color theme="6" tint="0.39994506668294322"/>
      </right>
      <top/>
      <bottom style="medium">
        <color theme="6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10" borderId="0"/>
    <xf numFmtId="0" fontId="8" fillId="0" borderId="0" applyNumberFormat="0" applyFill="0" applyProtection="0">
      <alignment vertical="center"/>
    </xf>
    <xf numFmtId="0" fontId="17" fillId="4" borderId="0" applyNumberFormat="0" applyProtection="0">
      <alignment vertical="center"/>
    </xf>
    <xf numFmtId="0" fontId="10" fillId="2" borderId="0" applyNumberFormat="0" applyProtection="0">
      <alignment vertical="center"/>
    </xf>
    <xf numFmtId="0" fontId="9" fillId="3" borderId="1" applyNumberFormat="0" applyProtection="0">
      <alignment horizontal="left" vertical="center" indent="1"/>
    </xf>
    <xf numFmtId="0" fontId="12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33" applyNumberFormat="0" applyAlignment="0" applyProtection="0"/>
    <xf numFmtId="0" fontId="47" fillId="18" borderId="34" applyNumberFormat="0" applyAlignment="0" applyProtection="0"/>
    <xf numFmtId="0" fontId="48" fillId="18" borderId="33" applyNumberFormat="0" applyAlignment="0" applyProtection="0"/>
    <xf numFmtId="0" fontId="49" fillId="0" borderId="35" applyNumberFormat="0" applyFill="0" applyAlignment="0" applyProtection="0"/>
    <xf numFmtId="0" fontId="50" fillId="19" borderId="36" applyNumberFormat="0" applyAlignment="0" applyProtection="0"/>
    <xf numFmtId="0" fontId="51" fillId="0" borderId="0" applyNumberFormat="0" applyFill="0" applyBorder="0" applyAlignment="0" applyProtection="0"/>
    <xf numFmtId="0" fontId="41" fillId="20" borderId="37" applyNumberFormat="0" applyFont="0" applyAlignment="0" applyProtection="0"/>
    <xf numFmtId="0" fontId="52" fillId="0" borderId="38" applyNumberFormat="0" applyFill="0" applyAlignment="0" applyProtection="0"/>
    <xf numFmtId="0" fontId="5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</cellStyleXfs>
  <cellXfs count="134">
    <xf numFmtId="0" fontId="0" fillId="10" borderId="0" xfId="0"/>
    <xf numFmtId="0" fontId="2" fillId="10" borderId="0" xfId="0" applyFont="1"/>
    <xf numFmtId="0" fontId="4" fillId="10" borderId="0" xfId="0" applyFont="1"/>
    <xf numFmtId="37" fontId="4" fillId="10" borderId="0" xfId="0" applyNumberFormat="1" applyFont="1" applyAlignment="1">
      <alignment horizontal="right"/>
    </xf>
    <xf numFmtId="37" fontId="6" fillId="10" borderId="0" xfId="0" applyNumberFormat="1" applyFont="1" applyAlignment="1">
      <alignment horizontal="right"/>
    </xf>
    <xf numFmtId="37" fontId="7" fillId="10" borderId="0" xfId="0" applyNumberFormat="1" applyFont="1" applyAlignment="1">
      <alignment horizontal="right"/>
    </xf>
    <xf numFmtId="9" fontId="0" fillId="10" borderId="0" xfId="0" applyNumberFormat="1" applyAlignment="1">
      <alignment horizontal="right"/>
    </xf>
    <xf numFmtId="0" fontId="2" fillId="4" borderId="0" xfId="0" applyFont="1" applyFill="1" applyAlignment="1">
      <alignment horizontal="left" vertical="top" indent="1"/>
    </xf>
    <xf numFmtId="0" fontId="3" fillId="4" borderId="0" xfId="0" applyFont="1" applyFill="1" applyAlignment="1">
      <alignment horizontal="left" vertical="top" indent="1"/>
    </xf>
    <xf numFmtId="0" fontId="5" fillId="4" borderId="0" xfId="0" applyFont="1" applyFill="1" applyAlignment="1">
      <alignment horizontal="left" vertical="top" indent="1"/>
    </xf>
    <xf numFmtId="0" fontId="2" fillId="8" borderId="0" xfId="0" applyFont="1" applyFill="1" applyAlignment="1">
      <alignment horizontal="left" vertical="top" indent="1"/>
    </xf>
    <xf numFmtId="0" fontId="22" fillId="10" borderId="0" xfId="0" applyFont="1"/>
    <xf numFmtId="0" fontId="21" fillId="9" borderId="0" xfId="3" applyFont="1" applyFill="1" applyAlignment="1">
      <alignment horizontal="left" vertical="center" indent="1"/>
    </xf>
    <xf numFmtId="0" fontId="16" fillId="4" borderId="5" xfId="0" applyFont="1" applyFill="1" applyBorder="1" applyAlignment="1">
      <alignment horizontal="left" vertical="center" indent="1"/>
    </xf>
    <xf numFmtId="0" fontId="4" fillId="10" borderId="4" xfId="0" applyFont="1" applyBorder="1"/>
    <xf numFmtId="0" fontId="17" fillId="4" borderId="0" xfId="2" applyAlignment="1"/>
    <xf numFmtId="0" fontId="10" fillId="6" borderId="0" xfId="3" applyFill="1" applyAlignment="1">
      <alignment horizontal="left" vertical="center" indent="2"/>
    </xf>
    <xf numFmtId="0" fontId="10" fillId="5" borderId="0" xfId="3" applyFill="1" applyAlignment="1">
      <alignment horizontal="left" vertical="center" indent="2"/>
    </xf>
    <xf numFmtId="0" fontId="10" fillId="7" borderId="0" xfId="3" applyFill="1" applyAlignment="1">
      <alignment horizontal="left" vertical="center" indent="2"/>
    </xf>
    <xf numFmtId="0" fontId="10" fillId="4" borderId="0" xfId="3" applyFill="1" applyAlignment="1">
      <alignment horizontal="left" vertical="center" indent="2"/>
    </xf>
    <xf numFmtId="0" fontId="0" fillId="11" borderId="2" xfId="0" applyFill="1" applyBorder="1" applyAlignment="1">
      <alignment horizontal="left" vertical="center" indent="2"/>
    </xf>
    <xf numFmtId="9" fontId="0" fillId="11" borderId="2" xfId="0" applyNumberFormat="1" applyFill="1" applyBorder="1" applyAlignment="1">
      <alignment horizontal="right" vertical="center" indent="2"/>
    </xf>
    <xf numFmtId="0" fontId="23" fillId="12" borderId="0" xfId="3" applyFont="1" applyFill="1" applyAlignment="1">
      <alignment horizontal="left"/>
    </xf>
    <xf numFmtId="0" fontId="23" fillId="12" borderId="0" xfId="3" applyFont="1" applyFill="1" applyAlignment="1">
      <alignment horizontal="center"/>
    </xf>
    <xf numFmtId="0" fontId="11" fillId="9" borderId="3" xfId="3" applyFont="1" applyFill="1" applyBorder="1" applyAlignment="1">
      <alignment horizontal="left" vertical="center" indent="1"/>
    </xf>
    <xf numFmtId="0" fontId="16" fillId="4" borderId="7" xfId="0" applyFont="1" applyFill="1" applyBorder="1" applyAlignment="1">
      <alignment horizontal="left" vertical="center" indent="1"/>
    </xf>
    <xf numFmtId="0" fontId="28" fillId="9" borderId="3" xfId="3" applyFont="1" applyFill="1" applyBorder="1">
      <alignment vertical="center"/>
    </xf>
    <xf numFmtId="0" fontId="20" fillId="10" borderId="0" xfId="0" applyFont="1" applyAlignment="1">
      <alignment wrapText="1"/>
    </xf>
    <xf numFmtId="0" fontId="21" fillId="9" borderId="3" xfId="3" applyFont="1" applyFill="1" applyBorder="1" applyAlignment="1">
      <alignment horizontal="left" vertical="center" indent="1"/>
    </xf>
    <xf numFmtId="0" fontId="30" fillId="9" borderId="0" xfId="3" applyFont="1" applyFill="1">
      <alignment vertical="center"/>
    </xf>
    <xf numFmtId="0" fontId="0" fillId="10" borderId="0" xfId="0" applyAlignment="1">
      <alignment vertical="center"/>
    </xf>
    <xf numFmtId="0" fontId="32" fillId="8" borderId="0" xfId="2" applyFont="1" applyFill="1" applyAlignment="1">
      <alignment horizontal="center" vertical="center"/>
    </xf>
    <xf numFmtId="0" fontId="33" fillId="8" borderId="0" xfId="0" applyFont="1" applyFill="1" applyAlignment="1">
      <alignment horizontal="left" vertical="top" indent="1"/>
    </xf>
    <xf numFmtId="0" fontId="34" fillId="10" borderId="0" xfId="0" applyFont="1"/>
    <xf numFmtId="0" fontId="33" fillId="8" borderId="0" xfId="0" applyFont="1" applyFill="1" applyAlignment="1">
      <alignment horizontal="left" vertical="top" wrapText="1" indent="1"/>
    </xf>
    <xf numFmtId="0" fontId="33" fillId="8" borderId="0" xfId="0" applyFont="1" applyFill="1" applyAlignment="1">
      <alignment horizontal="left" vertical="top" wrapText="1"/>
    </xf>
    <xf numFmtId="0" fontId="34" fillId="10" borderId="0" xfId="0" applyFont="1" applyAlignment="1">
      <alignment wrapText="1"/>
    </xf>
    <xf numFmtId="0" fontId="35" fillId="10" borderId="0" xfId="0" applyFont="1" applyAlignment="1">
      <alignment vertical="center" wrapText="1"/>
    </xf>
    <xf numFmtId="0" fontId="2" fillId="10" borderId="0" xfId="0" applyFont="1" applyAlignment="1">
      <alignment wrapText="1"/>
    </xf>
    <xf numFmtId="0" fontId="0" fillId="11" borderId="5" xfId="0" applyFill="1" applyBorder="1" applyAlignment="1">
      <alignment horizontal="left" vertical="center" indent="2"/>
    </xf>
    <xf numFmtId="9" fontId="0" fillId="11" borderId="5" xfId="0" applyNumberFormat="1" applyFill="1" applyBorder="1" applyAlignment="1">
      <alignment horizontal="right" vertical="center" indent="2"/>
    </xf>
    <xf numFmtId="0" fontId="34" fillId="10" borderId="6" xfId="0" applyFont="1" applyBorder="1"/>
    <xf numFmtId="0" fontId="36" fillId="10" borderId="0" xfId="0" applyFont="1" applyAlignment="1">
      <alignment vertical="center" wrapText="1"/>
    </xf>
    <xf numFmtId="0" fontId="36" fillId="10" borderId="0" xfId="0" applyFont="1" applyAlignment="1">
      <alignment wrapText="1"/>
    </xf>
    <xf numFmtId="0" fontId="37" fillId="10" borderId="0" xfId="0" applyFont="1" applyAlignment="1">
      <alignment vertical="center" wrapText="1"/>
    </xf>
    <xf numFmtId="0" fontId="24" fillId="6" borderId="9" xfId="4" applyFont="1" applyFill="1" applyBorder="1">
      <alignment horizontal="left" vertical="center" indent="1"/>
    </xf>
    <xf numFmtId="0" fontId="16" fillId="4" borderId="10" xfId="0" applyFont="1" applyFill="1" applyBorder="1" applyAlignment="1">
      <alignment horizontal="left" vertical="center" indent="1"/>
    </xf>
    <xf numFmtId="0" fontId="6" fillId="11" borderId="12" xfId="0" applyFont="1" applyFill="1" applyBorder="1" applyAlignment="1">
      <alignment horizontal="left" vertical="center" indent="1"/>
    </xf>
    <xf numFmtId="0" fontId="6" fillId="11" borderId="12" xfId="0" applyFont="1" applyFill="1" applyBorder="1" applyAlignment="1">
      <alignment horizontal="left" vertical="center" indent="2"/>
    </xf>
    <xf numFmtId="0" fontId="24" fillId="5" borderId="14" xfId="4" applyFont="1" applyFill="1" applyBorder="1">
      <alignment horizontal="left" vertical="center" indent="1"/>
    </xf>
    <xf numFmtId="0" fontId="20" fillId="12" borderId="15" xfId="4" applyFont="1" applyFill="1" applyBorder="1">
      <alignment horizontal="left" vertical="center" indent="1"/>
    </xf>
    <xf numFmtId="0" fontId="20" fillId="12" borderId="16" xfId="4" applyFont="1" applyFill="1" applyBorder="1">
      <alignment horizontal="left" vertical="center" indent="1"/>
    </xf>
    <xf numFmtId="0" fontId="24" fillId="5" borderId="9" xfId="4" applyFont="1" applyFill="1" applyBorder="1">
      <alignment horizontal="left" vertical="center" indent="1"/>
    </xf>
    <xf numFmtId="0" fontId="20" fillId="12" borderId="22" xfId="4" applyFont="1" applyFill="1" applyBorder="1">
      <alignment horizontal="left" vertical="center" indent="1"/>
    </xf>
    <xf numFmtId="0" fontId="20" fillId="12" borderId="23" xfId="4" applyFont="1" applyFill="1" applyBorder="1">
      <alignment horizontal="left" vertical="center" indent="1"/>
    </xf>
    <xf numFmtId="0" fontId="20" fillId="12" borderId="24" xfId="4" applyFont="1" applyFill="1" applyBorder="1">
      <alignment horizontal="left" vertical="center" indent="1"/>
    </xf>
    <xf numFmtId="0" fontId="24" fillId="5" borderId="25" xfId="4" applyFont="1" applyFill="1" applyBorder="1">
      <alignment horizontal="left" vertical="center" indent="1"/>
    </xf>
    <xf numFmtId="0" fontId="24" fillId="7" borderId="14" xfId="4" applyFont="1" applyFill="1" applyBorder="1">
      <alignment horizontal="left" vertical="center" indent="1"/>
    </xf>
    <xf numFmtId="0" fontId="24" fillId="6" borderId="14" xfId="4" applyFont="1" applyFill="1" applyBorder="1">
      <alignment horizontal="left" vertical="center" indent="1"/>
    </xf>
    <xf numFmtId="0" fontId="20" fillId="12" borderId="15" xfId="4" applyFont="1" applyFill="1" applyBorder="1" applyAlignment="1">
      <alignment horizontal="center" vertical="center"/>
    </xf>
    <xf numFmtId="0" fontId="20" fillId="12" borderId="16" xfId="4" applyFont="1" applyFill="1" applyBorder="1" applyAlignment="1">
      <alignment horizontal="center" vertical="center"/>
    </xf>
    <xf numFmtId="0" fontId="20" fillId="12" borderId="14" xfId="4" applyFont="1" applyFill="1" applyBorder="1" applyAlignment="1">
      <alignment horizontal="center" vertical="center"/>
    </xf>
    <xf numFmtId="0" fontId="6" fillId="11" borderId="30" xfId="0" applyFont="1" applyFill="1" applyBorder="1" applyAlignment="1">
      <alignment horizontal="left" vertical="center" indent="2"/>
    </xf>
    <xf numFmtId="0" fontId="40" fillId="4" borderId="0" xfId="0" applyFont="1" applyFill="1" applyAlignment="1">
      <alignment horizontal="left" vertical="top" indent="1"/>
    </xf>
    <xf numFmtId="0" fontId="16" fillId="4" borderId="17" xfId="0" applyFont="1" applyFill="1" applyBorder="1" applyAlignment="1">
      <alignment horizontal="left" vertical="center" indent="1"/>
    </xf>
    <xf numFmtId="0" fontId="27" fillId="11" borderId="19" xfId="0" applyFont="1" applyFill="1" applyBorder="1" applyAlignment="1">
      <alignment horizontal="left" vertical="center" indent="1"/>
    </xf>
    <xf numFmtId="0" fontId="20" fillId="12" borderId="14" xfId="4" applyFont="1" applyFill="1" applyBorder="1">
      <alignment horizontal="left" vertical="center" indent="1"/>
    </xf>
    <xf numFmtId="0" fontId="27" fillId="11" borderId="11" xfId="0" applyFont="1" applyFill="1" applyBorder="1" applyAlignment="1">
      <alignment horizontal="left" vertical="center" indent="1"/>
    </xf>
    <xf numFmtId="0" fontId="27" fillId="11" borderId="19" xfId="0" applyFont="1" applyFill="1" applyBorder="1" applyAlignment="1">
      <alignment horizontal="left" vertical="center" indent="2"/>
    </xf>
    <xf numFmtId="0" fontId="24" fillId="7" borderId="9" xfId="4" applyFont="1" applyFill="1" applyBorder="1">
      <alignment horizontal="left" vertical="center" indent="1"/>
    </xf>
    <xf numFmtId="0" fontId="16" fillId="4" borderId="4" xfId="0" applyFont="1" applyFill="1" applyBorder="1" applyAlignment="1">
      <alignment horizontal="left" vertical="center" indent="1"/>
    </xf>
    <xf numFmtId="0" fontId="30" fillId="9" borderId="32" xfId="3" applyFont="1" applyFill="1" applyBorder="1">
      <alignment vertical="center"/>
    </xf>
    <xf numFmtId="0" fontId="20" fillId="12" borderId="15" xfId="4" applyFont="1" applyFill="1" applyBorder="1" applyAlignment="1">
      <alignment horizontal="left"/>
    </xf>
    <xf numFmtId="0" fontId="20" fillId="12" borderId="16" xfId="4" applyFont="1" applyFill="1" applyBorder="1" applyAlignment="1">
      <alignment horizontal="left"/>
    </xf>
    <xf numFmtId="0" fontId="19" fillId="11" borderId="19" xfId="0" applyFont="1" applyFill="1" applyBorder="1" applyAlignment="1">
      <alignment horizontal="left" vertical="center" indent="1"/>
    </xf>
    <xf numFmtId="0" fontId="18" fillId="11" borderId="19" xfId="0" applyFont="1" applyFill="1" applyBorder="1" applyAlignment="1">
      <alignment horizontal="left" vertical="center" indent="2"/>
    </xf>
    <xf numFmtId="0" fontId="6" fillId="11" borderId="19" xfId="0" applyFont="1" applyFill="1" applyBorder="1" applyAlignment="1">
      <alignment horizontal="left" vertical="center" indent="1"/>
    </xf>
    <xf numFmtId="0" fontId="19" fillId="11" borderId="19" xfId="0" applyFont="1" applyFill="1" applyBorder="1" applyAlignment="1">
      <alignment horizontal="left" vertical="center" indent="2"/>
    </xf>
    <xf numFmtId="0" fontId="0" fillId="11" borderId="2" xfId="0" applyFill="1" applyBorder="1" applyAlignment="1">
      <alignment horizontal="left" vertical="center" indent="1"/>
    </xf>
    <xf numFmtId="0" fontId="16" fillId="4" borderId="26" xfId="0" applyFont="1" applyFill="1" applyBorder="1" applyAlignment="1">
      <alignment horizontal="left" vertical="center" indent="1"/>
    </xf>
    <xf numFmtId="0" fontId="0" fillId="10" borderId="0" xfId="0" applyAlignment="1">
      <alignment horizontal="left" indent="1"/>
    </xf>
    <xf numFmtId="0" fontId="4" fillId="10" borderId="0" xfId="0" applyFont="1" applyAlignment="1">
      <alignment horizontal="left"/>
    </xf>
    <xf numFmtId="0" fontId="29" fillId="4" borderId="0" xfId="0" applyFont="1" applyFill="1" applyAlignment="1">
      <alignment horizontal="center" vertical="top"/>
    </xf>
    <xf numFmtId="0" fontId="6" fillId="10" borderId="0" xfId="0" applyFont="1" applyAlignment="1">
      <alignment horizontal="center"/>
    </xf>
    <xf numFmtId="0" fontId="4" fillId="10" borderId="0" xfId="0" applyFont="1" applyAlignment="1">
      <alignment horizontal="center"/>
    </xf>
    <xf numFmtId="0" fontId="13" fillId="8" borderId="0" xfId="1" applyFont="1" applyFill="1" applyAlignment="1">
      <alignment horizontal="left" vertical="top" indent="1"/>
    </xf>
    <xf numFmtId="0" fontId="4" fillId="10" borderId="0" xfId="0" applyFont="1" applyAlignment="1">
      <alignment horizontal="left" indent="1"/>
    </xf>
    <xf numFmtId="0" fontId="39" fillId="4" borderId="0" xfId="2" applyFont="1" applyAlignment="1">
      <alignment horizontal="center" wrapText="1"/>
    </xf>
    <xf numFmtId="164" fontId="3" fillId="8" borderId="0" xfId="0" applyNumberFormat="1" applyFont="1" applyFill="1" applyAlignment="1">
      <alignment horizontal="left" vertical="top" indent="1"/>
    </xf>
    <xf numFmtId="164" fontId="5" fillId="8" borderId="0" xfId="0" applyNumberFormat="1" applyFont="1" applyFill="1" applyAlignment="1">
      <alignment horizontal="left" vertical="top" indent="1"/>
    </xf>
    <xf numFmtId="164" fontId="23" fillId="12" borderId="0" xfId="3" applyNumberFormat="1" applyFont="1" applyFill="1" applyAlignment="1">
      <alignment horizontal="center"/>
    </xf>
    <xf numFmtId="164" fontId="20" fillId="12" borderId="15" xfId="4" applyNumberFormat="1" applyFont="1" applyFill="1" applyBorder="1" applyAlignment="1">
      <alignment horizontal="center" vertical="center"/>
    </xf>
    <xf numFmtId="164" fontId="20" fillId="12" borderId="23" xfId="4" applyNumberFormat="1" applyFont="1" applyFill="1" applyBorder="1">
      <alignment horizontal="left" vertical="center" indent="1"/>
    </xf>
    <xf numFmtId="164" fontId="20" fillId="12" borderId="15" xfId="4" applyNumberFormat="1" applyFont="1" applyFill="1" applyBorder="1">
      <alignment horizontal="left" vertical="center" indent="1"/>
    </xf>
    <xf numFmtId="164" fontId="20" fillId="12" borderId="15" xfId="4" applyNumberFormat="1" applyFont="1" applyFill="1" applyBorder="1" applyAlignment="1">
      <alignment horizontal="left"/>
    </xf>
    <xf numFmtId="166" fontId="0" fillId="10" borderId="0" xfId="0" applyNumberFormat="1" applyAlignment="1">
      <alignment horizontal="right"/>
    </xf>
    <xf numFmtId="167" fontId="14" fillId="13" borderId="17" xfId="0" applyNumberFormat="1" applyFont="1" applyFill="1" applyBorder="1" applyAlignment="1">
      <alignment horizontal="right" vertical="center"/>
    </xf>
    <xf numFmtId="167" fontId="14" fillId="13" borderId="13" xfId="0" applyNumberFormat="1" applyFont="1" applyFill="1" applyBorder="1" applyAlignment="1">
      <alignment horizontal="right" vertical="center"/>
    </xf>
    <xf numFmtId="167" fontId="14" fillId="11" borderId="18" xfId="0" applyNumberFormat="1" applyFont="1" applyFill="1" applyBorder="1" applyAlignment="1">
      <alignment horizontal="right" vertical="center"/>
    </xf>
    <xf numFmtId="167" fontId="14" fillId="11" borderId="19" xfId="0" applyNumberFormat="1" applyFont="1" applyFill="1" applyBorder="1" applyAlignment="1">
      <alignment horizontal="right" vertical="center"/>
    </xf>
    <xf numFmtId="167" fontId="14" fillId="11" borderId="20" xfId="0" applyNumberFormat="1" applyFont="1" applyFill="1" applyBorder="1" applyAlignment="1">
      <alignment horizontal="right" vertical="center"/>
    </xf>
    <xf numFmtId="167" fontId="14" fillId="11" borderId="21" xfId="0" applyNumberFormat="1" applyFont="1" applyFill="1" applyBorder="1" applyAlignment="1">
      <alignment horizontal="right" vertical="center"/>
    </xf>
    <xf numFmtId="167" fontId="14" fillId="11" borderId="27" xfId="0" applyNumberFormat="1" applyFont="1" applyFill="1" applyBorder="1" applyAlignment="1">
      <alignment horizontal="right" vertical="center"/>
    </xf>
    <xf numFmtId="167" fontId="14" fillId="11" borderId="28" xfId="0" applyNumberFormat="1" applyFont="1" applyFill="1" applyBorder="1" applyAlignment="1">
      <alignment horizontal="right" vertical="center"/>
    </xf>
    <xf numFmtId="167" fontId="14" fillId="11" borderId="29" xfId="0" applyNumberFormat="1" applyFont="1" applyFill="1" applyBorder="1" applyAlignment="1">
      <alignment horizontal="right" vertical="center"/>
    </xf>
    <xf numFmtId="167" fontId="0" fillId="13" borderId="17" xfId="0" applyNumberFormat="1" applyFill="1" applyBorder="1" applyAlignment="1">
      <alignment horizontal="right" vertical="center"/>
    </xf>
    <xf numFmtId="167" fontId="0" fillId="13" borderId="13" xfId="0" applyNumberFormat="1" applyFill="1" applyBorder="1" applyAlignment="1">
      <alignment horizontal="right" vertical="center"/>
    </xf>
    <xf numFmtId="167" fontId="0" fillId="11" borderId="18" xfId="0" applyNumberFormat="1" applyFill="1" applyBorder="1" applyAlignment="1">
      <alignment horizontal="right" vertical="center"/>
    </xf>
    <xf numFmtId="167" fontId="0" fillId="11" borderId="19" xfId="0" applyNumberFormat="1" applyFill="1" applyBorder="1" applyAlignment="1">
      <alignment horizontal="right" vertical="center"/>
    </xf>
    <xf numFmtId="167" fontId="0" fillId="11" borderId="20" xfId="0" applyNumberFormat="1" applyFill="1" applyBorder="1" applyAlignment="1">
      <alignment horizontal="right" vertical="center"/>
    </xf>
    <xf numFmtId="167" fontId="0" fillId="11" borderId="21" xfId="0" applyNumberFormat="1" applyFill="1" applyBorder="1" applyAlignment="1">
      <alignment horizontal="right" vertical="center"/>
    </xf>
    <xf numFmtId="167" fontId="15" fillId="11" borderId="5" xfId="0" applyNumberFormat="1" applyFont="1" applyFill="1" applyBorder="1" applyAlignment="1">
      <alignment horizontal="right" vertical="center"/>
    </xf>
    <xf numFmtId="167" fontId="15" fillId="11" borderId="2" xfId="0" applyNumberFormat="1" applyFont="1" applyFill="1" applyBorder="1" applyAlignment="1">
      <alignment horizontal="right" vertical="center"/>
    </xf>
    <xf numFmtId="167" fontId="0" fillId="11" borderId="19" xfId="0" applyNumberFormat="1" applyFill="1" applyBorder="1" applyAlignment="1">
      <alignment vertical="center"/>
    </xf>
    <xf numFmtId="167" fontId="0" fillId="11" borderId="20" xfId="0" applyNumberFormat="1" applyFill="1" applyBorder="1" applyAlignment="1">
      <alignment vertical="center"/>
    </xf>
    <xf numFmtId="167" fontId="0" fillId="11" borderId="21" xfId="0" applyNumberFormat="1" applyFill="1" applyBorder="1" applyAlignment="1">
      <alignment vertical="center"/>
    </xf>
    <xf numFmtId="167" fontId="25" fillId="11" borderId="20" xfId="0" applyNumberFormat="1" applyFont="1" applyFill="1" applyBorder="1" applyAlignment="1">
      <alignment horizontal="right" vertical="center"/>
    </xf>
    <xf numFmtId="167" fontId="15" fillId="11" borderId="31" xfId="0" applyNumberFormat="1" applyFont="1" applyFill="1" applyBorder="1" applyAlignment="1">
      <alignment horizontal="right"/>
    </xf>
    <xf numFmtId="167" fontId="15" fillId="11" borderId="2" xfId="0" applyNumberFormat="1" applyFont="1" applyFill="1" applyBorder="1" applyAlignment="1">
      <alignment horizontal="right"/>
    </xf>
    <xf numFmtId="167" fontId="15" fillId="11" borderId="6" xfId="0" applyNumberFormat="1" applyFont="1" applyFill="1" applyBorder="1" applyAlignment="1">
      <alignment horizontal="right"/>
    </xf>
    <xf numFmtId="167" fontId="15" fillId="11" borderId="8" xfId="0" applyNumberFormat="1" applyFont="1" applyFill="1" applyBorder="1" applyAlignment="1">
      <alignment horizontal="right"/>
    </xf>
    <xf numFmtId="167" fontId="15" fillId="11" borderId="5" xfId="0" applyNumberFormat="1" applyFont="1" applyFill="1" applyBorder="1" applyAlignment="1">
      <alignment horizontal="right"/>
    </xf>
    <xf numFmtId="167" fontId="14" fillId="11" borderId="20" xfId="0" applyNumberFormat="1" applyFont="1" applyFill="1" applyBorder="1" applyAlignment="1">
      <alignment vertical="center"/>
    </xf>
    <xf numFmtId="167" fontId="26" fillId="11" borderId="2" xfId="0" applyNumberFormat="1" applyFont="1" applyFill="1" applyBorder="1" applyAlignment="1">
      <alignment horizontal="right"/>
    </xf>
    <xf numFmtId="167" fontId="26" fillId="11" borderId="8" xfId="0" applyNumberFormat="1" applyFont="1" applyFill="1" applyBorder="1" applyAlignment="1">
      <alignment horizontal="right"/>
    </xf>
    <xf numFmtId="167" fontId="0" fillId="11" borderId="2" xfId="0" applyNumberFormat="1" applyFill="1" applyBorder="1" applyAlignment="1">
      <alignment horizontal="right" vertical="center" indent="2"/>
    </xf>
    <xf numFmtId="167" fontId="0" fillId="11" borderId="5" xfId="0" applyNumberFormat="1" applyFill="1" applyBorder="1" applyAlignment="1">
      <alignment horizontal="right" vertical="center" indent="2"/>
    </xf>
    <xf numFmtId="0" fontId="20" fillId="10" borderId="0" xfId="0" applyFont="1" applyAlignment="1">
      <alignment wrapText="1"/>
    </xf>
    <xf numFmtId="0" fontId="20" fillId="10" borderId="0" xfId="0" applyFont="1"/>
    <xf numFmtId="0" fontId="17" fillId="4" borderId="0" xfId="2" applyAlignment="1">
      <alignment horizontal="left" indent="1"/>
    </xf>
    <xf numFmtId="0" fontId="12" fillId="4" borderId="0" xfId="5" applyFill="1" applyAlignment="1">
      <alignment horizontal="left" vertical="top" indent="1"/>
    </xf>
    <xf numFmtId="0" fontId="38" fillId="4" borderId="0" xfId="5" applyFont="1" applyFill="1" applyAlignment="1">
      <alignment horizontal="left" vertical="top" indent="1"/>
    </xf>
    <xf numFmtId="0" fontId="17" fillId="4" borderId="0" xfId="2" applyAlignment="1">
      <alignment horizontal="right" vertical="center" indent="3"/>
    </xf>
    <xf numFmtId="0" fontId="31" fillId="11" borderId="0" xfId="0" applyFont="1" applyFill="1" applyAlignme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5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11" builtinId="15" customBuiltin="1"/>
    <cellStyle name="Total" xfId="22" builtinId="25" customBuiltin="1"/>
    <cellStyle name="Warning Text" xfId="20" builtinId="11" customBuiltin="1"/>
  </cellStyles>
  <dxfs count="4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numFmt numFmtId="13" formatCode="0%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2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border outline="0">
        <bottom style="medium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shrinkToFit="0" readingOrder="0"/>
      <border diagonalUp="0" diagonalDown="0" outline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</border>
    </dxf>
    <dxf>
      <border outline="0"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/>
        <name val="Franklin Gothic Book"/>
        <family val="2"/>
        <scheme val="major"/>
      </font>
      <numFmt numFmtId="0" formatCode="General"/>
      <fill>
        <patternFill patternType="solid">
          <fgColor indexed="64"/>
          <bgColor theme="3" tint="-0.499984740745262"/>
        </patternFill>
      </fill>
      <alignment horizontal="general" vertical="center" textRotation="0" wrapText="0" indent="0" justifyLastLine="0" shrinkToFit="0" readingOrder="0"/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/>
        <right style="medium">
          <color theme="6" tint="0.3999450666829432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/>
        <right style="medium">
          <color theme="6" tint="0.3999450666829432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/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/>
        <right style="medium">
          <color theme="6" tint="0.3999450666829432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6" formatCode="#,##0.00\ &quot;лв.&quot;;[Red]#,##0.00\ &quot;лв.&quot;"/>
    </dxf>
    <dxf>
      <font>
        <b val="0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</dxf>
    <dxf>
      <numFmt numFmtId="167" formatCode="#,##0.00\ [$лв.-402];[Red]\-#,##0.00\ [$лв.-402]"/>
    </dxf>
    <dxf>
      <numFmt numFmtId="166" formatCode="#,##0.00\ &quot;лв.&quot;;[Red]#,##0.00\ &quot;лв.&quot;"/>
    </dxf>
    <dxf>
      <numFmt numFmtId="167" formatCode="#,##0.00\ [$лв.-402];[Red]\-#,##0.00\ [$лв.-402]"/>
    </dxf>
    <dxf>
      <numFmt numFmtId="166" formatCode="#,##0.00\ &quot;лв.&quot;;[Red]#,##0.00\ &quot;лв.&quot;"/>
    </dxf>
    <dxf>
      <numFmt numFmtId="167" formatCode="#,##0.00\ [$лв.-402];[Red]\-#,##0.00\ [$лв.-402]"/>
    </dxf>
    <dxf>
      <numFmt numFmtId="166" formatCode="#,##0.00\ &quot;лв.&quot;;[Red]#,##0.00\ &quot;лв.&quot;"/>
    </dxf>
    <dxf>
      <numFmt numFmtId="167" formatCode="#,##0.00\ [$лв.-402];[Red]\-#,##0.00\ [$лв.-402]"/>
    </dxf>
    <dxf>
      <numFmt numFmtId="166" formatCode="#,##0.00\ &quot;лв.&quot;;[Red]#,##0.00\ &quot;лв.&quot;"/>
    </dxf>
    <dxf>
      <numFmt numFmtId="167" formatCode="#,##0.00\ [$лв.-402];[Red]\-#,##0.00\ [$лв.-402]"/>
    </dxf>
    <dxf>
      <numFmt numFmtId="166" formatCode="#,##0.00\ &quot;лв.&quot;;[Red]#,##0.00\ &quot;лв.&quot;"/>
    </dxf>
    <dxf>
      <numFmt numFmtId="167" formatCode="#,##0.00\ [$лв.-402];[Red]\-#,##0.00\ [$лв.-402]"/>
    </dxf>
    <dxf>
      <numFmt numFmtId="166" formatCode="#,##0.00\ &quot;лв.&quot;;[Red]#,##0.00\ &quot;лв.&quot;"/>
    </dxf>
    <dxf>
      <numFmt numFmtId="167" formatCode="#,##0.00\ [$лв.-402];[Red]\-#,##0.00\ [$лв.-402]"/>
    </dxf>
    <dxf>
      <numFmt numFmtId="166" formatCode="#,##0.00\ &quot;лв.&quot;;[Red]#,##0.00\ &quot;лв.&quot;"/>
    </dxf>
    <dxf>
      <numFmt numFmtId="167" formatCode="#,##0.00\ [$лв.-402];[Red]\-#,##0.00\ [$лв.-402]"/>
    </dxf>
    <dxf>
      <numFmt numFmtId="166" formatCode="#,##0.00\ &quot;лв.&quot;;[Red]#,##0.00\ &quot;лв.&quot;"/>
    </dxf>
    <dxf>
      <numFmt numFmtId="167" formatCode="#,##0.00\ [$лв.-402];[Red]\-#,##0.00\ [$лв.-402]"/>
    </dxf>
    <dxf>
      <numFmt numFmtId="166" formatCode="#,##0.00\ &quot;лв.&quot;;[Red]#,##0.00\ &quot;лв.&quot;"/>
    </dxf>
    <dxf>
      <numFmt numFmtId="167" formatCode="#,##0.00\ [$лв.-402];[Red]\-#,##0.00\ [$лв.-402]"/>
    </dxf>
    <dxf>
      <numFmt numFmtId="166" formatCode="#,##0.00\ &quot;лв.&quot;;[Red]#,##0.00\ &quot;лв.&quot;"/>
    </dxf>
    <dxf>
      <numFmt numFmtId="167" formatCode="#,##0.00\ [$лв.-402];[Red]\-#,##0.00\ [$лв.-402]"/>
    </dxf>
    <dxf>
      <numFmt numFmtId="166" formatCode="#,##0.00\ &quot;лв.&quot;;[Red]#,##0.00\ &quot;лв.&quot;"/>
    </dxf>
    <dxf>
      <numFmt numFmtId="167" formatCode="#,##0.00\ [$лв.-402];[Red]\-#,##0.00\ [$лв.-402]"/>
    </dxf>
    <dxf>
      <fill>
        <patternFill patternType="solid">
          <fgColor indexed="64"/>
          <bgColor theme="6" tint="0.79998168889431442"/>
        </patternFill>
      </fill>
      <alignment horizontal="left" vertical="center" textRotation="0" wrapText="0" justifyLastLine="0" shrinkToFit="0" readingOrder="0"/>
      <border diagonalUp="0" diagonalDown="0">
        <left/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alignment horizontal="left" vertical="center" textRotation="0" wrapText="0" relativeIndent="1" justifyLastLine="0" shrinkToFit="0" readingOrder="0"/>
    </dxf>
    <dxf>
      <border>
        <top style="medium">
          <color theme="6" tint="0.39994506668294322"/>
        </top>
      </border>
    </dxf>
    <dxf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medium">
          <color theme="6" tint="0.39997558519241921"/>
        </top>
        <bottom/>
      </border>
    </dxf>
    <dxf>
      <border outline="0">
        <left style="medium">
          <color theme="6" tint="0.39997558519241921"/>
        </left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/>
        <name val="Franklin Gothic Book"/>
        <family val="2"/>
        <scheme val="major"/>
      </font>
      <numFmt numFmtId="0" formatCode="General"/>
      <fill>
        <patternFill patternType="solid">
          <fgColor indexed="64"/>
          <bgColor theme="3" tint="-0.499984740745262"/>
        </patternFill>
      </fill>
      <alignment horizontal="general" vertical="center" textRotation="0" wrapText="0" indent="0" justifyLastLine="0" shrinkToFit="0" readingOrder="0"/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/>
        <top/>
        <bottom/>
      </border>
    </dxf>
    <dxf>
      <numFmt numFmtId="167" formatCode="#,##0.00\ [$лв.-402];[Red]\-#,##0.00\ [$лв.-402]"/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medium">
          <color theme="6" tint="0.39994506668294322"/>
        </top>
        <bottom style="medium">
          <color theme="6" tint="0.39994506668294322"/>
        </bottom>
        <vertical/>
        <horizontal style="medium">
          <color theme="6" tint="0.39994506668294322"/>
        </horizontal>
      </border>
    </dxf>
    <dxf>
      <alignment horizontal="left" vertical="center" textRotation="0" wrapText="0" relativeIndent="1" justifyLastLine="0" shrinkToFit="0" readingOrder="0"/>
      <border diagonalUp="0" diagonalDown="0" outline="0">
        <left/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numFmt numFmtId="167" formatCode="#,##0.00\ [$лв.-402];[Red]\-#,##0.00\ [$лв.-402]"/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justifyLastLine="0" shrinkToFit="0" readingOrder="0"/>
      <border diagonalUp="0" diagonalDown="0" outline="0">
        <left/>
        <right style="medium">
          <color theme="6" tint="0.3999450666829432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/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color auto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alignment horizontal="left" vertical="center" textRotation="0" wrapText="0" relativeIndent="-1" justifyLastLine="0" shrinkToFit="0" readingOrder="0"/>
      <border diagonalUp="0" diagonalDown="0" outline="0">
        <left/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/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 style="medium">
          <color theme="6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7558519241921"/>
        </left>
        <right style="medium">
          <color theme="6" tint="0.39997558519241921"/>
        </right>
        <top style="medium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7558519241921"/>
        </right>
        <top style="medium">
          <color theme="6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medium">
          <color theme="6" tint="0.39997558519241921"/>
        </right>
        <top style="medium">
          <color theme="6" tint="0.39997558519241921"/>
        </top>
        <bottom/>
      </border>
    </dxf>
    <dxf>
      <border outline="0">
        <top style="medium">
          <color theme="6" tint="0.39997558519241921"/>
        </top>
      </border>
    </dxf>
    <dxf>
      <border outline="0">
        <left style="medium">
          <color theme="6" tint="0.39997558519241921"/>
        </left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border outline="0">
        <bottom style="medium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ranklin Gothic Book"/>
        <family val="2"/>
        <scheme val="major"/>
      </font>
      <numFmt numFmtId="0" formatCode="General"/>
      <fill>
        <patternFill patternType="solid">
          <fgColor indexed="64"/>
          <bgColor theme="3" tint="-0.49998474074526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/>
        <right style="medium">
          <color theme="6" tint="0.39991454817346722"/>
        </right>
        <top style="medium">
          <color theme="6" tint="0.39994506668294322"/>
        </top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numFmt numFmtId="167" formatCode="#,##0.00\ [$лв.-402];[Red]\-#,##0.00\ [$лв.-402]"/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/>
        <right style="medium">
          <color theme="6" tint="0.39991454817346722"/>
        </right>
        <top style="medium">
          <color theme="6" tint="0.39994506668294322"/>
        </top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/>
        <right style="medium">
          <color theme="6" tint="0.39991454817346722"/>
        </right>
        <top style="medium">
          <color theme="6" tint="0.39994506668294322"/>
        </top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39994506668294322"/>
        </left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6" formatCode="#,##0.00\ &quot;лв.&quot;;[Red]#,##0.00\ &quot;лв.&quot;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Microsoft Sans Serif"/>
        <family val="2"/>
        <scheme val="minor"/>
      </font>
      <numFmt numFmtId="167" formatCode="#,##0.00\ [$лв.-402];[Red]\-#,##0.00\ [$лв.-402]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6" tint="0.39994506668294322"/>
        </right>
        <top style="medium">
          <color theme="6" tint="0.39994506668294322"/>
        </top>
        <bottom style="medium">
          <color theme="6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Sans Serif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2" justifyLastLine="0" shrinkToFit="0" readingOrder="0"/>
      <border diagonalUp="0" diagonalDown="0">
        <left style="medium">
          <color theme="6" tint="0.39988402966399123"/>
        </left>
        <right style="medium">
          <color theme="6" tint="0.39985351115451523"/>
        </right>
        <top style="medium">
          <color theme="6" tint="0.39994506668294322"/>
        </top>
        <bottom style="medium">
          <color theme="6" tint="0.39985351115451523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0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-1" justifyLastLine="0" shrinkToFit="0" readingOrder="0"/>
      <border diagonalUp="0" diagonalDown="0" outline="0">
        <left style="medium">
          <color theme="6" tint="0.39988402966399123"/>
        </left>
        <right/>
        <top style="medium">
          <color theme="6" tint="0.39994506668294322"/>
        </top>
        <bottom style="medium">
          <color theme="6" tint="0.39994506668294322"/>
        </bottom>
      </border>
    </dxf>
    <dxf>
      <border>
        <top style="medium">
          <color theme="6" tint="0.39994506668294322"/>
        </top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border diagonalUp="0" diagonalDown="0">
        <left/>
        <right style="medium">
          <color theme="6" tint="0.39994506668294322"/>
        </right>
        <top/>
        <bottom/>
      </border>
    </dxf>
    <dxf>
      <border>
        <bottom style="medium">
          <color theme="6" tint="0.39994506668294322"/>
        </bottom>
      </border>
    </dxf>
    <dxf>
      <border diagonalUp="0" diagonalDown="0">
        <left style="medium">
          <color theme="6" tint="0.39994506668294322"/>
        </left>
        <right style="medium">
          <color theme="6" tint="0.39994506668294322"/>
        </right>
        <top/>
        <bottom/>
        <vertical style="medium">
          <color theme="6" tint="0.39994506668294322"/>
        </vertical>
        <horizontal style="medium">
          <color theme="6" tint="0.39994506668294322"/>
        </horizontal>
      </border>
    </dxf>
    <dxf>
      <font>
        <color auto="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color theme="1"/>
      </font>
      <fill>
        <patternFill patternType="solid">
          <fgColor theme="0" tint="-0.14993743705557422"/>
          <bgColor theme="0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b val="0"/>
        <i val="0"/>
        <color theme="1"/>
      </font>
      <fill>
        <patternFill>
          <bgColor theme="6" tint="0.79998168889431442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color theme="0"/>
      </font>
      <fill>
        <patternFill>
          <fgColor theme="3"/>
          <bgColor theme="3"/>
        </patternFill>
      </fill>
      <border diagonalUp="0" diagonalDown="0">
        <left/>
        <right/>
        <top/>
        <bottom/>
        <vertical/>
        <horizontal style="medium">
          <color theme="6" tint="0.39994506668294322"/>
        </horizontal>
      </border>
    </dxf>
    <dxf>
      <font>
        <b/>
        <i val="0"/>
        <color theme="1"/>
      </font>
      <fill>
        <patternFill>
          <bgColor theme="6" tint="0.79998168889431442"/>
        </patternFill>
      </fill>
      <border diagonalUp="0" diagonalDown="0">
        <left/>
        <right/>
        <top style="medium">
          <color theme="6" tint="0.39994506668294322"/>
        </top>
        <bottom/>
        <vertical style="medium">
          <color theme="6" tint="0.39991454817346722"/>
        </vertical>
        <horizontal/>
      </border>
    </dxf>
    <dxf>
      <font>
        <color theme="6" tint="0.39994506668294322"/>
      </font>
      <fill>
        <patternFill>
          <bgColor theme="6" tint="0.39994506668294322"/>
        </patternFill>
      </fill>
      <border diagonalUp="0" diagonalDown="0">
        <left/>
        <right/>
        <top/>
        <bottom style="medium">
          <color theme="6" tint="0.39994506668294322"/>
        </bottom>
        <vertical/>
        <horizontal/>
      </border>
    </dxf>
    <dxf>
      <font>
        <b val="0"/>
        <i val="0"/>
        <color theme="1"/>
      </font>
      <fill>
        <patternFill>
          <bgColor theme="0"/>
        </patternFill>
      </fill>
      <border diagonalUp="0" diagonalDown="0">
        <left/>
        <right/>
        <top style="medium">
          <color theme="6" tint="0.39994506668294322"/>
        </top>
        <bottom style="medium">
          <color theme="6" tint="0.39994506668294322"/>
        </bottom>
        <vertical style="medium">
          <color theme="6" tint="0.39994506668294322"/>
        </vertical>
        <horizontal style="medium">
          <color theme="6" tint="0.39994506668294322"/>
        </horizontal>
      </border>
    </dxf>
  </dxfs>
  <tableStyles count="1" defaultPivotStyle="PivotStyleLight16">
    <tableStyle name="Подробни оценки на разходите в таблица 2" pivot="0" count="7" xr9:uid="{00000000-0011-0000-FFFF-FFFF00000000}">
      <tableStyleElement type="wholeTable" dxfId="467"/>
      <tableStyleElement type="headerRow" dxfId="466"/>
      <tableStyleElement type="totalRow" dxfId="465"/>
      <tableStyleElement type="firstColumn" dxfId="464"/>
      <tableStyleElement type="lastColumn" dxfId="463"/>
      <tableStyleElement type="firstRowStripe" size="9" dxfId="462"/>
      <tableStyleElement type="firstColumnStripe" dxfId="461"/>
    </tableStyle>
  </tableStyles>
  <colors>
    <mruColors>
      <color rgb="FF3B893D"/>
      <color rgb="FF99CCFF"/>
      <color rgb="FFFFCC99"/>
      <color rgb="FF80008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customXml" Target="/customXml/item3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customXml" Target="/customXml/item22.xml" Id="rId11" /><Relationship Type="http://schemas.openxmlformats.org/officeDocument/2006/relationships/worksheet" Target="/xl/worksheets/sheet54.xml" Id="rId5" /><Relationship Type="http://schemas.openxmlformats.org/officeDocument/2006/relationships/customXml" Target="/customXml/item13.xml" Id="rId10" /><Relationship Type="http://schemas.openxmlformats.org/officeDocument/2006/relationships/worksheet" Target="/xl/worksheets/sheet45.xml" Id="rId4" /><Relationship Type="http://schemas.openxmlformats.org/officeDocument/2006/relationships/calcChain" Target="/xl/calcChain.xml" Id="rId9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Месечни разходи</a:t>
            </a:r>
          </a:p>
        </c:rich>
      </c:tx>
      <c:layout>
        <c:manualLayout>
          <c:xMode val="edge"/>
          <c:yMode val="edge"/>
          <c:x val="1.0996591979294411E-2"/>
          <c:y val="8.903205679824600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Планирани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'ПЛАНИРАНИ РАЗХОДИ'!$C$36:$N$36</c:f>
              <c:numCache>
                <c:formatCode>#,##0.00\ [$лв.-402];[Red]\-#,##0.00\ [$лв.-402]</c:formatCode>
                <c:ptCount val="12"/>
                <c:pt idx="0">
                  <c:v>131420</c:v>
                </c:pt>
                <c:pt idx="1">
                  <c:v>126820</c:v>
                </c:pt>
                <c:pt idx="2">
                  <c:v>126820</c:v>
                </c:pt>
                <c:pt idx="3">
                  <c:v>137695</c:v>
                </c:pt>
                <c:pt idx="4">
                  <c:v>129695</c:v>
                </c:pt>
                <c:pt idx="5">
                  <c:v>130495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D-4DB7-A511-401DE3785DC9}"/>
            </c:ext>
          </c:extLst>
        </c:ser>
        <c:ser>
          <c:idx val="2"/>
          <c:order val="2"/>
          <c:tx>
            <c:v>Действителни</c:v>
          </c:tx>
          <c:spPr>
            <a:solidFill>
              <a:schemeClr val="accent4">
                <a:alpha val="25000"/>
              </a:schemeClr>
            </a:solidFill>
            <a:ln>
              <a:noFill/>
            </a:ln>
            <a:effectLst/>
          </c:spPr>
          <c:invertIfNegative val="0"/>
          <c:val>
            <c:numRef>
              <c:f>'ДЕЙСТВИТЕЛНИ РАЗХОДИ'!$C$36:$N$36</c:f>
              <c:numCache>
                <c:formatCode>#,##0.00\ [$лв.-402];[Red]\-#,##0.00\ [$лв.-402]</c:formatCode>
                <c:ptCount val="12"/>
                <c:pt idx="0">
                  <c:v>129682</c:v>
                </c:pt>
                <c:pt idx="1">
                  <c:v>127804</c:v>
                </c:pt>
                <c:pt idx="2">
                  <c:v>125565</c:v>
                </c:pt>
                <c:pt idx="3">
                  <c:v>137394</c:v>
                </c:pt>
                <c:pt idx="4">
                  <c:v>128255</c:v>
                </c:pt>
                <c:pt idx="5">
                  <c:v>134239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5D-4DB7-A511-401DE3785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2146616"/>
        <c:axId val="362147008"/>
      </c:barChart>
      <c:lineChart>
        <c:grouping val="standard"/>
        <c:varyColors val="0"/>
        <c:ser>
          <c:idx val="0"/>
          <c:order val="0"/>
          <c:tx>
            <c:v>Разлика</c:v>
          </c:tx>
          <c:spPr>
            <a:ln w="28575" cap="rnd">
              <a:solidFill>
                <a:schemeClr val="accent3">
                  <a:shade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'РАЗЛИКИ В РАЗХОДИТЕ'!$C$36:$N$36</c:f>
              <c:numCache>
                <c:formatCode>#,##0.00\ [$лв.-402];[Red]\-#,##0.00\ [$лв.-402]</c:formatCode>
                <c:ptCount val="12"/>
                <c:pt idx="0">
                  <c:v>1738</c:v>
                </c:pt>
                <c:pt idx="1">
                  <c:v>-984</c:v>
                </c:pt>
                <c:pt idx="2">
                  <c:v>1255</c:v>
                </c:pt>
                <c:pt idx="3">
                  <c:v>301</c:v>
                </c:pt>
                <c:pt idx="4">
                  <c:v>1440</c:v>
                </c:pt>
                <c:pt idx="5">
                  <c:v>-3744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5D-4DB7-A511-401DE3785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146616"/>
        <c:axId val="362147008"/>
      </c:lineChart>
      <c:catAx>
        <c:axId val="362146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Месец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147008"/>
        <c:crosses val="autoZero"/>
        <c:auto val="1"/>
        <c:lblAlgn val="ctr"/>
        <c:lblOffset val="100"/>
        <c:noMultiLvlLbl val="0"/>
      </c:catAx>
      <c:valAx>
        <c:axId val="3621470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Разходи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[$лв.-402];[Red]\-#,##0\ [$лв.-402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146616"/>
        <c:crosses val="autoZero"/>
        <c:crossBetween val="between"/>
        <c:dispUnits>
          <c:builtInUnit val="tenThousands"/>
          <c:dispUnitsLbl>
            <c:layout>
              <c:manualLayout>
                <c:xMode val="edge"/>
                <c:yMode val="edge"/>
                <c:x val="4.1853475435826903E-2"/>
                <c:y val="0.11317096082764759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8591667626513452E-4"/>
          <c:y val="5.3074322488831559E-2"/>
          <c:w val="0.33878368215294763"/>
          <c:h val="3.5797897231067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63031357179274"/>
          <c:y val="0.17330539881195353"/>
          <c:w val="0.77087715204872431"/>
          <c:h val="0.7185346351337940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'АНАЛИЗ НА РАЗХОДИТЕ'!$C$5</c:f>
              <c:strCache>
                <c:ptCount val="1"/>
                <c:pt idx="0">
                  <c:v>Планирани разходи</c:v>
                </c:pt>
              </c:strCache>
            </c:strRef>
          </c:tx>
          <c:spPr>
            <a:solidFill>
              <a:schemeClr val="accent2"/>
            </a:solidFill>
            <a:ln w="19050">
              <a:noFill/>
            </a:ln>
            <a:effectLst/>
          </c:spPr>
          <c:invertIfNegative val="0"/>
          <c:cat>
            <c:strRef>
              <c:f>'АНАЛИЗ НА РАЗХОДИТЕ'!$B$6:$B$9</c:f>
              <c:strCache>
                <c:ptCount val="4"/>
                <c:pt idx="0">
                  <c:v>Разходи за служители</c:v>
                </c:pt>
                <c:pt idx="1">
                  <c:v>Разходи за офис</c:v>
                </c:pt>
                <c:pt idx="2">
                  <c:v>Разходи за маркетинг</c:v>
                </c:pt>
                <c:pt idx="3">
                  <c:v>Обучения/пътувания</c:v>
                </c:pt>
              </c:strCache>
            </c:strRef>
          </c:cat>
          <c:val>
            <c:numRef>
              <c:f>'АНАЛИЗ НА РАЗХОДИТЕ'!$C$6:$C$9</c:f>
              <c:numCache>
                <c:formatCode>#,##0.00\ [$лв.-402];[Red]\-#,##0.00\ [$лв.-402]</c:formatCode>
                <c:ptCount val="4"/>
                <c:pt idx="0">
                  <c:v>1355090</c:v>
                </c:pt>
                <c:pt idx="1">
                  <c:v>138740</c:v>
                </c:pt>
                <c:pt idx="2">
                  <c:v>67800</c:v>
                </c:pt>
                <c:pt idx="3">
                  <c:v>48000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85-485F-B818-D5944CB69AAB}"/>
            </c:ext>
          </c:extLst>
        </c:ser>
        <c:ser>
          <c:idx val="0"/>
          <c:order val="1"/>
          <c:tx>
            <c:strRef>
              <c:f>'АНАЛИЗ НА РАЗХОДИТЕ'!$D$5</c:f>
              <c:strCache>
                <c:ptCount val="1"/>
                <c:pt idx="0">
                  <c:v>Действителни разходи</c:v>
                </c:pt>
              </c:strCache>
            </c:strRef>
          </c:tx>
          <c:spPr>
            <a:solidFill>
              <a:schemeClr val="accent4"/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85-485F-B818-D5944CB69AA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485-485F-B818-D5944CB69AA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485-485F-B818-D5944CB69AA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485-485F-B818-D5944CB69AAB}"/>
              </c:ext>
            </c:extLst>
          </c:dPt>
          <c:cat>
            <c:strRef>
              <c:f>'АНАЛИЗ НА РАЗХОДИТЕ'!$B$6:$B$9</c:f>
              <c:strCache>
                <c:ptCount val="4"/>
                <c:pt idx="0">
                  <c:v>Разходи за служители</c:v>
                </c:pt>
                <c:pt idx="1">
                  <c:v>Разходи за офис</c:v>
                </c:pt>
                <c:pt idx="2">
                  <c:v>Разходи за маркетинг</c:v>
                </c:pt>
                <c:pt idx="3">
                  <c:v>Обучения/пътувания</c:v>
                </c:pt>
              </c:strCache>
            </c:strRef>
          </c:cat>
          <c:val>
            <c:numRef>
              <c:f>'АНАЛИЗ НА РАЗХОДИТЕ'!$D$6:$D$9</c:f>
              <c:numCache>
                <c:formatCode>#,##0.00\ [$лв.-402];[Red]\-#,##0.00\ [$лв.-402]</c:formatCode>
                <c:ptCount val="4"/>
                <c:pt idx="0">
                  <c:v>659130</c:v>
                </c:pt>
                <c:pt idx="1">
                  <c:v>69350</c:v>
                </c:pt>
                <c:pt idx="2">
                  <c:v>33159</c:v>
                </c:pt>
                <c:pt idx="3">
                  <c:v>21300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85-485F-B818-D5944CB69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16845712"/>
        <c:axId val="716855552"/>
      </c:barChart>
      <c:valAx>
        <c:axId val="716855552"/>
        <c:scaling>
          <c:orientation val="minMax"/>
          <c:max val="14000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[$лв.-402];[Red]\-#,##0\ [$лв.-402]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845712"/>
        <c:crosses val="autoZero"/>
        <c:crossBetween val="between"/>
        <c:dispUnits>
          <c:builtInUnit val="tenThousands"/>
          <c:dispUnitsLbl>
            <c:layout>
              <c:manualLayout>
                <c:xMode val="edge"/>
                <c:yMode val="edge"/>
                <c:x val="0.88923701186841542"/>
                <c:y val="0.94119752263847256"/>
              </c:manualLayout>
            </c:layout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716845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855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0972101080870553E-3"/>
          <c:y val="1.0416663818716148E-2"/>
          <c:w val="0.35524818071206038"/>
          <c:h val="5.58442541983119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_rels/drawing34.xml.rels>&#65279;<?xml version="1.0" encoding="utf-8"?><Relationships xmlns="http://schemas.openxmlformats.org/package/2006/relationships"><Relationship Type="http://schemas.openxmlformats.org/officeDocument/2006/relationships/image" Target="/xl/media/image23.png" Id="rId1" /></Relationships>
</file>

<file path=xl/drawings/_rels/drawing43.xml.rels>&#65279;<?xml version="1.0" encoding="utf-8"?><Relationships xmlns="http://schemas.openxmlformats.org/package/2006/relationships"><Relationship Type="http://schemas.openxmlformats.org/officeDocument/2006/relationships/chart" Target="/xl/charts/chart21.xml" Id="rId3" /><Relationship Type="http://schemas.openxmlformats.org/officeDocument/2006/relationships/image" Target="/xl/media/image32.png" Id="rId2" /><Relationship Type="http://schemas.openxmlformats.org/officeDocument/2006/relationships/chart" Target="/xl/charts/chart12.xm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27504</xdr:colOff>
      <xdr:row>3</xdr:row>
      <xdr:rowOff>0</xdr:rowOff>
    </xdr:from>
    <xdr:to>
      <xdr:col>20</xdr:col>
      <xdr:colOff>962</xdr:colOff>
      <xdr:row>12</xdr:row>
      <xdr:rowOff>192640</xdr:rowOff>
    </xdr:to>
    <xdr:sp macro="" textlink="">
      <xdr:nvSpPr>
        <xdr:cNvPr id="3" name="Балонче с реч: Правоъгълник 2" descr="Tip: HOW TO USE THIS TEMPLATE&#10;Input data in the white cells on the PLANNED EXPENSES and ACTUAL EXPENSES worksheets, and the EXPENSE VARIANCES and EXPENSE ANALYSIS will be calculated for you.  If you add a row on one sheet, the other sheets need to match&#10;">
          <a:extLst>
            <a:ext uri="{FF2B5EF4-FFF2-40B4-BE49-F238E27FC236}">
              <a16:creationId xmlns:a16="http://schemas.microsoft.com/office/drawing/2014/main" id="{26EBCE28-31AF-4664-B39F-77F2857D060F}"/>
            </a:ext>
          </a:extLst>
        </xdr:cNvPr>
        <xdr:cNvSpPr/>
      </xdr:nvSpPr>
      <xdr:spPr>
        <a:xfrm>
          <a:off x="18534579" y="1257300"/>
          <a:ext cx="1935608" cy="3288265"/>
        </a:xfrm>
        <a:prstGeom prst="wedgeRectCallout">
          <a:avLst>
            <a:gd name="adj1" fmla="val -65157"/>
            <a:gd name="adj2" fmla="val -20833"/>
          </a:avLst>
        </a:prstGeom>
        <a:solidFill>
          <a:schemeClr val="accent3">
            <a:lumMod val="20000"/>
            <a:lumOff val="80000"/>
            <a:alpha val="66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tIns="182880" rIns="182880" bIns="182880" rtlCol="0" anchor="t"/>
        <a:lstStyle/>
        <a:p>
          <a:pPr rtl="0"/>
          <a:r>
            <a:rPr lang="bg" sz="1100" b="1">
              <a:solidFill>
                <a:schemeClr val="tx2"/>
              </a:solidFill>
              <a:effectLst/>
              <a:latin typeface="Microsoft Sans Serif" panose="020B0604020202020204" pitchFamily="34" charset="0"/>
              <a:ea typeface="+mn-ea"/>
              <a:cs typeface="+mn-cs"/>
            </a:rPr>
            <a:t>КАК СЕ ИЗПОЛЗВА ТОЗИ ШАБЛОН</a:t>
          </a:r>
        </a:p>
        <a:p>
          <a:pPr rtl="0"/>
          <a:endParaRPr lang="en-US">
            <a:solidFill>
              <a:schemeClr val="tx2"/>
            </a:solidFill>
            <a:effectLst/>
            <a:latin typeface="Microsoft Sans Serif" panose="020B0604020202020204" pitchFamily="34" charset="0"/>
          </a:endParaRPr>
        </a:p>
        <a:p>
          <a:pPr rtl="0"/>
          <a:r>
            <a:rPr lang="bg" sz="1100">
              <a:solidFill>
                <a:schemeClr val="tx2"/>
              </a:solidFill>
              <a:effectLst/>
              <a:latin typeface="Microsoft Sans Serif" panose="020B0604020202020204" pitchFamily="34" charset="0"/>
              <a:ea typeface="+mn-ea"/>
              <a:cs typeface="+mn-cs"/>
            </a:rPr>
            <a:t>Въведете данни </a:t>
          </a:r>
        </a:p>
        <a:p>
          <a:pPr rtl="0"/>
          <a:r>
            <a:rPr lang="bg" sz="1100">
              <a:solidFill>
                <a:schemeClr val="tx2"/>
              </a:solidFill>
              <a:effectLst/>
              <a:latin typeface="Microsoft Sans Serif" panose="020B0604020202020204" pitchFamily="34" charset="0"/>
              <a:ea typeface="+mn-ea"/>
              <a:cs typeface="+mn-cs"/>
            </a:rPr>
            <a:t>в белите клетки </a:t>
          </a:r>
        </a:p>
        <a:p>
          <a:pPr rtl="0"/>
          <a:r>
            <a:rPr lang="bg" sz="1100">
              <a:solidFill>
                <a:schemeClr val="tx2"/>
              </a:solidFill>
              <a:effectLst/>
              <a:latin typeface="Microsoft Sans Serif" panose="020B0604020202020204" pitchFamily="34" charset="0"/>
              <a:ea typeface="+mn-ea"/>
              <a:cs typeface="+mn-cs"/>
            </a:rPr>
            <a:t>в работните листове ПЛАНИРАНИ РАЗХОДИ и ДЕЙСТВИТЕЛНИ РАЗХОДИ, а РАЗЛИКИ В РАЗХОДИТЕ </a:t>
          </a:r>
        </a:p>
        <a:p>
          <a:pPr rtl="0"/>
          <a:r>
            <a:rPr lang="bg" sz="1100">
              <a:solidFill>
                <a:schemeClr val="tx2"/>
              </a:solidFill>
              <a:effectLst/>
              <a:latin typeface="Microsoft Sans Serif" panose="020B0604020202020204" pitchFamily="34" charset="0"/>
              <a:ea typeface="+mn-ea"/>
              <a:cs typeface="+mn-cs"/>
            </a:rPr>
            <a:t>и АНАЛИЗ НА РАЗХОДИТЕ ще бъдат изчислени за вас.  Ако добавите ред в един лист,</a:t>
          </a:r>
          <a:r>
            <a:rPr lang="bg" sz="1100" baseline="0">
              <a:solidFill>
                <a:schemeClr val="tx2"/>
              </a:solidFill>
              <a:effectLst/>
              <a:latin typeface="Microsoft Sans Serif" panose="020B0604020202020204" pitchFamily="34" charset="0"/>
              <a:ea typeface="+mn-ea"/>
              <a:cs typeface="+mn-cs"/>
            </a:rPr>
            <a:t> другите листове трябва да съвпадат.</a:t>
          </a:r>
          <a:endParaRPr lang="en-US" sz="1100">
            <a:solidFill>
              <a:schemeClr val="tx2"/>
            </a:solidFill>
            <a:latin typeface="Microsoft Sans Serif" panose="020B0604020202020204" pitchFamily="34" charset="0"/>
          </a:endParaRPr>
        </a:p>
      </xdr:txBody>
    </xdr:sp>
    <xdr:clientData fPrintsWithSheet="0"/>
  </xdr:twoCellAnchor>
  <xdr:twoCellAnchor editAs="oneCell">
    <xdr:from>
      <xdr:col>13</xdr:col>
      <xdr:colOff>267556</xdr:colOff>
      <xdr:row>1</xdr:row>
      <xdr:rowOff>2117</xdr:rowOff>
    </xdr:from>
    <xdr:to>
      <xdr:col>14</xdr:col>
      <xdr:colOff>784447</xdr:colOff>
      <xdr:row>2</xdr:row>
      <xdr:rowOff>139243</xdr:rowOff>
    </xdr:to>
    <xdr:pic>
      <xdr:nvPicPr>
        <xdr:cNvPr id="9" name="Картина 18" descr="Контейнер за емблема">
          <a:extLst>
            <a:ext uri="{FF2B5EF4-FFF2-40B4-BE49-F238E27FC236}">
              <a16:creationId xmlns:a16="http://schemas.microsoft.com/office/drawing/2014/main" id="{65A40888-9F83-43E7-A699-52663041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6117156" y="306917"/>
          <a:ext cx="1631316" cy="708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267556</xdr:colOff>
      <xdr:row>1</xdr:row>
      <xdr:rowOff>2117</xdr:rowOff>
    </xdr:from>
    <xdr:to>
      <xdr:col>14</xdr:col>
      <xdr:colOff>784447</xdr:colOff>
      <xdr:row>2</xdr:row>
      <xdr:rowOff>139243</xdr:rowOff>
    </xdr:to>
    <xdr:pic>
      <xdr:nvPicPr>
        <xdr:cNvPr id="6" name="Картина 18" descr="Контейнер за емблема">
          <a:extLst>
            <a:ext uri="{FF2B5EF4-FFF2-40B4-BE49-F238E27FC236}">
              <a16:creationId xmlns:a16="http://schemas.microsoft.com/office/drawing/2014/main" id="{83DAF7B9-4C56-44AA-B3C3-38F1A49B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288231" y="306917"/>
          <a:ext cx="1631316" cy="708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251011</xdr:colOff>
      <xdr:row>1</xdr:row>
      <xdr:rowOff>0</xdr:rowOff>
    </xdr:from>
    <xdr:to>
      <xdr:col>14</xdr:col>
      <xdr:colOff>750336</xdr:colOff>
      <xdr:row>2</xdr:row>
      <xdr:rowOff>129496</xdr:rowOff>
    </xdr:to>
    <xdr:pic>
      <xdr:nvPicPr>
        <xdr:cNvPr id="6" name="Картина 18" descr="Контейнер за емблема">
          <a:extLst>
            <a:ext uri="{FF2B5EF4-FFF2-40B4-BE49-F238E27FC236}">
              <a16:creationId xmlns:a16="http://schemas.microsoft.com/office/drawing/2014/main" id="{A2E6D019-45AC-4D89-848F-C976B436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271686" y="304800"/>
          <a:ext cx="1613750" cy="700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12</xdr:row>
      <xdr:rowOff>200025</xdr:rowOff>
    </xdr:from>
    <xdr:to>
      <xdr:col>5</xdr:col>
      <xdr:colOff>1704975</xdr:colOff>
      <xdr:row>38</xdr:row>
      <xdr:rowOff>21653</xdr:rowOff>
    </xdr:to>
    <xdr:graphicFrame macro="">
      <xdr:nvGraphicFramePr>
        <xdr:cNvPr id="8" name="ДиаграмаМесечниРазходи" descr="Диаграма, показваща &quot;Планирани&quot;, &quot;Действителни&quot; и &quot;Дисперсия&quot; в &quot;Месечни разходи&quot;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447675</xdr:colOff>
      <xdr:row>1</xdr:row>
      <xdr:rowOff>1635</xdr:rowOff>
    </xdr:from>
    <xdr:to>
      <xdr:col>5</xdr:col>
      <xdr:colOff>1707515</xdr:colOff>
      <xdr:row>1</xdr:row>
      <xdr:rowOff>548896</xdr:rowOff>
    </xdr:to>
    <xdr:pic>
      <xdr:nvPicPr>
        <xdr:cNvPr id="9" name="Картина 18" descr="Контейнер за емблема">
          <a:extLst>
            <a:ext uri="{FF2B5EF4-FFF2-40B4-BE49-F238E27FC236}">
              <a16:creationId xmlns:a16="http://schemas.microsoft.com/office/drawing/2014/main" id="{7C6D1F32-6273-47BA-873D-2E5A8467E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219950" y="306435"/>
          <a:ext cx="1259840" cy="547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314324</xdr:colOff>
      <xdr:row>11</xdr:row>
      <xdr:rowOff>0</xdr:rowOff>
    </xdr:from>
    <xdr:to>
      <xdr:col>5</xdr:col>
      <xdr:colOff>1362075</xdr:colOff>
      <xdr:row>11</xdr:row>
      <xdr:rowOff>3657601</xdr:rowOff>
    </xdr:to>
    <xdr:graphicFrame macro="">
      <xdr:nvGraphicFramePr>
        <xdr:cNvPr id="7" name="ДиаграмаДействителниРазходи" descr="Кръгова диаграма, показваща действителните разходи, направени в различни категории">
          <a:extLst>
            <a:ext uri="{FF2B5EF4-FFF2-40B4-BE49-F238E27FC236}">
              <a16:creationId xmlns:a16="http://schemas.microsoft.com/office/drawing/2014/main" id="{FE109E8A-EB22-46B1-850C-BFD738E25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B099C32-C8DE-492A-BEED-550CF2841A11}" name="ОбщоДействителни" displayName="ОбщоДействителни" ref="B35:O37" totalsRowShown="0" headerRowDxfId="177" dataDxfId="176" tableBorderDxfId="175">
  <autoFilter ref="B35:O37" xr:uid="{527B5B30-B216-4604-BE5A-D760DE033F9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359818E9-FD74-4273-8957-D80FFA77ADE8}" name="ОБЩИ планирани разходи" dataDxfId="174"/>
    <tableColumn id="2" xr3:uid="{ED08B701-BD0B-43EA-B6B5-8B23D583D505}" name="Янр" dataDxfId="173">
      <calculatedColumnFormula>SUM($C35:C$36)</calculatedColumnFormula>
    </tableColumn>
    <tableColumn id="3" xr3:uid="{953C450B-5235-4234-924F-53796609C439}" name="Фев" dataDxfId="172">
      <calculatedColumnFormula>SUM($C35:D$36)</calculatedColumnFormula>
    </tableColumn>
    <tableColumn id="4" xr3:uid="{A434CE91-3696-411F-8418-02228D13F12E}" name="Мар" dataDxfId="171">
      <calculatedColumnFormula>SUM($C35:E$36)</calculatedColumnFormula>
    </tableColumn>
    <tableColumn id="5" xr3:uid="{1E74C645-B91F-4CDB-9F55-6FEC8EAB0A64}" name="Апр" dataDxfId="170">
      <calculatedColumnFormula>SUM($C35:F$36)</calculatedColumnFormula>
    </tableColumn>
    <tableColumn id="6" xr3:uid="{A3B698F1-9EF3-489A-A70E-8E760D6B713B}" name="Май" dataDxfId="169">
      <calculatedColumnFormula>SUM($C35:G$36)</calculatedColumnFormula>
    </tableColumn>
    <tableColumn id="7" xr3:uid="{6CEDC80B-5635-47E7-AA54-EBD827095F7C}" name="Юни" dataDxfId="168">
      <calculatedColumnFormula>SUM($C35:H$36)</calculatedColumnFormula>
    </tableColumn>
    <tableColumn id="8" xr3:uid="{A73C88FE-0ABF-4134-B6B0-043ECC9295D4}" name="Юли" dataDxfId="167">
      <calculatedColumnFormula>SUM($C35:I$36)</calculatedColumnFormula>
    </tableColumn>
    <tableColumn id="9" xr3:uid="{62119987-B16F-44A1-B80E-29460A9513CD}" name="Авг" dataDxfId="166">
      <calculatedColumnFormula>SUM($C35:J$36)</calculatedColumnFormula>
    </tableColumn>
    <tableColumn id="10" xr3:uid="{C84A40CE-DC4A-442E-883F-891CA5A9A166}" name="Сеп" dataDxfId="165">
      <calculatedColumnFormula>SUM($C35:K$36)</calculatedColumnFormula>
    </tableColumn>
    <tableColumn id="11" xr3:uid="{4DB975F1-C294-416D-81FB-A8070CC2C3BC}" name="Окт" dataDxfId="164">
      <calculatedColumnFormula>SUM($C35:L$36)</calculatedColumnFormula>
    </tableColumn>
    <tableColumn id="12" xr3:uid="{BC57DA11-9B5C-452D-8026-EF863D07E32E}" name="Ное" dataDxfId="163">
      <calculatedColumnFormula>SUM($C35:M$36)</calculatedColumnFormula>
    </tableColumn>
    <tableColumn id="13" xr3:uid="{904E02FB-FEA8-49B0-ABA0-9B659A7720D8}" name="Дек" dataDxfId="162">
      <calculatedColumnFormula>SUM($C35:N$36)</calculatedColumnFormula>
    </tableColumn>
    <tableColumn id="14" xr3:uid="{8C10E0BB-4735-4718-9538-C4AFB616D92A}" name="Година" dataDxfId="161"/>
  </tableColumns>
  <tableStyleInfo name="TableStyleMedium1" showFirstColumn="1" showLastColumn="0" showRowStripes="0" showColumnStripes="0"/>
  <extLst>
    <ext xmlns:x14="http://schemas.microsoft.com/office/spreadsheetml/2009/9/main" uri="{504A1905-F514-4f6f-8877-14C23A59335A}">
      <x14:table altTextSummary="Месечните и общите действителни разходи се изчисляват автоматично в тази таблица"/>
    </ext>
  </extLst>
</table>
</file>

<file path=xl/tables/table1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РазликиЗаСлужители" displayName="РазликиЗаСлужители" ref="B5:O8" totalsRowCount="1" headerRowDxfId="155" totalsRowDxfId="152" headerRowBorderDxfId="154" tableBorderDxfId="153" totalsRowBorderDxfId="151">
  <autoFilter ref="B5:O7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800-000001000000}" name="Разходи за служители" totalsRowLabel="Междинна сума" dataDxfId="150" totalsRowDxfId="149"/>
    <tableColumn id="2" xr3:uid="{00000000-0010-0000-0800-000002000000}" name="Янр" totalsRowFunction="sum" dataDxfId="148" totalsRowDxfId="147">
      <calculatedColumnFormula>INDEX(ПланираниЗаСлужители[],MATCH(INDEX(РазликиЗаСлужители[],ROW()-ROW(РазликиЗаСлужители[[#Headers],[Янр]]),1),INDEX(ПланираниЗаСлужители[],,1),0),MATCH(РазликиЗаСлужители[[#Headers],[Янр]],ПланираниЗаСлужители[#Headers],0))-INDEX(ДействителниЗаСлужители[],MATCH(INDEX(РазликиЗаСлужители[],ROW()-ROW(РазликиЗаСлужители[[#Headers],[Янр]]),1),INDEX(ПланираниЗаСлужители[],,1),0),MATCH(РазликиЗаСлужители[[#Headers],[Янр]],ДействителниЗаСлужители[#Headers],0))</calculatedColumnFormula>
    </tableColumn>
    <tableColumn id="3" xr3:uid="{00000000-0010-0000-0800-000003000000}" name="Фев" totalsRowFunction="sum" dataDxfId="146" totalsRowDxfId="145">
      <calculatedColumnFormula>INDEX(ПланираниЗаСлужители[],MATCH(INDEX(РазликиЗаСлужители[],ROW()-ROW(РазликиЗаСлужители[[#Headers],[Фев]]),1),INDEX(ПланираниЗаСлужители[],,1),0),MATCH(РазликиЗаСлужители[[#Headers],[Фев]],ПланираниЗаСлужители[#Headers],0))-INDEX(ДействителниЗаСлужители[],MATCH(INDEX(РазликиЗаСлужители[],ROW()-ROW(РазликиЗаСлужители[[#Headers],[Фев]]),1),INDEX(ПланираниЗаСлужители[],,1),0),MATCH(РазликиЗаСлужители[[#Headers],[Фев]],ДействителниЗаСлужители[#Headers],0))</calculatedColumnFormula>
    </tableColumn>
    <tableColumn id="4" xr3:uid="{00000000-0010-0000-0800-000004000000}" name="Мар" totalsRowFunction="sum" dataDxfId="144" totalsRowDxfId="143">
      <calculatedColumnFormula>INDEX(ПланираниЗаСлужители[],MATCH(INDEX(РазликиЗаСлужители[],ROW()-ROW(РазликиЗаСлужители[[#Headers],[Мар]]),1),INDEX(ПланираниЗаСлужители[],,1),0),MATCH(РазликиЗаСлужители[[#Headers],[Мар]],ПланираниЗаСлужители[#Headers],0))-INDEX(ДействителниЗаСлужители[],MATCH(INDEX(РазликиЗаСлужители[],ROW()-ROW(РазликиЗаСлужители[[#Headers],[Мар]]),1),INDEX(ПланираниЗаСлужители[],,1),0),MATCH(РазликиЗаСлужители[[#Headers],[Мар]],ДействителниЗаСлужители[#Headers],0))</calculatedColumnFormula>
    </tableColumn>
    <tableColumn id="5" xr3:uid="{00000000-0010-0000-0800-000005000000}" name="Апр" totalsRowFunction="sum" dataDxfId="142" totalsRowDxfId="141">
      <calculatedColumnFormula>INDEX(ПланираниЗаСлужители[],MATCH(INDEX(РазликиЗаСлужители[],ROW()-ROW(РазликиЗаСлужители[[#Headers],[Апр]]),1),INDEX(ПланираниЗаСлужители[],,1),0),MATCH(РазликиЗаСлужители[[#Headers],[Апр]],ПланираниЗаСлужители[#Headers],0))-INDEX(ДействителниЗаСлужители[],MATCH(INDEX(РазликиЗаСлужители[],ROW()-ROW(РазликиЗаСлужители[[#Headers],[Апр]]),1),INDEX(ПланираниЗаСлужители[],,1),0),MATCH(РазликиЗаСлужители[[#Headers],[Апр]],ДействителниЗаСлужители[#Headers],0))</calculatedColumnFormula>
    </tableColumn>
    <tableColumn id="6" xr3:uid="{00000000-0010-0000-0800-000006000000}" name="Май" totalsRowFunction="sum" dataDxfId="140" totalsRowDxfId="139">
      <calculatedColumnFormula>INDEX(ПланираниЗаСлужители[],MATCH(INDEX(РазликиЗаСлужители[],ROW()-ROW(РазликиЗаСлужители[[#Headers],[Май]]),1),INDEX(ПланираниЗаСлужители[],,1),0),MATCH(РазликиЗаСлужители[[#Headers],[Май]],ПланираниЗаСлужители[#Headers],0))-INDEX(ДействителниЗаСлужители[],MATCH(INDEX(РазликиЗаСлужители[],ROW()-ROW(РазликиЗаСлужители[[#Headers],[Май]]),1),INDEX(ПланираниЗаСлужители[],,1),0),MATCH(РазликиЗаСлужители[[#Headers],[Май]],ДействителниЗаСлужители[#Headers],0))</calculatedColumnFormula>
    </tableColumn>
    <tableColumn id="7" xr3:uid="{00000000-0010-0000-0800-000007000000}" name="Юни" totalsRowFunction="sum" dataDxfId="138" totalsRowDxfId="137">
      <calculatedColumnFormula>INDEX(ПланираниЗаСлужители[],MATCH(INDEX(РазликиЗаСлужители[],ROW()-ROW(РазликиЗаСлужители[[#Headers],[Юни]]),1),INDEX(ПланираниЗаСлужители[],,1),0),MATCH(РазликиЗаСлужители[[#Headers],[Юни]],ПланираниЗаСлужители[#Headers],0))-INDEX(ДействителниЗаСлужители[],MATCH(INDEX(РазликиЗаСлужители[],ROW()-ROW(РазликиЗаСлужители[[#Headers],[Юни]]),1),INDEX(ПланираниЗаСлужители[],,1),0),MATCH(РазликиЗаСлужители[[#Headers],[Юни]],ДействителниЗаСлужители[#Headers],0))</calculatedColumnFormula>
    </tableColumn>
    <tableColumn id="8" xr3:uid="{00000000-0010-0000-0800-000008000000}" name="Юли" totalsRowFunction="sum" dataDxfId="136" totalsRowDxfId="135">
      <calculatedColumnFormula>INDEX(ПланираниЗаСлужители[],MATCH(INDEX(РазликиЗаСлужители[],ROW()-ROW(РазликиЗаСлужители[[#Headers],[Юли]]),1),INDEX(ПланираниЗаСлужители[],,1),0),MATCH(РазликиЗаСлужители[[#Headers],[Юли]],ПланираниЗаСлужители[#Headers],0))-INDEX(ДействителниЗаСлужители[],MATCH(INDEX(РазликиЗаСлужители[],ROW()-ROW(РазликиЗаСлужители[[#Headers],[Юли]]),1),INDEX(ПланираниЗаСлужители[],,1),0),MATCH(РазликиЗаСлужители[[#Headers],[Юли]],ДействителниЗаСлужители[#Headers],0))</calculatedColumnFormula>
    </tableColumn>
    <tableColumn id="9" xr3:uid="{00000000-0010-0000-0800-000009000000}" name="Авг" totalsRowFunction="sum" dataDxfId="134" totalsRowDxfId="133">
      <calculatedColumnFormula>INDEX(ПланираниЗаСлужители[],MATCH(INDEX(РазликиЗаСлужители[],ROW()-ROW(РазликиЗаСлужители[[#Headers],[Авг]]),1),INDEX(ПланираниЗаСлужители[],,1),0),MATCH(РазликиЗаСлужители[[#Headers],[Авг]],ПланираниЗаСлужители[#Headers],0))-INDEX(ДействителниЗаСлужители[],MATCH(INDEX(РазликиЗаСлужители[],ROW()-ROW(РазликиЗаСлужители[[#Headers],[Авг]]),1),INDEX(ПланираниЗаСлужители[],,1),0),MATCH(РазликиЗаСлужители[[#Headers],[Авг]],ДействителниЗаСлужители[#Headers],0))</calculatedColumnFormula>
    </tableColumn>
    <tableColumn id="10" xr3:uid="{00000000-0010-0000-0800-00000A000000}" name="Сеп" totalsRowFunction="sum" dataDxfId="132" totalsRowDxfId="131">
      <calculatedColumnFormula>INDEX(ПланираниЗаСлужители[],MATCH(INDEX(РазликиЗаСлужители[],ROW()-ROW(РазликиЗаСлужители[[#Headers],[Сеп]]),1),INDEX(ПланираниЗаСлужители[],,1),0),MATCH(РазликиЗаСлужители[[#Headers],[Сеп]],ПланираниЗаСлужители[#Headers],0))-INDEX(ДействителниЗаСлужители[],MATCH(INDEX(РазликиЗаСлужители[],ROW()-ROW(РазликиЗаСлужители[[#Headers],[Сеп]]),1),INDEX(ПланираниЗаСлужители[],,1),0),MATCH(РазликиЗаСлужители[[#Headers],[Сеп]],ДействителниЗаСлужители[#Headers],0))</calculatedColumnFormula>
    </tableColumn>
    <tableColumn id="11" xr3:uid="{00000000-0010-0000-0800-00000B000000}" name="Окт" totalsRowFunction="sum" dataDxfId="130" totalsRowDxfId="129">
      <calculatedColumnFormula>INDEX(ПланираниЗаСлужители[],MATCH(INDEX(РазликиЗаСлужители[],ROW()-ROW(РазликиЗаСлужители[[#Headers],[Окт]]),1),INDEX(ПланираниЗаСлужители[],,1),0),MATCH(РазликиЗаСлужители[[#Headers],[Окт]],ПланираниЗаСлужители[#Headers],0))-INDEX(ДействителниЗаСлужители[],MATCH(INDEX(РазликиЗаСлужители[],ROW()-ROW(РазликиЗаСлужители[[#Headers],[Окт]]),1),INDEX(ПланираниЗаСлужители[],,1),0),MATCH(РазликиЗаСлужители[[#Headers],[Окт]],ДействителниЗаСлужители[#Headers],0))</calculatedColumnFormula>
    </tableColumn>
    <tableColumn id="12" xr3:uid="{00000000-0010-0000-0800-00000C000000}" name="Ное" totalsRowFunction="sum" dataDxfId="128" totalsRowDxfId="127">
      <calculatedColumnFormula>INDEX(ПланираниЗаСлужители[],MATCH(INDEX(РазликиЗаСлужители[],ROW()-ROW(РазликиЗаСлужители[[#Headers],[Ное]]),1),INDEX(ПланираниЗаСлужители[],,1),0),MATCH(РазликиЗаСлужители[[#Headers],[Ное]],ПланираниЗаСлужители[#Headers],0))-INDEX(ДействителниЗаСлужители[],MATCH(INDEX(РазликиЗаСлужители[],ROW()-ROW(РазликиЗаСлужители[[#Headers],[Ное]]),1),INDEX(ПланираниЗаСлужители[],,1),0),MATCH(РазликиЗаСлужители[[#Headers],[Ное]],ДействителниЗаСлужители[#Headers],0))</calculatedColumnFormula>
    </tableColumn>
    <tableColumn id="13" xr3:uid="{00000000-0010-0000-0800-00000D000000}" name="Дек" totalsRowFunction="sum" dataDxfId="126" totalsRowDxfId="125">
      <calculatedColumnFormula>INDEX(ПланираниЗаСлужители[],MATCH(INDEX(РазликиЗаСлужители[],ROW()-ROW(РазликиЗаСлужители[[#Headers],[Дек]]),1),INDEX(ПланираниЗаСлужители[],,1),0),MATCH(РазликиЗаСлужители[[#Headers],[Дек]],ПланираниЗаСлужители[#Headers],0))-INDEX(ДействителниЗаСлужители[],MATCH(INDEX(РазликиЗаСлужители[],ROW()-ROW(РазликиЗаСлужители[[#Headers],[Дек]]),1),INDEX(ПланираниЗаСлужители[],,1),0),MATCH(РазликиЗаСлужители[[#Headers],[Дек]],ДействителниЗаСлужители[#Headers],0))</calculatedColumnFormula>
    </tableColumn>
    <tableColumn id="14" xr3:uid="{00000000-0010-0000-0800-00000E000000}" name="ГОДИНА" totalsRowFunction="sum" dataDxfId="124" totalsRowDxfId="123">
      <calculatedColumnFormula>SUM(РазликиЗаСлужители[[#This Row],[Янр]:[Дек]])</calculatedColumnFormula>
    </tableColumn>
  </tableColumns>
  <tableStyleInfo name="TableStyleLight8" showFirstColumn="1" showLastColumn="0" showRowStripes="0" showColumnStripes="0"/>
  <extLst>
    <ext xmlns:x14="http://schemas.microsoft.com/office/spreadsheetml/2009/9/main" uri="{504A1905-F514-4f6f-8877-14C23A59335A}">
      <x14:table altTextSummary="Разликата в разходите за служители по месеци се изчислява автоматично в тази таблица"/>
    </ext>
  </extLst>
</table>
</file>

<file path=xl/tables/table12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РазликиЗаОфис" displayName="РазликиЗаОфис" ref="B10:O19" totalsRowCount="1" headerRowDxfId="122" totalsRowDxfId="119" headerRowBorderDxfId="121" tableBorderDxfId="120" totalsRowBorderDxfId="118">
  <autoFilter ref="B10:O18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900-000001000000}" name="Разходи за офис" totalsRowLabel="Междинна сума" dataDxfId="117" totalsRowDxfId="116"/>
    <tableColumn id="2" xr3:uid="{00000000-0010-0000-0900-000002000000}" name="Янр" totalsRowFunction="sum" dataDxfId="115" totalsRowDxfId="114">
      <calculatedColumnFormula>INDEX(ПланираниЗаОфис[],MATCH(INDEX(РазликиЗаОфис[],ROW()-ROW(РазликиЗаОфис[[#Headers],[Янр]]),1),INDEX(ПланираниЗаОфис[],,1),0),MATCH(РазликиЗаОфис[[#Headers],[Янр]],ПланираниЗаОфис[#Headers],0))-INDEX(ДействителиЗаОфис[],MATCH(INDEX(РазликиЗаОфис[],ROW()-ROW(РазликиЗаОфис[[#Headers],[Янр]]),1),INDEX(ПланираниЗаОфис[],,1),0),MATCH(РазликиЗаОфис[[#Headers],[Янр]],ДействителиЗаОфис[#Headers],0))</calculatedColumnFormula>
    </tableColumn>
    <tableColumn id="3" xr3:uid="{00000000-0010-0000-0900-000003000000}" name="Фев" totalsRowFunction="sum" dataDxfId="113" totalsRowDxfId="112">
      <calculatedColumnFormula>INDEX(ПланираниЗаОфис[],MATCH(INDEX(РазликиЗаОфис[],ROW()-ROW(РазликиЗаОфис[[#Headers],[Фев]]),1),INDEX(ПланираниЗаОфис[],,1),0),MATCH(РазликиЗаОфис[[#Headers],[Фев]],ПланираниЗаОфис[#Headers],0))-INDEX(ДействителиЗаОфис[],MATCH(INDEX(РазликиЗаОфис[],ROW()-ROW(РазликиЗаОфис[[#Headers],[Фев]]),1),INDEX(ПланираниЗаОфис[],,1),0),MATCH(РазликиЗаОфис[[#Headers],[Фев]],ДействителиЗаОфис[#Headers],0))</calculatedColumnFormula>
    </tableColumn>
    <tableColumn id="4" xr3:uid="{00000000-0010-0000-0900-000004000000}" name="Мар" totalsRowFunction="sum" dataDxfId="111" totalsRowDxfId="110">
      <calculatedColumnFormula>INDEX(ПланираниЗаОфис[],MATCH(INDEX(РазликиЗаОфис[],ROW()-ROW(РазликиЗаОфис[[#Headers],[Мар]]),1),INDEX(ПланираниЗаОфис[],,1),0),MATCH(РазликиЗаОфис[[#Headers],[Мар]],ПланираниЗаОфис[#Headers],0))-INDEX(ДействителиЗаОфис[],MATCH(INDEX(РазликиЗаОфис[],ROW()-ROW(РазликиЗаОфис[[#Headers],[Мар]]),1),INDEX(ПланираниЗаОфис[],,1),0),MATCH(РазликиЗаОфис[[#Headers],[Мар]],ДействителиЗаОфис[#Headers],0))</calculatedColumnFormula>
    </tableColumn>
    <tableColumn id="5" xr3:uid="{00000000-0010-0000-0900-000005000000}" name="Апр" totalsRowFunction="sum" dataDxfId="109" totalsRowDxfId="108">
      <calculatedColumnFormula>INDEX(ПланираниЗаОфис[],MATCH(INDEX(РазликиЗаОфис[],ROW()-ROW(РазликиЗаОфис[[#Headers],[Апр]]),1),INDEX(ПланираниЗаОфис[],,1),0),MATCH(РазликиЗаОфис[[#Headers],[Апр]],ПланираниЗаОфис[#Headers],0))-INDEX(ДействителиЗаОфис[],MATCH(INDEX(РазликиЗаОфис[],ROW()-ROW(РазликиЗаОфис[[#Headers],[Апр]]),1),INDEX(ПланираниЗаОфис[],,1),0),MATCH(РазликиЗаОфис[[#Headers],[Апр]],ДействителиЗаОфис[#Headers],0))</calculatedColumnFormula>
    </tableColumn>
    <tableColumn id="6" xr3:uid="{00000000-0010-0000-0900-000006000000}" name="Май" totalsRowFunction="sum" dataDxfId="107" totalsRowDxfId="106">
      <calculatedColumnFormula>INDEX(ПланираниЗаОфис[],MATCH(INDEX(РазликиЗаОфис[],ROW()-ROW(РазликиЗаОфис[[#Headers],[Май]]),1),INDEX(ПланираниЗаОфис[],,1),0),MATCH(РазликиЗаОфис[[#Headers],[Май]],ПланираниЗаОфис[#Headers],0))-INDEX(ДействителиЗаОфис[],MATCH(INDEX(РазликиЗаОфис[],ROW()-ROW(РазликиЗаОфис[[#Headers],[Май]]),1),INDEX(ПланираниЗаОфис[],,1),0),MATCH(РазликиЗаОфис[[#Headers],[Май]],ДействителиЗаОфис[#Headers],0))</calculatedColumnFormula>
    </tableColumn>
    <tableColumn id="7" xr3:uid="{00000000-0010-0000-0900-000007000000}" name="Юни" totalsRowFunction="sum" dataDxfId="105" totalsRowDxfId="104">
      <calculatedColumnFormula>INDEX(ПланираниЗаОфис[],MATCH(INDEX(РазликиЗаОфис[],ROW()-ROW(РазликиЗаОфис[[#Headers],[Юни]]),1),INDEX(ПланираниЗаОфис[],,1),0),MATCH(РазликиЗаОфис[[#Headers],[Юни]],ПланираниЗаОфис[#Headers],0))-INDEX(ДействителиЗаОфис[],MATCH(INDEX(РазликиЗаОфис[],ROW()-ROW(РазликиЗаОфис[[#Headers],[Юни]]),1),INDEX(ПланираниЗаОфис[],,1),0),MATCH(РазликиЗаОфис[[#Headers],[Юни]],ДействителиЗаОфис[#Headers],0))</calculatedColumnFormula>
    </tableColumn>
    <tableColumn id="8" xr3:uid="{00000000-0010-0000-0900-000008000000}" name="Юли" totalsRowFunction="sum" dataDxfId="103" totalsRowDxfId="102">
      <calculatedColumnFormula>INDEX(ПланираниЗаОфис[],MATCH(INDEX(РазликиЗаОфис[],ROW()-ROW(РазликиЗаОфис[[#Headers],[Юли]]),1),INDEX(ПланираниЗаОфис[],,1),0),MATCH(РазликиЗаОфис[[#Headers],[Юли]],ПланираниЗаОфис[#Headers],0))-INDEX(ДействителиЗаОфис[],MATCH(INDEX(РазликиЗаОфис[],ROW()-ROW(РазликиЗаОфис[[#Headers],[Юли]]),1),INDEX(ПланираниЗаОфис[],,1),0),MATCH(РазликиЗаОфис[[#Headers],[Юли]],ДействителиЗаОфис[#Headers],0))</calculatedColumnFormula>
    </tableColumn>
    <tableColumn id="9" xr3:uid="{00000000-0010-0000-0900-000009000000}" name="Авг" totalsRowFunction="sum" dataDxfId="101" totalsRowDxfId="100">
      <calculatedColumnFormula>INDEX(ПланираниЗаОфис[],MATCH(INDEX(РазликиЗаОфис[],ROW()-ROW(РазликиЗаОфис[[#Headers],[Авг]]),1),INDEX(ПланираниЗаОфис[],,1),0),MATCH(РазликиЗаОфис[[#Headers],[Авг]],ПланираниЗаОфис[#Headers],0))-INDEX(ДействителиЗаОфис[],MATCH(INDEX(РазликиЗаОфис[],ROW()-ROW(РазликиЗаОфис[[#Headers],[Авг]]),1),INDEX(ПланираниЗаОфис[],,1),0),MATCH(РазликиЗаОфис[[#Headers],[Авг]],ДействителиЗаОфис[#Headers],0))</calculatedColumnFormula>
    </tableColumn>
    <tableColumn id="10" xr3:uid="{00000000-0010-0000-0900-00000A000000}" name="Сеп" totalsRowFunction="sum" dataDxfId="99" totalsRowDxfId="98">
      <calculatedColumnFormula>INDEX(ПланираниЗаОфис[],MATCH(INDEX(РазликиЗаОфис[],ROW()-ROW(РазликиЗаОфис[[#Headers],[Сеп]]),1),INDEX(ПланираниЗаОфис[],,1),0),MATCH(РазликиЗаОфис[[#Headers],[Сеп]],ПланираниЗаОфис[#Headers],0))-INDEX(ДействителиЗаОфис[],MATCH(INDEX(РазликиЗаОфис[],ROW()-ROW(РазликиЗаОфис[[#Headers],[Сеп]]),1),INDEX(ПланираниЗаОфис[],,1),0),MATCH(РазликиЗаОфис[[#Headers],[Сеп]],ДействителиЗаОфис[#Headers],0))</calculatedColumnFormula>
    </tableColumn>
    <tableColumn id="11" xr3:uid="{00000000-0010-0000-0900-00000B000000}" name="Окт" totalsRowFunction="sum" dataDxfId="97" totalsRowDxfId="96">
      <calculatedColumnFormula>INDEX(ПланираниЗаОфис[],MATCH(INDEX(РазликиЗаОфис[],ROW()-ROW(РазликиЗаОфис[[#Headers],[Окт]]),1),INDEX(ПланираниЗаОфис[],,1),0),MATCH(РазликиЗаОфис[[#Headers],[Окт]],ПланираниЗаОфис[#Headers],0))-INDEX(ДействителиЗаОфис[],MATCH(INDEX(РазликиЗаОфис[],ROW()-ROW(РазликиЗаОфис[[#Headers],[Окт]]),1),INDEX(ПланираниЗаОфис[],,1),0),MATCH(РазликиЗаОфис[[#Headers],[Окт]],ДействителиЗаОфис[#Headers],0))</calculatedColumnFormula>
    </tableColumn>
    <tableColumn id="12" xr3:uid="{00000000-0010-0000-0900-00000C000000}" name="Ное" totalsRowFunction="sum" dataDxfId="95" totalsRowDxfId="94">
      <calculatedColumnFormula>INDEX(ПланираниЗаОфис[],MATCH(INDEX(РазликиЗаОфис[],ROW()-ROW(РазликиЗаОфис[[#Headers],[Ное]]),1),INDEX(ПланираниЗаОфис[],,1),0),MATCH(РазликиЗаОфис[[#Headers],[Ное]],ПланираниЗаОфис[#Headers],0))-INDEX(ДействителиЗаОфис[],MATCH(INDEX(РазликиЗаОфис[],ROW()-ROW(РазликиЗаОфис[[#Headers],[Ное]]),1),INDEX(ПланираниЗаОфис[],,1),0),MATCH(РазликиЗаОфис[[#Headers],[Ное]],ДействителиЗаОфис[#Headers],0))</calculatedColumnFormula>
    </tableColumn>
    <tableColumn id="13" xr3:uid="{00000000-0010-0000-0900-00000D000000}" name="Дек" totalsRowFunction="sum" dataDxfId="93" totalsRowDxfId="92">
      <calculatedColumnFormula>INDEX(ПланираниЗаОфис[],MATCH(INDEX(РазликиЗаОфис[],ROW()-ROW(РазликиЗаОфис[[#Headers],[Дек]]),1),INDEX(ПланираниЗаОфис[],,1),0),MATCH(РазликиЗаОфис[[#Headers],[Дек]],ПланираниЗаОфис[#Headers],0))-INDEX(ДействителиЗаОфис[],MATCH(INDEX(РазликиЗаОфис[],ROW()-ROW(РазликиЗаОфис[[#Headers],[Дек]]),1),INDEX(ПланираниЗаОфис[],,1),0),MATCH(РазликиЗаОфис[[#Headers],[Дек]],ДействителиЗаОфис[#Headers],0))</calculatedColumnFormula>
    </tableColumn>
    <tableColumn id="14" xr3:uid="{00000000-0010-0000-0900-00000E000000}" name="ГОДИНА" totalsRowFunction="sum" dataDxfId="91" totalsRowDxfId="90">
      <calculatedColumnFormula>SUM(РазликиЗаОфис[[#This Row],[Янр]:[Дек]])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Разликата в разходите за офис по месеци се изчислява автоматично в тази таблица"/>
    </ext>
  </extLst>
</table>
</file>

<file path=xl/tables/table13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РазликиЗаМаркетинг" displayName="РазликиЗаМаркетинг" ref="B21:O28" totalsRowCount="1" headerRowDxfId="89" totalsRowDxfId="86" headerRowBorderDxfId="88" tableBorderDxfId="87" totalsRowBorderDxfId="85">
  <autoFilter ref="B21:O27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A00-000001000000}" name="Разходи за маркетинг" totalsRowLabel="Междинна сума" dataDxfId="84" totalsRowDxfId="83"/>
    <tableColumn id="2" xr3:uid="{00000000-0010-0000-0A00-000002000000}" name="Янр" totalsRowFunction="sum" dataDxfId="82" totalsRowDxfId="81">
      <calculatedColumnFormula>INDEX(ПланираниЗаМаркетинг[],MATCH(INDEX(РазликиЗаМаркетинг[],ROW()-ROW(РазликиЗаМаркетинг[[#Headers],[Янр]]),1),INDEX(ПланираниЗаМаркетинг[],,1),0),MATCH(РазликиЗаМаркетинг[[#Headers],[Янр]],ПланираниЗаМаркетинг[#Headers],0))-INDEX(ДействителниЗаМаркетинг[],MATCH(INDEX(РазликиЗаМаркетинг[],ROW()-ROW(РазликиЗаМаркетинг[[#Headers],[Янр]]),1),INDEX(ПланираниЗаМаркетинг[],,1),0),MATCH(РазликиЗаМаркетинг[[#Headers],[Янр]],ДействителниЗаМаркетинг[#Headers],0))</calculatedColumnFormula>
    </tableColumn>
    <tableColumn id="3" xr3:uid="{00000000-0010-0000-0A00-000003000000}" name="Фев" totalsRowFunction="sum" dataDxfId="80" totalsRowDxfId="79">
      <calculatedColumnFormula>INDEX(ПланираниЗаМаркетинг[],MATCH(INDEX(РазликиЗаМаркетинг[],ROW()-ROW(РазликиЗаМаркетинг[[#Headers],[Фев]]),1),INDEX(ПланираниЗаМаркетинг[],,1),0),MATCH(РазликиЗаМаркетинг[[#Headers],[Фев]],ПланираниЗаМаркетинг[#Headers],0))-INDEX(ДействителниЗаМаркетинг[],MATCH(INDEX(РазликиЗаМаркетинг[],ROW()-ROW(РазликиЗаМаркетинг[[#Headers],[Фев]]),1),INDEX(ПланираниЗаМаркетинг[],,1),0),MATCH(РазликиЗаМаркетинг[[#Headers],[Фев]],ДействителниЗаМаркетинг[#Headers],0))</calculatedColumnFormula>
    </tableColumn>
    <tableColumn id="4" xr3:uid="{00000000-0010-0000-0A00-000004000000}" name="Мар" totalsRowFunction="sum" dataDxfId="78" totalsRowDxfId="77">
      <calculatedColumnFormula>INDEX(ПланираниЗаМаркетинг[],MATCH(INDEX(РазликиЗаМаркетинг[],ROW()-ROW(РазликиЗаМаркетинг[[#Headers],[Мар]]),1),INDEX(ПланираниЗаМаркетинг[],,1),0),MATCH(РазликиЗаМаркетинг[[#Headers],[Мар]],ПланираниЗаМаркетинг[#Headers],0))-INDEX(ДействителниЗаМаркетинг[],MATCH(INDEX(РазликиЗаМаркетинг[],ROW()-ROW(РазликиЗаМаркетинг[[#Headers],[Мар]]),1),INDEX(ПланираниЗаМаркетинг[],,1),0),MATCH(РазликиЗаМаркетинг[[#Headers],[Мар]],ДействителниЗаМаркетинг[#Headers],0))</calculatedColumnFormula>
    </tableColumn>
    <tableColumn id="5" xr3:uid="{00000000-0010-0000-0A00-000005000000}" name="Апр" totalsRowFunction="sum" dataDxfId="76" totalsRowDxfId="75">
      <calculatedColumnFormula>INDEX(ПланираниЗаМаркетинг[],MATCH(INDEX(РазликиЗаМаркетинг[],ROW()-ROW(РазликиЗаМаркетинг[[#Headers],[Апр]]),1),INDEX(ПланираниЗаМаркетинг[],,1),0),MATCH(РазликиЗаМаркетинг[[#Headers],[Апр]],ПланираниЗаМаркетинг[#Headers],0))-INDEX(ДействителниЗаМаркетинг[],MATCH(INDEX(РазликиЗаМаркетинг[],ROW()-ROW(РазликиЗаМаркетинг[[#Headers],[Апр]]),1),INDEX(ПланираниЗаМаркетинг[],,1),0),MATCH(РазликиЗаМаркетинг[[#Headers],[Апр]],ДействителниЗаМаркетинг[#Headers],0))</calculatedColumnFormula>
    </tableColumn>
    <tableColumn id="6" xr3:uid="{00000000-0010-0000-0A00-000006000000}" name="Май" totalsRowFunction="sum" dataDxfId="74" totalsRowDxfId="73">
      <calculatedColumnFormula>INDEX(ПланираниЗаМаркетинг[],MATCH(INDEX(РазликиЗаМаркетинг[],ROW()-ROW(РазликиЗаМаркетинг[[#Headers],[Май]]),1),INDEX(ПланираниЗаМаркетинг[],,1),0),MATCH(РазликиЗаМаркетинг[[#Headers],[Май]],ПланираниЗаМаркетинг[#Headers],0))-INDEX(ДействителниЗаМаркетинг[],MATCH(INDEX(РазликиЗаМаркетинг[],ROW()-ROW(РазликиЗаМаркетинг[[#Headers],[Май]]),1),INDEX(ПланираниЗаМаркетинг[],,1),0),MATCH(РазликиЗаМаркетинг[[#Headers],[Май]],ДействителниЗаМаркетинг[#Headers],0))</calculatedColumnFormula>
    </tableColumn>
    <tableColumn id="7" xr3:uid="{00000000-0010-0000-0A00-000007000000}" name="Юни" totalsRowFunction="sum" dataDxfId="72" totalsRowDxfId="71">
      <calculatedColumnFormula>INDEX(ПланираниЗаМаркетинг[],MATCH(INDEX(РазликиЗаМаркетинг[],ROW()-ROW(РазликиЗаМаркетинг[[#Headers],[Юни]]),1),INDEX(ПланираниЗаМаркетинг[],,1),0),MATCH(РазликиЗаМаркетинг[[#Headers],[Юни]],ПланираниЗаМаркетинг[#Headers],0))-INDEX(ДействителниЗаМаркетинг[],MATCH(INDEX(РазликиЗаМаркетинг[],ROW()-ROW(РазликиЗаМаркетинг[[#Headers],[Юни]]),1),INDEX(ПланираниЗаМаркетинг[],,1),0),MATCH(РазликиЗаМаркетинг[[#Headers],[Юни]],ДействителниЗаМаркетинг[#Headers],0))</calculatedColumnFormula>
    </tableColumn>
    <tableColumn id="8" xr3:uid="{00000000-0010-0000-0A00-000008000000}" name="Юли" totalsRowFunction="sum" dataDxfId="70" totalsRowDxfId="69">
      <calculatedColumnFormula>INDEX(ПланираниЗаМаркетинг[],MATCH(INDEX(РазликиЗаМаркетинг[],ROW()-ROW(РазликиЗаМаркетинг[[#Headers],[Юли]]),1),INDEX(ПланираниЗаМаркетинг[],,1),0),MATCH(РазликиЗаМаркетинг[[#Headers],[Юли]],ПланираниЗаМаркетинг[#Headers],0))-INDEX(ДействителниЗаМаркетинг[],MATCH(INDEX(РазликиЗаМаркетинг[],ROW()-ROW(РазликиЗаМаркетинг[[#Headers],[Юли]]),1),INDEX(ПланираниЗаМаркетинг[],,1),0),MATCH(РазликиЗаМаркетинг[[#Headers],[Юли]],ДействителниЗаМаркетинг[#Headers],0))</calculatedColumnFormula>
    </tableColumn>
    <tableColumn id="9" xr3:uid="{00000000-0010-0000-0A00-000009000000}" name="Авг" totalsRowFunction="sum" dataDxfId="68" totalsRowDxfId="67">
      <calculatedColumnFormula>INDEX(ПланираниЗаМаркетинг[],MATCH(INDEX(РазликиЗаМаркетинг[],ROW()-ROW(РазликиЗаМаркетинг[[#Headers],[Авг]]),1),INDEX(ПланираниЗаМаркетинг[],,1),0),MATCH(РазликиЗаМаркетинг[[#Headers],[Авг]],ПланираниЗаМаркетинг[#Headers],0))-INDEX(ДействителниЗаМаркетинг[],MATCH(INDEX(РазликиЗаМаркетинг[],ROW()-ROW(РазликиЗаМаркетинг[[#Headers],[Авг]]),1),INDEX(ПланираниЗаМаркетинг[],,1),0),MATCH(РазликиЗаМаркетинг[[#Headers],[Авг]],ДействителниЗаМаркетинг[#Headers],0))</calculatedColumnFormula>
    </tableColumn>
    <tableColumn id="10" xr3:uid="{00000000-0010-0000-0A00-00000A000000}" name="Сеп" totalsRowFunction="sum" dataDxfId="66" totalsRowDxfId="65">
      <calculatedColumnFormula>INDEX(ПланираниЗаМаркетинг[],MATCH(INDEX(РазликиЗаМаркетинг[],ROW()-ROW(РазликиЗаМаркетинг[[#Headers],[Сеп]]),1),INDEX(ПланираниЗаМаркетинг[],,1),0),MATCH(РазликиЗаМаркетинг[[#Headers],[Сеп]],ПланираниЗаМаркетинг[#Headers],0))-INDEX(ДействителниЗаМаркетинг[],MATCH(INDEX(РазликиЗаМаркетинг[],ROW()-ROW(РазликиЗаМаркетинг[[#Headers],[Сеп]]),1),INDEX(ПланираниЗаМаркетинг[],,1),0),MATCH(РазликиЗаМаркетинг[[#Headers],[Сеп]],ДействителниЗаМаркетинг[#Headers],0))</calculatedColumnFormula>
    </tableColumn>
    <tableColumn id="11" xr3:uid="{00000000-0010-0000-0A00-00000B000000}" name="Окт" totalsRowFunction="sum" dataDxfId="64" totalsRowDxfId="63">
      <calculatedColumnFormula>INDEX(ПланираниЗаМаркетинг[],MATCH(INDEX(РазликиЗаМаркетинг[],ROW()-ROW(РазликиЗаМаркетинг[[#Headers],[Окт]]),1),INDEX(ПланираниЗаМаркетинг[],,1),0),MATCH(РазликиЗаМаркетинг[[#Headers],[Окт]],ПланираниЗаМаркетинг[#Headers],0))-INDEX(ДействителниЗаМаркетинг[],MATCH(INDEX(РазликиЗаМаркетинг[],ROW()-ROW(РазликиЗаМаркетинг[[#Headers],[Окт]]),1),INDEX(ПланираниЗаМаркетинг[],,1),0),MATCH(РазликиЗаМаркетинг[[#Headers],[Окт]],ДействителниЗаМаркетинг[#Headers],0))</calculatedColumnFormula>
    </tableColumn>
    <tableColumn id="12" xr3:uid="{00000000-0010-0000-0A00-00000C000000}" name="Ное" totalsRowFunction="sum" dataDxfId="62" totalsRowDxfId="61">
      <calculatedColumnFormula>INDEX(ПланираниЗаМаркетинг[],MATCH(INDEX(РазликиЗаМаркетинг[],ROW()-ROW(РазликиЗаМаркетинг[[#Headers],[Ное]]),1),INDEX(ПланираниЗаМаркетинг[],,1),0),MATCH(РазликиЗаМаркетинг[[#Headers],[Ное]],ПланираниЗаМаркетинг[#Headers],0))-INDEX(ДействителниЗаМаркетинг[],MATCH(INDEX(РазликиЗаМаркетинг[],ROW()-ROW(РазликиЗаМаркетинг[[#Headers],[Ное]]),1),INDEX(ПланираниЗаМаркетинг[],,1),0),MATCH(РазликиЗаМаркетинг[[#Headers],[Ное]],ДействителниЗаМаркетинг[#Headers],0))</calculatedColumnFormula>
    </tableColumn>
    <tableColumn id="13" xr3:uid="{00000000-0010-0000-0A00-00000D000000}" name="Дек" totalsRowFunction="sum" dataDxfId="60" totalsRowDxfId="59">
      <calculatedColumnFormula>INDEX(ПланираниЗаМаркетинг[],MATCH(INDEX(РазликиЗаМаркетинг[],ROW()-ROW(РазликиЗаМаркетинг[[#Headers],[Дек]]),1),INDEX(ПланираниЗаМаркетинг[],,1),0),MATCH(РазликиЗаМаркетинг[[#Headers],[Дек]],ПланираниЗаМаркетинг[#Headers],0))-INDEX(ДействителниЗаМаркетинг[],MATCH(INDEX(РазликиЗаМаркетинг[],ROW()-ROW(РазликиЗаМаркетинг[[#Headers],[Дек]]),1),INDEX(ПланираниЗаМаркетинг[],,1),0),MATCH(РазликиЗаМаркетинг[[#Headers],[Дек]],ДействителниЗаМаркетинг[#Headers],0))</calculatedColumnFormula>
    </tableColumn>
    <tableColumn id="14" xr3:uid="{00000000-0010-0000-0A00-00000E000000}" name="ГОДИНА" totalsRowFunction="sum" dataDxfId="58" totalsRowDxfId="57">
      <calculatedColumnFormula>SUM(РазликиЗаМаркетинг[[#This Row],[Янр]:[Дек]])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Разликата в разходите за маркетинг по месеци се изчислява автоматично в тази таблица"/>
    </ext>
  </extLst>
</table>
</file>

<file path=xl/tables/table14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РазликиЗаОбученияИПътувания" displayName="РазликиЗаОбученияИПътувания" ref="B30:O33" totalsRowCount="1" headerRowDxfId="56" totalsRowDxfId="53" headerRowBorderDxfId="55" tableBorderDxfId="54" totalsRowBorderDxfId="52">
  <autoFilter ref="B30:O3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B00-000001000000}" name="Обучения/пътувания" totalsRowLabel="Междинна сума" dataDxfId="51" totalsRowDxfId="50"/>
    <tableColumn id="2" xr3:uid="{00000000-0010-0000-0B00-000002000000}" name="Янр" totalsRowFunction="sum" dataDxfId="49" totalsRowDxfId="48">
      <calculatedColumnFormula>INDEX(ПланираниЗаОбученияИПътувания[],MATCH(INDEX(РазликиЗаОбученияИПътувания[],ROW()-ROW(РазликиЗаОбученияИПътувания[[#Headers],[Янр]]),1),INDEX(ПланираниЗаОбученияИПътувания[],,1),0),MATCH(РазликиЗаОбученияИПътувания[[#Headers],[Янр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Янр]]),1),INDEX(ПланираниЗаОбученияИПътувания[],,1),0),MATCH(РазликиЗаОбученияИПътувания[[#Headers],[Янр]],ДействителниЗаОбученияИПътувания[#Headers],0))</calculatedColumnFormula>
    </tableColumn>
    <tableColumn id="3" xr3:uid="{00000000-0010-0000-0B00-000003000000}" name="Фев" totalsRowFunction="sum" dataDxfId="47" totalsRowDxfId="46">
      <calculatedColumnFormula>INDEX(ПланираниЗаОбученияИПътувания[],MATCH(INDEX(РазликиЗаОбученияИПътувания[],ROW()-ROW(РазликиЗаОбученияИПътувания[[#Headers],[Фев]]),1),INDEX(ПланираниЗаОбученияИПътувания[],,1),0),MATCH(РазликиЗаОбученияИПътувания[[#Headers],[Фев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Фев]]),1),INDEX(ПланираниЗаОбученияИПътувания[],,1),0),MATCH(РазликиЗаОбученияИПътувания[[#Headers],[Фев]],ДействителниЗаОбученияИПътувания[#Headers],0))</calculatedColumnFormula>
    </tableColumn>
    <tableColumn id="4" xr3:uid="{00000000-0010-0000-0B00-000004000000}" name="Мар" totalsRowFunction="sum" dataDxfId="45" totalsRowDxfId="44">
      <calculatedColumnFormula>INDEX(ПланираниЗаОбученияИПътувания[],MATCH(INDEX(РазликиЗаОбученияИПътувания[],ROW()-ROW(РазликиЗаОбученияИПътувания[[#Headers],[Мар]]),1),INDEX(ПланираниЗаОбученияИПътувания[],,1),0),MATCH(РазликиЗаОбученияИПътувания[[#Headers],[Мар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Мар]]),1),INDEX(ПланираниЗаОбученияИПътувания[],,1),0),MATCH(РазликиЗаОбученияИПътувания[[#Headers],[Мар]],ДействителниЗаОбученияИПътувания[#Headers],0))</calculatedColumnFormula>
    </tableColumn>
    <tableColumn id="5" xr3:uid="{00000000-0010-0000-0B00-000005000000}" name="Апр" totalsRowFunction="sum" dataDxfId="43" totalsRowDxfId="42">
      <calculatedColumnFormula>INDEX(ПланираниЗаОбученияИПътувания[],MATCH(INDEX(РазликиЗаОбученияИПътувания[],ROW()-ROW(РазликиЗаОбученияИПътувания[[#Headers],[Апр]]),1),INDEX(ПланираниЗаОбученияИПътувания[],,1),0),MATCH(РазликиЗаОбученияИПътувания[[#Headers],[Апр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Апр]]),1),INDEX(ПланираниЗаОбученияИПътувания[],,1),0),MATCH(РазликиЗаОбученияИПътувания[[#Headers],[Апр]],ДействителниЗаОбученияИПътувания[#Headers],0))</calculatedColumnFormula>
    </tableColumn>
    <tableColumn id="6" xr3:uid="{00000000-0010-0000-0B00-000006000000}" name="Май" totalsRowFunction="sum" dataDxfId="41" totalsRowDxfId="40">
      <calculatedColumnFormula>INDEX(ПланираниЗаОбученияИПътувания[],MATCH(INDEX(РазликиЗаОбученияИПътувания[],ROW()-ROW(РазликиЗаОбученияИПътувания[[#Headers],[Май]]),1),INDEX(ПланираниЗаОбученияИПътувания[],,1),0),MATCH(РазликиЗаОбученияИПътувания[[#Headers],[Май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Май]]),1),INDEX(ПланираниЗаОбученияИПътувания[],,1),0),MATCH(РазликиЗаОбученияИПътувания[[#Headers],[Май]],ДействителниЗаОбученияИПътувания[#Headers],0))</calculatedColumnFormula>
    </tableColumn>
    <tableColumn id="7" xr3:uid="{00000000-0010-0000-0B00-000007000000}" name="Юни" totalsRowFunction="sum" dataDxfId="39" totalsRowDxfId="38">
      <calculatedColumnFormula>INDEX(ПланираниЗаОбученияИПътувания[],MATCH(INDEX(РазликиЗаОбученияИПътувания[],ROW()-ROW(РазликиЗаОбученияИПътувания[[#Headers],[Юни]]),1),INDEX(ПланираниЗаОбученияИПътувания[],,1),0),MATCH(РазликиЗаОбученияИПътувания[[#Headers],[Юни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Юни]]),1),INDEX(ПланираниЗаОбученияИПътувания[],,1),0),MATCH(РазликиЗаОбученияИПътувания[[#Headers],[Юни]],ДействителниЗаОбученияИПътувания[#Headers],0))</calculatedColumnFormula>
    </tableColumn>
    <tableColumn id="8" xr3:uid="{00000000-0010-0000-0B00-000008000000}" name="Юли" totalsRowFunction="sum" dataDxfId="37" totalsRowDxfId="36">
      <calculatedColumnFormula>INDEX(ПланираниЗаОбученияИПътувания[],MATCH(INDEX(РазликиЗаОбученияИПътувания[],ROW()-ROW(РазликиЗаОбученияИПътувания[[#Headers],[Юли]]),1),INDEX(ПланираниЗаОбученияИПътувания[],,1),0),MATCH(РазликиЗаОбученияИПътувания[[#Headers],[Юли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Юли]]),1),INDEX(ПланираниЗаОбученияИПътувания[],,1),0),MATCH(РазликиЗаОбученияИПътувания[[#Headers],[Юли]],ДействителниЗаОбученияИПътувания[#Headers],0))</calculatedColumnFormula>
    </tableColumn>
    <tableColumn id="9" xr3:uid="{00000000-0010-0000-0B00-000009000000}" name="Авг" totalsRowFunction="sum" dataDxfId="35" totalsRowDxfId="34">
      <calculatedColumnFormula>INDEX(ПланираниЗаОбученияИПътувания[],MATCH(INDEX(РазликиЗаОбученияИПътувания[],ROW()-ROW(РазликиЗаОбученияИПътувания[[#Headers],[Авг]]),1),INDEX(ПланираниЗаОбученияИПътувания[],,1),0),MATCH(РазликиЗаОбученияИПътувания[[#Headers],[Авг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Авг]]),1),INDEX(ПланираниЗаОбученияИПътувания[],,1),0),MATCH(РазликиЗаОбученияИПътувания[[#Headers],[Авг]],ДействителниЗаОбученияИПътувания[#Headers],0))</calculatedColumnFormula>
    </tableColumn>
    <tableColumn id="10" xr3:uid="{00000000-0010-0000-0B00-00000A000000}" name="Сеп" totalsRowFunction="sum" dataDxfId="33" totalsRowDxfId="32">
      <calculatedColumnFormula>INDEX(ПланираниЗаОбученияИПътувания[],MATCH(INDEX(РазликиЗаОбученияИПътувания[],ROW()-ROW(РазликиЗаОбученияИПътувания[[#Headers],[Сеп]]),1),INDEX(ПланираниЗаОбученияИПътувания[],,1),0),MATCH(РазликиЗаОбученияИПътувания[[#Headers],[Сеп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Сеп]]),1),INDEX(ПланираниЗаОбученияИПътувания[],,1),0),MATCH(РазликиЗаОбученияИПътувания[[#Headers],[Сеп]],ДействителниЗаОбученияИПътувания[#Headers],0))</calculatedColumnFormula>
    </tableColumn>
    <tableColumn id="11" xr3:uid="{00000000-0010-0000-0B00-00000B000000}" name="Окт" totalsRowFunction="sum" dataDxfId="31" totalsRowDxfId="30">
      <calculatedColumnFormula>INDEX(ПланираниЗаОбученияИПътувания[],MATCH(INDEX(РазликиЗаОбученияИПътувания[],ROW()-ROW(РазликиЗаОбученияИПътувания[[#Headers],[Окт]]),1),INDEX(ПланираниЗаОбученияИПътувания[],,1),0),MATCH(РазликиЗаОбученияИПътувания[[#Headers],[Окт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Окт]]),1),INDEX(ПланираниЗаОбученияИПътувания[],,1),0),MATCH(РазликиЗаОбученияИПътувания[[#Headers],[Окт]],ДействителниЗаОбученияИПътувания[#Headers],0))</calculatedColumnFormula>
    </tableColumn>
    <tableColumn id="12" xr3:uid="{00000000-0010-0000-0B00-00000C000000}" name="Ное" totalsRowFunction="sum" dataDxfId="29" totalsRowDxfId="28">
      <calculatedColumnFormula>INDEX(ПланираниЗаОбученияИПътувания[],MATCH(INDEX(РазликиЗаОбученияИПътувания[],ROW()-ROW(РазликиЗаОбученияИПътувания[[#Headers],[Ное]]),1),INDEX(ПланираниЗаОбученияИПътувания[],,1),0),MATCH(РазликиЗаОбученияИПътувания[[#Headers],[Ное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Ное]]),1),INDEX(ПланираниЗаОбученияИПътувания[],,1),0),MATCH(РазликиЗаОбученияИПътувания[[#Headers],[Ное]],ДействителниЗаОбученияИПътувания[#Headers],0))</calculatedColumnFormula>
    </tableColumn>
    <tableColumn id="13" xr3:uid="{00000000-0010-0000-0B00-00000D000000}" name="Дек" totalsRowFunction="sum" dataDxfId="27" totalsRowDxfId="26">
      <calculatedColumnFormula>INDEX(ПланираниЗаОбученияИПътувания[],MATCH(INDEX(РазликиЗаОбученияИПътувания[],ROW()-ROW(РазликиЗаОбученияИПътувания[[#Headers],[Дек]]),1),INDEX(ПланираниЗаОбученияИПътувания[],,1),0),MATCH(РазликиЗаОбученияИПътувания[[#Headers],[Дек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Дек]]),1),INDEX(ПланираниЗаОбученияИПътувания[],,1),0),MATCH(РазликиЗаОбученияИПътувания[[#Headers],[Дек]],ДействителниЗаОбученияИПътувания[#Headers],0))</calculatedColumnFormula>
    </tableColumn>
    <tableColumn id="14" xr3:uid="{00000000-0010-0000-0B00-00000E000000}" name="ГОДИНА" totalsRowFunction="sum" dataDxfId="25" totalsRowDxfId="24">
      <calculatedColumnFormula>SUM(РазликиЗаОбученияИПътувания[[#This Row],[Янр]:[Дек]])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Разликата в разходите за обучения и пътувания по месеци се изчислява автоматично в тази таблица"/>
    </ext>
  </extLst>
</table>
</file>

<file path=xl/tables/table15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D450248-DB77-46F5-B207-E715DE10D029}" name="ОбщиРазлики" displayName="ОбщиРазлики" ref="B35:O37" totalsRowShown="0" headerRowDxfId="23" dataDxfId="22" tableBorderDxfId="21">
  <autoFilter ref="B35:O37" xr:uid="{B407F9FC-1AB0-4A37-B2B1-EDE36CD9972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CA1B301-8171-4BDA-9269-D51F18A1CE72}" name="ОБЩИ СУМИ" dataDxfId="20"/>
    <tableColumn id="2" xr3:uid="{AE0C21A5-398B-42DE-950D-8AE4AD1A8551}" name="Янр" dataDxfId="19">
      <calculatedColumnFormula>SUM($C35:C$36)</calculatedColumnFormula>
    </tableColumn>
    <tableColumn id="3" xr3:uid="{A43B0B0E-F35F-4E04-8A0D-11BB7356D5F1}" name="Фев" dataDxfId="18">
      <calculatedColumnFormula>SUM($C35:D$36)</calculatedColumnFormula>
    </tableColumn>
    <tableColumn id="4" xr3:uid="{F14459A4-8E61-4E04-9A53-A7DA16CE366A}" name="Мар" dataDxfId="17">
      <calculatedColumnFormula>SUM($C35:E$36)</calculatedColumnFormula>
    </tableColumn>
    <tableColumn id="5" xr3:uid="{1C90C974-8801-4A11-B3AF-1DC144BB0C14}" name="Апр" dataDxfId="16">
      <calculatedColumnFormula>SUM($C35:F$36)</calculatedColumnFormula>
    </tableColumn>
    <tableColumn id="6" xr3:uid="{C8E3F4F6-5F27-4CC7-9916-6D86833782C1}" name="Май" dataDxfId="15">
      <calculatedColumnFormula>SUM($C35:G$36)</calculatedColumnFormula>
    </tableColumn>
    <tableColumn id="7" xr3:uid="{AF75D92B-7578-4087-BB78-DD5AD8165117}" name="Юни" dataDxfId="14">
      <calculatedColumnFormula>SUM($C35:H$36)</calculatedColumnFormula>
    </tableColumn>
    <tableColumn id="8" xr3:uid="{35F61ABA-09FB-4695-B0F5-A2C6B6580A2E}" name="Юли" dataDxfId="13">
      <calculatedColumnFormula>SUM($C35:I$36)</calculatedColumnFormula>
    </tableColumn>
    <tableColumn id="9" xr3:uid="{59F62437-45DC-439F-945A-D0E79C444E8E}" name="Авг" dataDxfId="12">
      <calculatedColumnFormula>SUM($C35:J$36)</calculatedColumnFormula>
    </tableColumn>
    <tableColumn id="10" xr3:uid="{2BF9DCC5-B211-44A6-BD40-E91602CDA85C}" name="Сеп" dataDxfId="11">
      <calculatedColumnFormula>SUM($C35:K$36)</calculatedColumnFormula>
    </tableColumn>
    <tableColumn id="11" xr3:uid="{4280684A-CD23-4103-8664-029757D0A2A2}" name="Окт" dataDxfId="10">
      <calculatedColumnFormula>SUM($C35:L$36)</calculatedColumnFormula>
    </tableColumn>
    <tableColumn id="12" xr3:uid="{07DED434-EC8F-4DAF-83E3-E350A33F2EAE}" name="Ное" dataDxfId="9">
      <calculatedColumnFormula>SUM($C35:M$36)</calculatedColumnFormula>
    </tableColumn>
    <tableColumn id="13" xr3:uid="{32BA0102-0F05-43CF-91BA-724F1FE01DAA}" name="Дек" dataDxfId="8">
      <calculatedColumnFormula>SUM($C35:N$36)</calculatedColumnFormula>
    </tableColumn>
    <tableColumn id="14" xr3:uid="{57A0D710-AEB8-4057-928D-010058E02081}" name="Година" dataDxfId="7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Месечните и общите разлики в разходите се изчисляват автоматично в тази таблица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ланираниЗаОфис" displayName="ПланираниЗаОфис" ref="B10:O19" totalsRowCount="1" headerRowDxfId="460" totalsRowDxfId="457" headerRowBorderDxfId="459" tableBorderDxfId="458" totalsRowBorderDxfId="456">
  <autoFilter ref="B10:O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Разходи за офис" totalsRowLabel="Междинна сума" dataDxfId="455" totalsRowDxfId="454"/>
    <tableColumn id="2" xr3:uid="{00000000-0010-0000-0000-000002000000}" name="Янр" totalsRowFunction="sum" dataDxfId="453" totalsRowDxfId="452"/>
    <tableColumn id="3" xr3:uid="{00000000-0010-0000-0000-000003000000}" name="Фев" totalsRowFunction="sum" dataDxfId="451" totalsRowDxfId="450"/>
    <tableColumn id="4" xr3:uid="{00000000-0010-0000-0000-000004000000}" name="Мар" totalsRowFunction="sum" dataDxfId="449" totalsRowDxfId="448"/>
    <tableColumn id="5" xr3:uid="{00000000-0010-0000-0000-000005000000}" name="Апр" totalsRowFunction="sum" dataDxfId="447" totalsRowDxfId="446"/>
    <tableColumn id="6" xr3:uid="{00000000-0010-0000-0000-000006000000}" name="Май" totalsRowFunction="sum" dataDxfId="445" totalsRowDxfId="444"/>
    <tableColumn id="7" xr3:uid="{00000000-0010-0000-0000-000007000000}" name="Юни" totalsRowFunction="sum" dataDxfId="443" totalsRowDxfId="442"/>
    <tableColumn id="8" xr3:uid="{00000000-0010-0000-0000-000008000000}" name="Юли" totalsRowFunction="sum" dataDxfId="441" totalsRowDxfId="440"/>
    <tableColumn id="9" xr3:uid="{00000000-0010-0000-0000-000009000000}" name="Авг" totalsRowFunction="sum" dataDxfId="439" totalsRowDxfId="438"/>
    <tableColumn id="10" xr3:uid="{00000000-0010-0000-0000-00000A000000}" name="Сеп" totalsRowFunction="sum" dataDxfId="437" totalsRowDxfId="436"/>
    <tableColumn id="11" xr3:uid="{00000000-0010-0000-0000-00000B000000}" name="Окт" totalsRowFunction="sum" dataDxfId="435" totalsRowDxfId="434"/>
    <tableColumn id="12" xr3:uid="{00000000-0010-0000-0000-00000C000000}" name="Ное" totalsRowFunction="sum" dataDxfId="433" totalsRowDxfId="432"/>
    <tableColumn id="13" xr3:uid="{00000000-0010-0000-0000-00000D000000}" name="Дек" totalsRowFunction="sum" dataDxfId="431" totalsRowDxfId="430"/>
    <tableColumn id="14" xr3:uid="{00000000-0010-0000-0000-00000E000000}" name="ГОДИНА" totalsRowFunction="sum" dataDxfId="429" totalsRowDxfId="428">
      <calculatedColumnFormula>SUM(C11:N11)</calculatedColumnFormula>
    </tableColumn>
  </tableColumns>
  <tableStyleInfo name="TableStyleLight8" showFirstColumn="1" showLastColumn="1" showRowStripes="0" showColumnStripes="0"/>
  <extLst>
    <ext xmlns:x14="http://schemas.microsoft.com/office/spreadsheetml/2009/9/main" uri="{504A1905-F514-4f6f-8877-14C23A59335A}">
      <x14:table altTextSummary="Въведете планираните месечни разходи за офиса в тази таблица. Общата сума се изчислява автоматично в края"/>
    </ext>
  </extLst>
</table>
</file>

<file path=xl/tables/table16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029F34C-CC7A-4C9E-8687-3CBA6E03BB7D}" name="Анализ" displayName="Анализ" ref="B5:F10" totalsRowShown="0" dataDxfId="6" tableBorderDxfId="5">
  <autoFilter ref="B5:F10" xr:uid="{FF30FBEE-D7F5-45FA-A994-455B735EFD1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5D5DD3A-2DA8-4CC6-8C75-2348A5B1DCE5}" name="Категория разходи" dataDxfId="4"/>
    <tableColumn id="2" xr3:uid="{71038352-BC76-49DD-9F6C-B394E5F033ED}" name="Планирани разходи" dataDxfId="3"/>
    <tableColumn id="3" xr3:uid="{19ED3EBC-BC10-47F6-9800-62129A32BC8E}" name="Действителни разходи" dataDxfId="2"/>
    <tableColumn id="4" xr3:uid="{E8D5E1DD-7CB1-4A1A-8F42-EFBF70790FE7}" name="Разлики в разходите" dataDxfId="1">
      <calculatedColumnFormula>C6-D6</calculatedColumnFormula>
    </tableColumn>
    <tableColumn id="5" xr3:uid="{47E1881E-12A2-4F0E-8364-B79F2DC5D0B1}" name="Процент на разликата" dataDxfId="0">
      <calculatedColumnFormula>E6/C6</calculatedColumnFormula>
    </tableColumn>
  </tableColumns>
  <tableStyleInfo showFirstColumn="1" showLastColumn="0" showRowStripes="0" showColumnStripes="0"/>
</table>
</file>

<file path=xl/tables/table2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ПланираниЗаМаркетинг" displayName="ПланираниЗаМаркетинг" ref="B21:O28" totalsRowCount="1" headerRowDxfId="427" totalsRowDxfId="424" headerRowBorderDxfId="426" tableBorderDxfId="425" totalsRowBorderDxfId="423">
  <autoFilter ref="B21:O2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Разходи за маркетинг" totalsRowLabel="Междинна сума" dataDxfId="422" totalsRowDxfId="421"/>
    <tableColumn id="2" xr3:uid="{00000000-0010-0000-0100-000002000000}" name="Янр" totalsRowFunction="sum" dataDxfId="420" totalsRowDxfId="419"/>
    <tableColumn id="3" xr3:uid="{00000000-0010-0000-0100-000003000000}" name="Фев" totalsRowFunction="sum" dataDxfId="418" totalsRowDxfId="417"/>
    <tableColumn id="4" xr3:uid="{00000000-0010-0000-0100-000004000000}" name="Мар" totalsRowFunction="sum" dataDxfId="416" totalsRowDxfId="415"/>
    <tableColumn id="5" xr3:uid="{00000000-0010-0000-0100-000005000000}" name="Апр" totalsRowFunction="sum" dataDxfId="414" totalsRowDxfId="413"/>
    <tableColumn id="6" xr3:uid="{00000000-0010-0000-0100-000006000000}" name="Май" totalsRowFunction="sum" dataDxfId="412" totalsRowDxfId="411"/>
    <tableColumn id="7" xr3:uid="{00000000-0010-0000-0100-000007000000}" name="Юни" totalsRowFunction="sum" dataDxfId="410" totalsRowDxfId="409"/>
    <tableColumn id="8" xr3:uid="{00000000-0010-0000-0100-000008000000}" name="Юли" totalsRowFunction="sum" dataDxfId="408" totalsRowDxfId="407"/>
    <tableColumn id="9" xr3:uid="{00000000-0010-0000-0100-000009000000}" name="Авг" totalsRowFunction="sum" dataDxfId="406" totalsRowDxfId="405"/>
    <tableColumn id="10" xr3:uid="{00000000-0010-0000-0100-00000A000000}" name="Сеп" totalsRowFunction="sum" dataDxfId="404" totalsRowDxfId="403"/>
    <tableColumn id="11" xr3:uid="{00000000-0010-0000-0100-00000B000000}" name="Окт" totalsRowFunction="sum" dataDxfId="402" totalsRowDxfId="401"/>
    <tableColumn id="12" xr3:uid="{00000000-0010-0000-0100-00000C000000}" name="Ное" totalsRowFunction="sum" dataDxfId="400" totalsRowDxfId="399"/>
    <tableColumn id="13" xr3:uid="{00000000-0010-0000-0100-00000D000000}" name="Дек" totalsRowFunction="sum" dataDxfId="398" totalsRowDxfId="397"/>
    <tableColumn id="14" xr3:uid="{00000000-0010-0000-0100-00000E000000}" name="ГОДИНА" totalsRowFunction="sum" dataDxfId="396" totalsRowDxfId="395">
      <calculatedColumnFormula>SUM(C22:N22)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Въведете планираните месечни разходи за маркетинг в тази таблица. Общата сума се изчислява автоматично в края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ПланираниЗаОбученияИПътувания" displayName="ПланираниЗаОбученияИПътувания" ref="B30:O33" totalsRowCount="1" headerRowDxfId="394" totalsRowDxfId="391" headerRowBorderDxfId="393" tableBorderDxfId="392" totalsRowBorderDxfId="390">
  <autoFilter ref="B30:O3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200-000001000000}" name="Обучения/пътувания" totalsRowLabel="Междинна сума" dataDxfId="389" totalsRowDxfId="388"/>
    <tableColumn id="2" xr3:uid="{00000000-0010-0000-0200-000002000000}" name="Янр" totalsRowFunction="sum" dataDxfId="387" totalsRowDxfId="386"/>
    <tableColumn id="3" xr3:uid="{00000000-0010-0000-0200-000003000000}" name="Фев" totalsRowFunction="sum" dataDxfId="385" totalsRowDxfId="384"/>
    <tableColumn id="4" xr3:uid="{00000000-0010-0000-0200-000004000000}" name="Мар" totalsRowFunction="sum" dataDxfId="383" totalsRowDxfId="382"/>
    <tableColumn id="5" xr3:uid="{00000000-0010-0000-0200-000005000000}" name="Апр" totalsRowFunction="sum" dataDxfId="381" totalsRowDxfId="380"/>
    <tableColumn id="6" xr3:uid="{00000000-0010-0000-0200-000006000000}" name="Май" totalsRowFunction="sum" dataDxfId="379" totalsRowDxfId="378"/>
    <tableColumn id="7" xr3:uid="{00000000-0010-0000-0200-000007000000}" name="Юни" totalsRowFunction="sum" dataDxfId="377" totalsRowDxfId="376"/>
    <tableColumn id="8" xr3:uid="{00000000-0010-0000-0200-000008000000}" name="Юли" totalsRowFunction="sum" dataDxfId="375" totalsRowDxfId="374"/>
    <tableColumn id="9" xr3:uid="{00000000-0010-0000-0200-000009000000}" name="Авг" totalsRowFunction="sum" dataDxfId="373" totalsRowDxfId="372"/>
    <tableColumn id="10" xr3:uid="{00000000-0010-0000-0200-00000A000000}" name="Сеп" totalsRowFunction="sum" dataDxfId="371" totalsRowDxfId="370"/>
    <tableColumn id="11" xr3:uid="{00000000-0010-0000-0200-00000B000000}" name="Окт" totalsRowFunction="sum" dataDxfId="369" totalsRowDxfId="368"/>
    <tableColumn id="12" xr3:uid="{00000000-0010-0000-0200-00000C000000}" name="Ное" totalsRowFunction="sum" dataDxfId="367" totalsRowDxfId="366"/>
    <tableColumn id="13" xr3:uid="{00000000-0010-0000-0200-00000D000000}" name="Дек" totalsRowFunction="sum" dataDxfId="365" totalsRowDxfId="364"/>
    <tableColumn id="14" xr3:uid="{00000000-0010-0000-0200-00000E000000}" name="ГОДИНА" totalsRowFunction="sum" dataDxfId="363" totalsRowDxfId="362">
      <calculatedColumnFormula>SUM(C31:N31)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Въведете в тази таблица планираните месечни обучения и разходите за пътуване. Общата сума се изчислява автоматично в края"/>
    </ext>
  </extLst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ПланираниЗаСлужители" displayName="ПланираниЗаСлужители" ref="B5:O8" totalsRowCount="1" headerRowDxfId="361" totalsRowDxfId="358" headerRowBorderDxfId="360" tableBorderDxfId="359" totalsRowBorderDxfId="357">
  <autoFilter ref="B5:O7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300-000001000000}" name="Разходи за служители" totalsRowLabel="Междинна сума" dataDxfId="356" totalsRowDxfId="355"/>
    <tableColumn id="2" xr3:uid="{00000000-0010-0000-0300-000002000000}" name="Янр" totalsRowFunction="sum" dataDxfId="354" totalsRowDxfId="353">
      <calculatedColumnFormula>C5*0.27</calculatedColumnFormula>
    </tableColumn>
    <tableColumn id="3" xr3:uid="{00000000-0010-0000-0300-000003000000}" name="Фев" totalsRowFunction="sum" dataDxfId="352" totalsRowDxfId="351">
      <calculatedColumnFormula>D5*0.27</calculatedColumnFormula>
    </tableColumn>
    <tableColumn id="4" xr3:uid="{00000000-0010-0000-0300-000004000000}" name="Мар" totalsRowFunction="sum" dataDxfId="350" totalsRowDxfId="349">
      <calculatedColumnFormula>E5*0.27</calculatedColumnFormula>
    </tableColumn>
    <tableColumn id="5" xr3:uid="{00000000-0010-0000-0300-000005000000}" name="Апр" totalsRowFunction="sum" dataDxfId="348" totalsRowDxfId="347">
      <calculatedColumnFormula>F5*0.27</calculatedColumnFormula>
    </tableColumn>
    <tableColumn id="6" xr3:uid="{00000000-0010-0000-0300-000006000000}" name="Май" totalsRowFunction="sum" dataDxfId="346" totalsRowDxfId="345">
      <calculatedColumnFormula>G5*0.27</calculatedColumnFormula>
    </tableColumn>
    <tableColumn id="7" xr3:uid="{00000000-0010-0000-0300-000007000000}" name="Юни" totalsRowFunction="sum" dataDxfId="344" totalsRowDxfId="343">
      <calculatedColumnFormula>H5*0.27</calculatedColumnFormula>
    </tableColumn>
    <tableColumn id="8" xr3:uid="{00000000-0010-0000-0300-000008000000}" name="Юли" totalsRowFunction="sum" dataDxfId="342" totalsRowDxfId="341">
      <calculatedColumnFormula>I5*0.27</calculatedColumnFormula>
    </tableColumn>
    <tableColumn id="9" xr3:uid="{00000000-0010-0000-0300-000009000000}" name="Авг" totalsRowFunction="sum" dataDxfId="340" totalsRowDxfId="339">
      <calculatedColumnFormula>J5*0.27</calculatedColumnFormula>
    </tableColumn>
    <tableColumn id="10" xr3:uid="{00000000-0010-0000-0300-00000A000000}" name="Сеп" totalsRowFunction="sum" dataDxfId="338" totalsRowDxfId="337">
      <calculatedColumnFormula>K5*0.27</calculatedColumnFormula>
    </tableColumn>
    <tableColumn id="11" xr3:uid="{00000000-0010-0000-0300-00000B000000}" name="Окт" totalsRowFunction="sum" dataDxfId="336" totalsRowDxfId="335">
      <calculatedColumnFormula>L5*0.27</calculatedColumnFormula>
    </tableColumn>
    <tableColumn id="12" xr3:uid="{00000000-0010-0000-0300-00000C000000}" name="Ное" totalsRowFunction="sum" dataDxfId="334" totalsRowDxfId="333">
      <calculatedColumnFormula>M5*0.27</calculatedColumnFormula>
    </tableColumn>
    <tableColumn id="13" xr3:uid="{00000000-0010-0000-0300-00000D000000}" name="Дек" totalsRowFunction="sum" dataDxfId="332" totalsRowDxfId="331">
      <calculatedColumnFormula>N5*0.27</calculatedColumnFormula>
    </tableColumn>
    <tableColumn id="14" xr3:uid="{00000000-0010-0000-0300-00000E000000}" name="ГОДИНА" totalsRowFunction="sum" dataDxfId="330" totalsRowDxfId="329">
      <calculatedColumnFormula>SUM(C6:N6)</calculatedColumnFormula>
    </tableColumn>
  </tableColumns>
  <tableStyleInfo name="TableStyleMedium1" showFirstColumn="1" showLastColumn="1" showRowStripes="1" showColumnStripes="0"/>
  <extLst>
    <ext xmlns:x14="http://schemas.microsoft.com/office/spreadsheetml/2009/9/main" uri="{504A1905-F514-4f6f-8877-14C23A59335A}">
      <x14:table altTextSummary="Въведете планираните месечни разходи за служители в тази таблица. Общата сума се изчислява автоматично в края"/>
    </ext>
  </extLst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1654C0-A6E2-4402-ADF4-C02B29E915BD}" name="ОбщоПланирани" displayName="ОбщоПланирани" ref="B35:O37" totalsRowShown="0" headerRowDxfId="328" dataDxfId="326" headerRowBorderDxfId="327" tableBorderDxfId="325" totalsRowBorderDxfId="324">
  <autoFilter ref="B35:O37" xr:uid="{630CA614-6744-438B-8D74-F7C59585F1E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7DAEAEE0-3B16-417F-B274-1F203D9CFCF2}" name="ОБЩИ СУМИ" dataDxfId="323"/>
    <tableColumn id="2" xr3:uid="{3CBCAAC6-5850-43CE-8A4B-7299FADFEA94}" name="Янр" dataDxfId="322">
      <calculatedColumnFormula>SUM($C35:C$36)</calculatedColumnFormula>
    </tableColumn>
    <tableColumn id="3" xr3:uid="{E78EAAAB-F732-4079-94F1-D17531764B41}" name="Фев" dataDxfId="321">
      <calculatedColumnFormula>SUM($C35:D$36)</calculatedColumnFormula>
    </tableColumn>
    <tableColumn id="4" xr3:uid="{7E178853-B334-4E02-A0B5-9E8AC39D6929}" name="Мар" dataDxfId="320">
      <calculatedColumnFormula>SUM($C35:E$36)</calculatedColumnFormula>
    </tableColumn>
    <tableColumn id="5" xr3:uid="{901BCAA1-7C45-46E6-9DAA-C055B5CC4D9E}" name="Апр" dataDxfId="319">
      <calculatedColumnFormula>SUM($C35:F$36)</calculatedColumnFormula>
    </tableColumn>
    <tableColumn id="6" xr3:uid="{FDC62F5A-FCA8-49DA-AFE4-FBDA22CB588C}" name="Май" dataDxfId="318">
      <calculatedColumnFormula>SUM($C35:G$36)</calculatedColumnFormula>
    </tableColumn>
    <tableColumn id="7" xr3:uid="{6B7E4F62-6387-4545-9593-FCFE8EB0E87B}" name="Юни" dataDxfId="317">
      <calculatedColumnFormula>SUM($C35:H$36)</calculatedColumnFormula>
    </tableColumn>
    <tableColumn id="8" xr3:uid="{29C96D76-82C3-4C86-A866-135D2B5F6766}" name="Юли" dataDxfId="316">
      <calculatedColumnFormula>SUM($C35:I$36)</calculatedColumnFormula>
    </tableColumn>
    <tableColumn id="9" xr3:uid="{8EAF7A8A-BCFD-4A07-ADFE-7B3A8A367BB3}" name="Авг" dataDxfId="315">
      <calculatedColumnFormula>SUM($C35:J$36)</calculatedColumnFormula>
    </tableColumn>
    <tableColumn id="10" xr3:uid="{F40CD844-EFB4-4B82-8FEA-F130D1DDE9B6}" name="Сеп" dataDxfId="314">
      <calculatedColumnFormula>SUM($C35:K$36)</calculatedColumnFormula>
    </tableColumn>
    <tableColumn id="11" xr3:uid="{42E3BDAF-1274-4A42-93E1-A70D8EFF4D76}" name="Окт" dataDxfId="313">
      <calculatedColumnFormula>SUM($C35:L$36)</calculatedColumnFormula>
    </tableColumn>
    <tableColumn id="12" xr3:uid="{4F7ADDB3-3705-4D5F-B56D-EBBC8E7DFAFB}" name="Ное" dataDxfId="312">
      <calculatedColumnFormula>SUM($C35:M$36)</calculatedColumnFormula>
    </tableColumn>
    <tableColumn id="13" xr3:uid="{56789314-1137-4ED4-BA2B-969187ADECB2}" name="Дек" dataDxfId="311">
      <calculatedColumnFormula>SUM($C35:N$36)</calculatedColumnFormula>
    </tableColumn>
    <tableColumn id="14" xr3:uid="{284F34B8-8D32-4E44-96FD-25CE69A931D2}" name="Година" dataDxfId="3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Месечните и общите планирани разходи се изчисляват автоматично в тази таблица"/>
    </ext>
  </extLst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ДействителиЗаОфис" displayName="ДействителиЗаОфис" ref="B10:O19" totalsRowCount="1" headerRowDxfId="309" totalsRowDxfId="306" headerRowBorderDxfId="308" tableBorderDxfId="307" totalsRowBorderDxfId="305">
  <autoFilter ref="B10:O1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400-000001000000}" name="Разходи за офис" totalsRowLabel="Междинна сума" dataDxfId="304" totalsRowDxfId="303"/>
    <tableColumn id="2" xr3:uid="{00000000-0010-0000-0400-000002000000}" name="Янр" totalsRowFunction="sum" dataDxfId="302" totalsRowDxfId="301"/>
    <tableColumn id="3" xr3:uid="{00000000-0010-0000-0400-000003000000}" name="Фев" totalsRowFunction="sum" dataDxfId="300" totalsRowDxfId="299"/>
    <tableColumn id="4" xr3:uid="{00000000-0010-0000-0400-000004000000}" name="Мар" totalsRowFunction="sum" dataDxfId="298" totalsRowDxfId="297"/>
    <tableColumn id="5" xr3:uid="{00000000-0010-0000-0400-000005000000}" name="Апр" totalsRowFunction="sum" dataDxfId="296" totalsRowDxfId="295"/>
    <tableColumn id="6" xr3:uid="{00000000-0010-0000-0400-000006000000}" name="Май" totalsRowFunction="sum" dataDxfId="294" totalsRowDxfId="293"/>
    <tableColumn id="7" xr3:uid="{00000000-0010-0000-0400-000007000000}" name="Юни" totalsRowFunction="sum" dataDxfId="292" totalsRowDxfId="291"/>
    <tableColumn id="8" xr3:uid="{00000000-0010-0000-0400-000008000000}" name="Юли" totalsRowFunction="sum" dataDxfId="290" totalsRowDxfId="289"/>
    <tableColumn id="9" xr3:uid="{00000000-0010-0000-0400-000009000000}" name="Авг" totalsRowFunction="sum" dataDxfId="288" totalsRowDxfId="287"/>
    <tableColumn id="10" xr3:uid="{00000000-0010-0000-0400-00000A000000}" name="Сеп" totalsRowFunction="sum" dataDxfId="286" totalsRowDxfId="285"/>
    <tableColumn id="11" xr3:uid="{00000000-0010-0000-0400-00000B000000}" name="Окт" totalsRowFunction="sum" dataDxfId="284" totalsRowDxfId="283"/>
    <tableColumn id="12" xr3:uid="{00000000-0010-0000-0400-00000C000000}" name="Ное" totalsRowFunction="sum" dataDxfId="282" totalsRowDxfId="281"/>
    <tableColumn id="13" xr3:uid="{00000000-0010-0000-0400-00000D000000}" name="Дек" totalsRowFunction="sum" dataDxfId="280" totalsRowDxfId="279"/>
    <tableColumn id="14" xr3:uid="{00000000-0010-0000-0400-00000E000000}" name="ГОДИНА" totalsRowFunction="sum" dataDxfId="278" totalsRowDxfId="277">
      <calculatedColumnFormula>SUM(C11:N11)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Въведете действителните месечни разходи за офис в тази таблица. Общата сума се изчислява автоматично в края"/>
    </ext>
  </extLst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ДействителниЗаМаркетинг" displayName="ДействителниЗаМаркетинг" ref="B21:O28" totalsRowCount="1" headerRowDxfId="276" totalsRowDxfId="273" headerRowBorderDxfId="275" tableBorderDxfId="274" totalsRowBorderDxfId="272">
  <autoFilter ref="B21:O27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500-000001000000}" name="Разходи за маркетинг" totalsRowLabel="Междинна сума" dataDxfId="271" totalsRowDxfId="270"/>
    <tableColumn id="2" xr3:uid="{00000000-0010-0000-0500-000002000000}" name="Янр" totalsRowFunction="sum" dataDxfId="269" totalsRowDxfId="268"/>
    <tableColumn id="3" xr3:uid="{00000000-0010-0000-0500-000003000000}" name="Фев" totalsRowFunction="sum" dataDxfId="267" totalsRowDxfId="266"/>
    <tableColumn id="4" xr3:uid="{00000000-0010-0000-0500-000004000000}" name="Мар" totalsRowFunction="sum" dataDxfId="265" totalsRowDxfId="264"/>
    <tableColumn id="5" xr3:uid="{00000000-0010-0000-0500-000005000000}" name="Апр" totalsRowFunction="sum" dataDxfId="263" totalsRowDxfId="262"/>
    <tableColumn id="6" xr3:uid="{00000000-0010-0000-0500-000006000000}" name="Май" totalsRowFunction="sum" dataDxfId="261" totalsRowDxfId="260"/>
    <tableColumn id="7" xr3:uid="{00000000-0010-0000-0500-000007000000}" name="Юни" totalsRowFunction="sum" dataDxfId="259" totalsRowDxfId="258"/>
    <tableColumn id="8" xr3:uid="{00000000-0010-0000-0500-000008000000}" name="Юли" totalsRowFunction="sum" dataDxfId="257" totalsRowDxfId="256"/>
    <tableColumn id="9" xr3:uid="{00000000-0010-0000-0500-000009000000}" name="Авг" totalsRowFunction="sum" dataDxfId="255" totalsRowDxfId="254"/>
    <tableColumn id="10" xr3:uid="{00000000-0010-0000-0500-00000A000000}" name="Сеп" totalsRowFunction="sum" dataDxfId="253" totalsRowDxfId="252"/>
    <tableColumn id="11" xr3:uid="{00000000-0010-0000-0500-00000B000000}" name="Окт" totalsRowFunction="sum" dataDxfId="251" totalsRowDxfId="250"/>
    <tableColumn id="12" xr3:uid="{00000000-0010-0000-0500-00000C000000}" name="Ное" totalsRowFunction="sum" dataDxfId="249" totalsRowDxfId="248"/>
    <tableColumn id="13" xr3:uid="{00000000-0010-0000-0500-00000D000000}" name="Дек" totalsRowFunction="sum" dataDxfId="247" totalsRowDxfId="246"/>
    <tableColumn id="14" xr3:uid="{00000000-0010-0000-0500-00000E000000}" name="ГОДИНА" totalsRowFunction="sum" dataDxfId="245" totalsRowDxfId="244">
      <calculatedColumnFormula>SUM(C22:N22)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Въведете действителните месечни разходи за маркетинг в тази таблица. Общата сума се изчислява автоматично в края"/>
    </ext>
  </extLst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ДействителниЗаОбученияИПътувания" displayName="ДействителниЗаОбученияИПътувания" ref="B30:O33" totalsRowCount="1" headerRowDxfId="243" totalsRowDxfId="240" headerRowBorderDxfId="242" tableBorderDxfId="241" totalsRowBorderDxfId="239">
  <autoFilter ref="B30:O32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600-000001000000}" name="Обучения/пътувания" totalsRowLabel="Междинна сума" dataDxfId="238" totalsRowDxfId="237"/>
    <tableColumn id="2" xr3:uid="{00000000-0010-0000-0600-000002000000}" name="Янр" totalsRowFunction="sum" dataDxfId="236" totalsRowDxfId="235"/>
    <tableColumn id="3" xr3:uid="{00000000-0010-0000-0600-000003000000}" name="Фев" totalsRowFunction="sum" dataDxfId="234" totalsRowDxfId="233"/>
    <tableColumn id="4" xr3:uid="{00000000-0010-0000-0600-000004000000}" name="Мар" totalsRowFunction="sum" dataDxfId="232" totalsRowDxfId="231"/>
    <tableColumn id="5" xr3:uid="{00000000-0010-0000-0600-000005000000}" name="Апр" totalsRowFunction="sum" dataDxfId="230" totalsRowDxfId="229"/>
    <tableColumn id="6" xr3:uid="{00000000-0010-0000-0600-000006000000}" name="Май" totalsRowFunction="sum" dataDxfId="228" totalsRowDxfId="227"/>
    <tableColumn id="7" xr3:uid="{00000000-0010-0000-0600-000007000000}" name="Юни" totalsRowFunction="sum" dataDxfId="226" totalsRowDxfId="225"/>
    <tableColumn id="8" xr3:uid="{00000000-0010-0000-0600-000008000000}" name="Юли" totalsRowFunction="sum" dataDxfId="224" totalsRowDxfId="223"/>
    <tableColumn id="9" xr3:uid="{00000000-0010-0000-0600-000009000000}" name="Авг" totalsRowFunction="sum" dataDxfId="222" totalsRowDxfId="221"/>
    <tableColumn id="10" xr3:uid="{00000000-0010-0000-0600-00000A000000}" name="Сеп" totalsRowFunction="sum" dataDxfId="220" totalsRowDxfId="219"/>
    <tableColumn id="11" xr3:uid="{00000000-0010-0000-0600-00000B000000}" name="Окт" totalsRowFunction="sum" dataDxfId="218" totalsRowDxfId="217"/>
    <tableColumn id="12" xr3:uid="{00000000-0010-0000-0600-00000C000000}" name="Ное" totalsRowFunction="sum" dataDxfId="216" totalsRowDxfId="215"/>
    <tableColumn id="13" xr3:uid="{00000000-0010-0000-0600-00000D000000}" name="Дек" totalsRowFunction="sum" dataDxfId="214" totalsRowDxfId="213"/>
    <tableColumn id="14" xr3:uid="{00000000-0010-0000-0600-00000E000000}" name="ГОДИНА" totalsRowFunction="sum" dataDxfId="212" totalsRowDxfId="211">
      <calculatedColumnFormula>SUM(C31:N31)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Въведете действителните месечни разходи за обучение и пътуване в тази таблица. Общата сума се изчислява автоматично в края"/>
    </ext>
  </extLst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ДействителниЗаСлужители" displayName="ДействителниЗаСлужители" ref="B5:O8" totalsRowCount="1" headerRowDxfId="210" totalsRowDxfId="207" headerRowBorderDxfId="209" tableBorderDxfId="208" totalsRowBorderDxfId="206">
  <autoFilter ref="B5:O7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700-000001000000}" name="Разходи за служители" totalsRowLabel="Междинна сума" dataDxfId="205" totalsRowDxfId="204"/>
    <tableColumn id="2" xr3:uid="{00000000-0010-0000-0700-000002000000}" name="Янр" totalsRowFunction="sum" dataDxfId="203" totalsRowDxfId="202">
      <calculatedColumnFormula>C5*0.27</calculatedColumnFormula>
    </tableColumn>
    <tableColumn id="3" xr3:uid="{00000000-0010-0000-0700-000003000000}" name="Фев" totalsRowFunction="sum" dataDxfId="201" totalsRowDxfId="200">
      <calculatedColumnFormula>D5*0.27</calculatedColumnFormula>
    </tableColumn>
    <tableColumn id="4" xr3:uid="{00000000-0010-0000-0700-000004000000}" name="Мар" totalsRowFunction="sum" dataDxfId="199" totalsRowDxfId="198">
      <calculatedColumnFormula>E5*0.27</calculatedColumnFormula>
    </tableColumn>
    <tableColumn id="5" xr3:uid="{00000000-0010-0000-0700-000005000000}" name="Апр" totalsRowFunction="sum" dataDxfId="197" totalsRowDxfId="196">
      <calculatedColumnFormula>F5*0.27</calculatedColumnFormula>
    </tableColumn>
    <tableColumn id="6" xr3:uid="{00000000-0010-0000-0700-000006000000}" name="Май" totalsRowFunction="sum" dataDxfId="195" totalsRowDxfId="194">
      <calculatedColumnFormula>G5*0.27</calculatedColumnFormula>
    </tableColumn>
    <tableColumn id="7" xr3:uid="{00000000-0010-0000-0700-000007000000}" name="Юни" totalsRowFunction="sum" dataDxfId="193" totalsRowDxfId="192">
      <calculatedColumnFormula>H5*0.27</calculatedColumnFormula>
    </tableColumn>
    <tableColumn id="8" xr3:uid="{00000000-0010-0000-0700-000008000000}" name="Юли" totalsRowFunction="sum" dataDxfId="191" totalsRowDxfId="190"/>
    <tableColumn id="9" xr3:uid="{00000000-0010-0000-0700-000009000000}" name="Авг" totalsRowFunction="sum" dataDxfId="189" totalsRowDxfId="188"/>
    <tableColumn id="10" xr3:uid="{00000000-0010-0000-0700-00000A000000}" name="Сеп" totalsRowFunction="sum" dataDxfId="187" totalsRowDxfId="186"/>
    <tableColumn id="11" xr3:uid="{00000000-0010-0000-0700-00000B000000}" name="Окт" totalsRowFunction="sum" dataDxfId="185" totalsRowDxfId="184"/>
    <tableColumn id="12" xr3:uid="{00000000-0010-0000-0700-00000C000000}" name="Ное" totalsRowFunction="sum" dataDxfId="183" totalsRowDxfId="182"/>
    <tableColumn id="13" xr3:uid="{00000000-0010-0000-0700-00000D000000}" name="Дек" totalsRowFunction="sum" dataDxfId="181" totalsRowDxfId="180"/>
    <tableColumn id="14" xr3:uid="{00000000-0010-0000-0700-00000E000000}" name="ГОДИНА" totalsRowFunction="sum" dataDxfId="179" totalsRowDxfId="178">
      <calculatedColumnFormula>SUM(C6:N6)</calculatedColumnFormula>
    </tableColumn>
  </tableColumns>
  <tableStyleInfo name="TableStyleMedium1" showFirstColumn="1" showLastColumn="1" showRowStripes="0" showColumnStripes="0"/>
  <extLst>
    <ext xmlns:x14="http://schemas.microsoft.com/office/spreadsheetml/2009/9/main" uri="{504A1905-F514-4f6f-8877-14C23A59335A}">
      <x14:table altTextSummary="Въведете действителните месечни разходи за служители в тази таблица. Общата сума се изчислява автоматично в края"/>
    </ext>
  </extLst>
</table>
</file>

<file path=xl/theme/theme11.xml><?xml version="1.0" encoding="utf-8"?>
<a:theme xmlns:a="http://schemas.openxmlformats.org/drawingml/2006/main" name="Office Theme">
  <a:themeElements>
    <a:clrScheme name="Custom 25">
      <a:dk1>
        <a:sysClr val="windowText" lastClr="000000"/>
      </a:dk1>
      <a:lt1>
        <a:srgbClr val="FFFFFF"/>
      </a:lt1>
      <a:dk2>
        <a:srgbClr val="2F4B83"/>
      </a:dk2>
      <a:lt2>
        <a:srgbClr val="F2F2F2"/>
      </a:lt2>
      <a:accent1>
        <a:srgbClr val="CC1D10"/>
      </a:accent1>
      <a:accent2>
        <a:srgbClr val="357B37"/>
      </a:accent2>
      <a:accent3>
        <a:srgbClr val="34A0DC"/>
      </a:accent3>
      <a:accent4>
        <a:srgbClr val="B71F66"/>
      </a:accent4>
      <a:accent5>
        <a:srgbClr val="255D77"/>
      </a:accent5>
      <a:accent6>
        <a:srgbClr val="EF4538"/>
      </a:accent6>
      <a:hlink>
        <a:srgbClr val="7DC6F3"/>
      </a:hlink>
      <a:folHlink>
        <a:srgbClr val="7DC6F3"/>
      </a:folHlink>
    </a:clrScheme>
    <a:fontScheme name="Custom 18">
      <a:majorFont>
        <a:latin typeface="Franklin Gothic Book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6.xml" Id="rId3" /><Relationship Type="http://schemas.openxmlformats.org/officeDocument/2006/relationships/table" Target="/xl/tables/table57.xml" Id="rId7" /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22.bin" Id="rId1" /><Relationship Type="http://schemas.openxmlformats.org/officeDocument/2006/relationships/table" Target="/xl/tables/table48.xml" Id="rId6" /><Relationship Type="http://schemas.openxmlformats.org/officeDocument/2006/relationships/table" Target="/xl/tables/table39.xml" Id="rId5" /><Relationship Type="http://schemas.openxmlformats.org/officeDocument/2006/relationships/table" Target="/xl/tables/table210.xml" Id="rId4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61.xml" Id="rId3" /><Relationship Type="http://schemas.openxmlformats.org/officeDocument/2006/relationships/table" Target="/xl/tables/table102.xml" Id="rId7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31.bin" Id="rId1" /><Relationship Type="http://schemas.openxmlformats.org/officeDocument/2006/relationships/table" Target="/xl/tables/table93.xml" Id="rId6" /><Relationship Type="http://schemas.openxmlformats.org/officeDocument/2006/relationships/table" Target="/xl/tables/table84.xml" Id="rId5" /><Relationship Type="http://schemas.openxmlformats.org/officeDocument/2006/relationships/table" Target="/xl/tables/table75.xml" Id="rId4" /></Relationships>
</file>

<file path=xl/worksheets/_rels/sheet45.xml.rels>&#65279;<?xml version="1.0" encoding="utf-8"?><Relationships xmlns="http://schemas.openxmlformats.org/package/2006/relationships"><Relationship Type="http://schemas.openxmlformats.org/officeDocument/2006/relationships/table" Target="/xl/tables/table1112.xml" Id="rId3" /><Relationship Type="http://schemas.openxmlformats.org/officeDocument/2006/relationships/table" Target="/xl/tables/table1513.xml" Id="rId7" /><Relationship Type="http://schemas.openxmlformats.org/officeDocument/2006/relationships/drawing" Target="/xl/drawings/drawing34.xml" Id="rId2" /><Relationship Type="http://schemas.openxmlformats.org/officeDocument/2006/relationships/printerSettings" Target="/xl/printerSettings/printerSettings45.bin" Id="rId1" /><Relationship Type="http://schemas.openxmlformats.org/officeDocument/2006/relationships/table" Target="/xl/tables/table1414.xml" Id="rId6" /><Relationship Type="http://schemas.openxmlformats.org/officeDocument/2006/relationships/table" Target="/xl/tables/table1315.xml" Id="rId5" /><Relationship Type="http://schemas.openxmlformats.org/officeDocument/2006/relationships/table" Target="/xl/tables/table1216.xml" Id="rId4" /></Relationships>
</file>

<file path=xl/worksheets/_rels/sheet54.xml.rels>&#65279;<?xml version="1.0" encoding="utf-8"?><Relationships xmlns="http://schemas.openxmlformats.org/package/2006/relationships"><Relationship Type="http://schemas.openxmlformats.org/officeDocument/2006/relationships/table" Target="/xl/tables/table1611.xml" Id="rId3" /><Relationship Type="http://schemas.openxmlformats.org/officeDocument/2006/relationships/drawing" Target="/xl/drawings/drawing43.xml" Id="rId2" /><Relationship Type="http://schemas.openxmlformats.org/officeDocument/2006/relationships/printerSettings" Target="/xl/printerSettings/printerSettings5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5652D-94A4-43B5-AFA7-1A6439101CE6}">
  <sheetPr>
    <tabColor theme="3" tint="-0.249977111117893"/>
  </sheetPr>
  <dimension ref="B1:B8"/>
  <sheetViews>
    <sheetView tabSelected="1" workbookViewId="0"/>
  </sheetViews>
  <sheetFormatPr defaultRowHeight="12.75" x14ac:dyDescent="0.2"/>
  <cols>
    <col min="1" max="1" width="2.7109375" customWidth="1"/>
    <col min="2" max="2" width="96.85546875" customWidth="1"/>
    <col min="3" max="3" width="2.7109375" customWidth="1"/>
  </cols>
  <sheetData>
    <row r="1" spans="2:2" s="30" customFormat="1" ht="30" customHeight="1" x14ac:dyDescent="0.2">
      <c r="B1" s="31" t="s">
        <v>0</v>
      </c>
    </row>
    <row r="2" spans="2:2" ht="36.75" customHeight="1" x14ac:dyDescent="0.2">
      <c r="B2" s="42" t="s">
        <v>1</v>
      </c>
    </row>
    <row r="3" spans="2:2" ht="30" customHeight="1" x14ac:dyDescent="0.2">
      <c r="B3" s="42" t="s">
        <v>2</v>
      </c>
    </row>
    <row r="4" spans="2:2" ht="40.5" customHeight="1" x14ac:dyDescent="0.2">
      <c r="B4" s="42" t="s">
        <v>3</v>
      </c>
    </row>
    <row r="5" spans="2:2" ht="36" customHeight="1" x14ac:dyDescent="0.2">
      <c r="B5" s="42" t="s">
        <v>4</v>
      </c>
    </row>
    <row r="6" spans="2:2" ht="36" customHeight="1" x14ac:dyDescent="0.2">
      <c r="B6" s="44" t="s">
        <v>5</v>
      </c>
    </row>
    <row r="7" spans="2:2" ht="58.5" customHeight="1" x14ac:dyDescent="0.2">
      <c r="B7" s="42" t="s">
        <v>6</v>
      </c>
    </row>
    <row r="8" spans="2:2" ht="40.5" customHeight="1" x14ac:dyDescent="0.25">
      <c r="B8" s="43" t="s">
        <v>7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/>
  </sheetPr>
  <dimension ref="A1:T38"/>
  <sheetViews>
    <sheetView showGridLines="0" zoomScaleNormal="100" workbookViewId="0"/>
  </sheetViews>
  <sheetFormatPr defaultColWidth="9.140625" defaultRowHeight="21" customHeight="1" x14ac:dyDescent="0.3"/>
  <cols>
    <col min="1" max="1" width="4.7109375" style="1" customWidth="1"/>
    <col min="2" max="2" width="49.140625" style="1" customWidth="1"/>
    <col min="3" max="15" width="16.7109375" style="1" customWidth="1"/>
    <col min="16" max="16" width="4.7109375" style="1" customWidth="1"/>
    <col min="17" max="17" width="1.7109375" style="1" customWidth="1"/>
    <col min="18" max="19" width="9.140625" style="1"/>
    <col min="20" max="20" width="11.140625" style="1" customWidth="1"/>
    <col min="21" max="16384" width="9.140625" style="1"/>
  </cols>
  <sheetData>
    <row r="1" spans="1:20" ht="24" customHeight="1" x14ac:dyDescent="0.3">
      <c r="A1" s="34"/>
      <c r="B1" s="10"/>
      <c r="C1" s="10"/>
      <c r="D1" s="10"/>
      <c r="E1" s="10"/>
      <c r="F1" s="7"/>
      <c r="G1" s="7"/>
      <c r="H1" s="7"/>
      <c r="I1" s="7"/>
      <c r="J1" s="7"/>
      <c r="K1" s="7"/>
      <c r="L1" s="7"/>
      <c r="M1" s="7"/>
      <c r="N1" s="7"/>
      <c r="O1" s="7"/>
      <c r="P1" s="63" t="s">
        <v>64</v>
      </c>
    </row>
    <row r="2" spans="1:20" ht="45" customHeight="1" x14ac:dyDescent="0.35">
      <c r="A2" s="32"/>
      <c r="B2" s="85" t="s">
        <v>8</v>
      </c>
      <c r="C2" s="85"/>
      <c r="D2" s="85"/>
      <c r="E2" s="88"/>
      <c r="F2" s="8"/>
      <c r="G2" s="8"/>
      <c r="H2" s="8"/>
      <c r="I2" s="8"/>
      <c r="J2" s="8"/>
      <c r="K2" s="129" t="s">
        <v>52</v>
      </c>
      <c r="L2" s="129"/>
      <c r="M2" s="129"/>
      <c r="N2" s="82"/>
      <c r="O2" s="82"/>
      <c r="P2" s="7"/>
    </row>
    <row r="3" spans="1:20" ht="30" customHeight="1" x14ac:dyDescent="0.3">
      <c r="A3" s="32"/>
      <c r="B3" s="85"/>
      <c r="C3" s="85"/>
      <c r="D3" s="85"/>
      <c r="E3" s="89"/>
      <c r="F3" s="9"/>
      <c r="G3" s="9"/>
      <c r="H3" s="9"/>
      <c r="I3" s="9"/>
      <c r="J3" s="9"/>
      <c r="K3" s="130" t="s">
        <v>53</v>
      </c>
      <c r="L3" s="130"/>
      <c r="M3" s="130"/>
      <c r="N3" s="82"/>
      <c r="O3" s="82"/>
      <c r="P3" s="7"/>
    </row>
    <row r="4" spans="1:20" s="11" customFormat="1" ht="49.5" customHeight="1" x14ac:dyDescent="0.3">
      <c r="A4" s="33"/>
      <c r="B4" s="22" t="s">
        <v>9</v>
      </c>
      <c r="C4" s="23" t="s">
        <v>36</v>
      </c>
      <c r="D4" s="23" t="s">
        <v>38</v>
      </c>
      <c r="E4" s="90" t="s">
        <v>40</v>
      </c>
      <c r="F4" s="23" t="s">
        <v>42</v>
      </c>
      <c r="G4" s="23" t="s">
        <v>44</v>
      </c>
      <c r="H4" s="23" t="s">
        <v>46</v>
      </c>
      <c r="I4" s="90" t="s">
        <v>48</v>
      </c>
      <c r="J4" s="23" t="s">
        <v>50</v>
      </c>
      <c r="K4" s="23" t="s">
        <v>54</v>
      </c>
      <c r="L4" s="23" t="s">
        <v>56</v>
      </c>
      <c r="M4" s="23" t="s">
        <v>58</v>
      </c>
      <c r="N4" s="90" t="s">
        <v>60</v>
      </c>
      <c r="O4" s="23" t="s">
        <v>62</v>
      </c>
      <c r="R4" s="127"/>
      <c r="S4" s="128"/>
      <c r="T4" s="128"/>
    </row>
    <row r="5" spans="1:20" ht="24.95" customHeight="1" thickBot="1" x14ac:dyDescent="0.35">
      <c r="A5" s="33"/>
      <c r="B5" s="45" t="s">
        <v>10</v>
      </c>
      <c r="C5" s="61" t="s">
        <v>37</v>
      </c>
      <c r="D5" s="59" t="s">
        <v>39</v>
      </c>
      <c r="E5" s="91" t="s">
        <v>41</v>
      </c>
      <c r="F5" s="59" t="s">
        <v>43</v>
      </c>
      <c r="G5" s="59" t="s">
        <v>45</v>
      </c>
      <c r="H5" s="59" t="s">
        <v>47</v>
      </c>
      <c r="I5" s="59" t="s">
        <v>49</v>
      </c>
      <c r="J5" s="59" t="s">
        <v>51</v>
      </c>
      <c r="K5" s="59" t="s">
        <v>55</v>
      </c>
      <c r="L5" s="59" t="s">
        <v>57</v>
      </c>
      <c r="M5" s="59" t="s">
        <v>59</v>
      </c>
      <c r="N5" s="59" t="s">
        <v>61</v>
      </c>
      <c r="O5" s="60" t="s">
        <v>62</v>
      </c>
      <c r="R5" s="128"/>
      <c r="S5" s="128"/>
      <c r="T5" s="128"/>
    </row>
    <row r="6" spans="1:20" ht="24.95" customHeight="1" thickBot="1" x14ac:dyDescent="0.35">
      <c r="A6" s="33"/>
      <c r="B6" s="46" t="s">
        <v>11</v>
      </c>
      <c r="C6" s="96">
        <v>85000</v>
      </c>
      <c r="D6" s="97">
        <v>85000</v>
      </c>
      <c r="E6" s="97">
        <v>85000</v>
      </c>
      <c r="F6" s="97">
        <v>87500</v>
      </c>
      <c r="G6" s="97">
        <v>87500</v>
      </c>
      <c r="H6" s="97">
        <v>87500</v>
      </c>
      <c r="I6" s="97">
        <v>87500</v>
      </c>
      <c r="J6" s="97">
        <v>92400</v>
      </c>
      <c r="K6" s="97">
        <v>92400</v>
      </c>
      <c r="L6" s="97">
        <v>92400</v>
      </c>
      <c r="M6" s="97">
        <v>92400</v>
      </c>
      <c r="N6" s="97">
        <v>92400</v>
      </c>
      <c r="O6" s="98">
        <f>SUM(C6:N6)</f>
        <v>1067000</v>
      </c>
      <c r="R6" s="128"/>
      <c r="S6" s="128"/>
      <c r="T6" s="128"/>
    </row>
    <row r="7" spans="1:20" ht="24.95" customHeight="1" thickBot="1" x14ac:dyDescent="0.35">
      <c r="A7" s="33"/>
      <c r="B7" s="46" t="s">
        <v>12</v>
      </c>
      <c r="C7" s="96">
        <f t="shared" ref="C7:N7" si="0">C6*0.27</f>
        <v>22950</v>
      </c>
      <c r="D7" s="97">
        <f t="shared" si="0"/>
        <v>22950</v>
      </c>
      <c r="E7" s="97">
        <f t="shared" si="0"/>
        <v>22950</v>
      </c>
      <c r="F7" s="97">
        <f t="shared" si="0"/>
        <v>23625</v>
      </c>
      <c r="G7" s="97">
        <f t="shared" si="0"/>
        <v>23625</v>
      </c>
      <c r="H7" s="97">
        <f t="shared" si="0"/>
        <v>23625</v>
      </c>
      <c r="I7" s="97">
        <f t="shared" si="0"/>
        <v>23625</v>
      </c>
      <c r="J7" s="97">
        <f t="shared" si="0"/>
        <v>24948</v>
      </c>
      <c r="K7" s="97">
        <f t="shared" si="0"/>
        <v>24948</v>
      </c>
      <c r="L7" s="97">
        <f t="shared" si="0"/>
        <v>24948</v>
      </c>
      <c r="M7" s="97">
        <f t="shared" si="0"/>
        <v>24948</v>
      </c>
      <c r="N7" s="97">
        <f t="shared" si="0"/>
        <v>24948</v>
      </c>
      <c r="O7" s="98">
        <f>SUM(C7:N7)</f>
        <v>288090</v>
      </c>
      <c r="R7" s="128"/>
      <c r="S7" s="128"/>
      <c r="T7" s="128"/>
    </row>
    <row r="8" spans="1:20" ht="24.95" customHeight="1" x14ac:dyDescent="0.3">
      <c r="A8" s="33"/>
      <c r="B8" s="47" t="s">
        <v>13</v>
      </c>
      <c r="C8" s="99">
        <f>SUBTOTAL(109,ПланираниЗаСлужители[Янр])</f>
        <v>107950</v>
      </c>
      <c r="D8" s="100">
        <f>SUBTOTAL(109,ПланираниЗаСлужители[Фев])</f>
        <v>107950</v>
      </c>
      <c r="E8" s="100">
        <f>SUBTOTAL(109,ПланираниЗаСлужители[Мар])</f>
        <v>107950</v>
      </c>
      <c r="F8" s="100">
        <f>SUBTOTAL(109,ПланираниЗаСлужители[Апр])</f>
        <v>111125</v>
      </c>
      <c r="G8" s="100">
        <f>SUBTOTAL(109,ПланираниЗаСлужители[Май])</f>
        <v>111125</v>
      </c>
      <c r="H8" s="100">
        <f>SUBTOTAL(109,ПланираниЗаСлужители[Юни])</f>
        <v>111125</v>
      </c>
      <c r="I8" s="100">
        <f>SUBTOTAL(109,ПланираниЗаСлужители[Юли])</f>
        <v>111125</v>
      </c>
      <c r="J8" s="100">
        <f>SUBTOTAL(109,ПланираниЗаСлужители[Авг])</f>
        <v>117348</v>
      </c>
      <c r="K8" s="100">
        <f>SUBTOTAL(109,ПланираниЗаСлужители[Сеп])</f>
        <v>117348</v>
      </c>
      <c r="L8" s="100">
        <f>SUBTOTAL(109,ПланираниЗаСлужители[Окт])</f>
        <v>117348</v>
      </c>
      <c r="M8" s="100">
        <f>SUBTOTAL(109,ПланираниЗаСлужители[Ное])</f>
        <v>117348</v>
      </c>
      <c r="N8" s="100">
        <f>SUBTOTAL(109,ПланираниЗаСлужители[Дек])</f>
        <v>117348</v>
      </c>
      <c r="O8" s="101">
        <f>SUBTOTAL(109,ПланираниЗаСлужители[ГОДИНА])</f>
        <v>1355090</v>
      </c>
      <c r="R8" s="128"/>
      <c r="S8" s="128"/>
      <c r="T8" s="128"/>
    </row>
    <row r="9" spans="1:20" ht="21" customHeight="1" thickBot="1" x14ac:dyDescent="0.35">
      <c r="A9" s="33"/>
      <c r="B9" s="83"/>
      <c r="C9" s="8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  <c r="R9" s="128"/>
      <c r="S9" s="128"/>
      <c r="T9" s="128"/>
    </row>
    <row r="10" spans="1:20" ht="24.95" customHeight="1" thickBot="1" x14ac:dyDescent="0.35">
      <c r="A10" s="33"/>
      <c r="B10" s="56" t="s">
        <v>14</v>
      </c>
      <c r="C10" s="53" t="s">
        <v>37</v>
      </c>
      <c r="D10" s="54" t="s">
        <v>39</v>
      </c>
      <c r="E10" s="92" t="s">
        <v>41</v>
      </c>
      <c r="F10" s="54" t="s">
        <v>43</v>
      </c>
      <c r="G10" s="54" t="s">
        <v>45</v>
      </c>
      <c r="H10" s="54" t="s">
        <v>47</v>
      </c>
      <c r="I10" s="54" t="s">
        <v>49</v>
      </c>
      <c r="J10" s="54" t="s">
        <v>51</v>
      </c>
      <c r="K10" s="54" t="s">
        <v>55</v>
      </c>
      <c r="L10" s="54" t="s">
        <v>57</v>
      </c>
      <c r="M10" s="54" t="s">
        <v>59</v>
      </c>
      <c r="N10" s="54" t="s">
        <v>61</v>
      </c>
      <c r="O10" s="55" t="s">
        <v>62</v>
      </c>
      <c r="R10" s="128"/>
      <c r="S10" s="128"/>
      <c r="T10" s="128"/>
    </row>
    <row r="11" spans="1:20" ht="24.95" customHeight="1" thickBot="1" x14ac:dyDescent="0.35">
      <c r="A11" s="33"/>
      <c r="B11" s="79" t="s">
        <v>15</v>
      </c>
      <c r="C11" s="96">
        <v>9800</v>
      </c>
      <c r="D11" s="97">
        <v>9800</v>
      </c>
      <c r="E11" s="97">
        <v>9800</v>
      </c>
      <c r="F11" s="97">
        <v>9800</v>
      </c>
      <c r="G11" s="97">
        <v>9800</v>
      </c>
      <c r="H11" s="97">
        <v>9800</v>
      </c>
      <c r="I11" s="97">
        <v>9800</v>
      </c>
      <c r="J11" s="97">
        <v>9800</v>
      </c>
      <c r="K11" s="97">
        <v>9800</v>
      </c>
      <c r="L11" s="97">
        <v>9800</v>
      </c>
      <c r="M11" s="97">
        <v>9800</v>
      </c>
      <c r="N11" s="97">
        <v>9800</v>
      </c>
      <c r="O11" s="98">
        <f t="shared" ref="O11:O18" si="1">SUM(C11:N11)</f>
        <v>117600</v>
      </c>
      <c r="R11" s="128"/>
      <c r="S11" s="128"/>
      <c r="T11" s="128"/>
    </row>
    <row r="12" spans="1:20" ht="24.95" customHeight="1" thickBot="1" x14ac:dyDescent="0.35">
      <c r="A12" s="33"/>
      <c r="B12" s="79" t="s">
        <v>16</v>
      </c>
      <c r="C12" s="96"/>
      <c r="D12" s="97">
        <v>400</v>
      </c>
      <c r="E12" s="97">
        <v>400</v>
      </c>
      <c r="F12" s="97">
        <v>100</v>
      </c>
      <c r="G12" s="97">
        <v>100</v>
      </c>
      <c r="H12" s="97">
        <v>100</v>
      </c>
      <c r="I12" s="97">
        <v>100</v>
      </c>
      <c r="J12" s="97">
        <v>100</v>
      </c>
      <c r="K12" s="97">
        <v>100</v>
      </c>
      <c r="L12" s="97">
        <v>100</v>
      </c>
      <c r="M12" s="97">
        <v>400</v>
      </c>
      <c r="N12" s="97">
        <v>400</v>
      </c>
      <c r="O12" s="98">
        <f t="shared" si="1"/>
        <v>2300</v>
      </c>
      <c r="R12" s="128"/>
      <c r="S12" s="128"/>
      <c r="T12" s="128"/>
    </row>
    <row r="13" spans="1:20" ht="24.95" customHeight="1" thickBot="1" x14ac:dyDescent="0.35">
      <c r="A13" s="33"/>
      <c r="B13" s="79" t="s">
        <v>17</v>
      </c>
      <c r="C13" s="96">
        <v>300</v>
      </c>
      <c r="D13" s="97">
        <v>300</v>
      </c>
      <c r="E13" s="97">
        <v>300</v>
      </c>
      <c r="F13" s="97">
        <v>300</v>
      </c>
      <c r="G13" s="97">
        <v>300</v>
      </c>
      <c r="H13" s="97">
        <v>300</v>
      </c>
      <c r="I13" s="97">
        <v>300</v>
      </c>
      <c r="J13" s="97">
        <v>300</v>
      </c>
      <c r="K13" s="97">
        <v>300</v>
      </c>
      <c r="L13" s="97">
        <v>300</v>
      </c>
      <c r="M13" s="97">
        <v>300</v>
      </c>
      <c r="N13" s="97">
        <v>300</v>
      </c>
      <c r="O13" s="98">
        <f t="shared" si="1"/>
        <v>3600</v>
      </c>
      <c r="R13" s="128"/>
      <c r="S13" s="128"/>
      <c r="T13" s="128"/>
    </row>
    <row r="14" spans="1:20" ht="24.95" customHeight="1" thickBot="1" x14ac:dyDescent="0.35">
      <c r="A14" s="33"/>
      <c r="B14" s="79" t="s">
        <v>18</v>
      </c>
      <c r="C14" s="96">
        <v>40</v>
      </c>
      <c r="D14" s="97">
        <v>40</v>
      </c>
      <c r="E14" s="97">
        <v>40</v>
      </c>
      <c r="F14" s="97">
        <v>40</v>
      </c>
      <c r="G14" s="97">
        <v>40</v>
      </c>
      <c r="H14" s="97">
        <v>40</v>
      </c>
      <c r="I14" s="97">
        <v>40</v>
      </c>
      <c r="J14" s="97">
        <v>40</v>
      </c>
      <c r="K14" s="97">
        <v>40</v>
      </c>
      <c r="L14" s="97">
        <v>40</v>
      </c>
      <c r="M14" s="97">
        <v>40</v>
      </c>
      <c r="N14" s="97">
        <v>40</v>
      </c>
      <c r="O14" s="98">
        <f t="shared" si="1"/>
        <v>480</v>
      </c>
    </row>
    <row r="15" spans="1:20" ht="24.95" customHeight="1" thickBot="1" x14ac:dyDescent="0.35">
      <c r="A15" s="33"/>
      <c r="B15" s="79" t="s">
        <v>19</v>
      </c>
      <c r="C15" s="96">
        <v>250</v>
      </c>
      <c r="D15" s="97">
        <v>250</v>
      </c>
      <c r="E15" s="97">
        <v>250</v>
      </c>
      <c r="F15" s="97">
        <v>250</v>
      </c>
      <c r="G15" s="97">
        <v>250</v>
      </c>
      <c r="H15" s="97">
        <v>250</v>
      </c>
      <c r="I15" s="97">
        <v>250</v>
      </c>
      <c r="J15" s="97">
        <v>250</v>
      </c>
      <c r="K15" s="97">
        <v>250</v>
      </c>
      <c r="L15" s="97">
        <v>250</v>
      </c>
      <c r="M15" s="97">
        <v>250</v>
      </c>
      <c r="N15" s="97">
        <v>250</v>
      </c>
      <c r="O15" s="98">
        <f t="shared" si="1"/>
        <v>3000</v>
      </c>
    </row>
    <row r="16" spans="1:20" ht="24.95" customHeight="1" thickBot="1" x14ac:dyDescent="0.35">
      <c r="A16" s="33"/>
      <c r="B16" s="79" t="s">
        <v>20</v>
      </c>
      <c r="C16" s="96">
        <v>180</v>
      </c>
      <c r="D16" s="97">
        <v>180</v>
      </c>
      <c r="E16" s="97">
        <v>180</v>
      </c>
      <c r="F16" s="97">
        <v>180</v>
      </c>
      <c r="G16" s="97">
        <v>180</v>
      </c>
      <c r="H16" s="97">
        <v>180</v>
      </c>
      <c r="I16" s="97">
        <v>180</v>
      </c>
      <c r="J16" s="97">
        <v>180</v>
      </c>
      <c r="K16" s="97">
        <v>180</v>
      </c>
      <c r="L16" s="97">
        <v>180</v>
      </c>
      <c r="M16" s="97">
        <v>180</v>
      </c>
      <c r="N16" s="97">
        <v>180</v>
      </c>
      <c r="O16" s="98">
        <f t="shared" si="1"/>
        <v>2160</v>
      </c>
    </row>
    <row r="17" spans="1:15" ht="24.95" customHeight="1" thickBot="1" x14ac:dyDescent="0.35">
      <c r="A17" s="33"/>
      <c r="B17" s="79" t="s">
        <v>21</v>
      </c>
      <c r="C17" s="96">
        <v>200</v>
      </c>
      <c r="D17" s="97">
        <v>200</v>
      </c>
      <c r="E17" s="97">
        <v>200</v>
      </c>
      <c r="F17" s="97">
        <v>200</v>
      </c>
      <c r="G17" s="97">
        <v>200</v>
      </c>
      <c r="H17" s="97">
        <v>200</v>
      </c>
      <c r="I17" s="97">
        <v>200</v>
      </c>
      <c r="J17" s="97">
        <v>200</v>
      </c>
      <c r="K17" s="97">
        <v>200</v>
      </c>
      <c r="L17" s="97">
        <v>200</v>
      </c>
      <c r="M17" s="97">
        <v>200</v>
      </c>
      <c r="N17" s="97">
        <v>200</v>
      </c>
      <c r="O17" s="98">
        <f t="shared" si="1"/>
        <v>2400</v>
      </c>
    </row>
    <row r="18" spans="1:15" ht="24.95" customHeight="1" thickBot="1" x14ac:dyDescent="0.35">
      <c r="A18" s="33"/>
      <c r="B18" s="79" t="s">
        <v>22</v>
      </c>
      <c r="C18" s="96">
        <v>600</v>
      </c>
      <c r="D18" s="97">
        <v>600</v>
      </c>
      <c r="E18" s="97">
        <v>600</v>
      </c>
      <c r="F18" s="97">
        <v>600</v>
      </c>
      <c r="G18" s="97">
        <v>600</v>
      </c>
      <c r="H18" s="97">
        <v>600</v>
      </c>
      <c r="I18" s="97">
        <v>600</v>
      </c>
      <c r="J18" s="97">
        <v>600</v>
      </c>
      <c r="K18" s="97">
        <v>600</v>
      </c>
      <c r="L18" s="97">
        <v>600</v>
      </c>
      <c r="M18" s="97">
        <v>600</v>
      </c>
      <c r="N18" s="97">
        <v>600</v>
      </c>
      <c r="O18" s="98">
        <f t="shared" si="1"/>
        <v>7200</v>
      </c>
    </row>
    <row r="19" spans="1:15" ht="24.95" customHeight="1" thickBot="1" x14ac:dyDescent="0.35">
      <c r="A19" s="33"/>
      <c r="B19" s="62" t="s">
        <v>13</v>
      </c>
      <c r="C19" s="102">
        <f>SUBTOTAL(109,ПланираниЗаОфис[Янр])</f>
        <v>11370</v>
      </c>
      <c r="D19" s="103">
        <f>SUBTOTAL(109,ПланираниЗаОфис[Фев])</f>
        <v>11770</v>
      </c>
      <c r="E19" s="103">
        <f>SUBTOTAL(109,ПланираниЗаОфис[Мар])</f>
        <v>11770</v>
      </c>
      <c r="F19" s="103">
        <f>SUBTOTAL(109,ПланираниЗаОфис[Апр])</f>
        <v>11470</v>
      </c>
      <c r="G19" s="103">
        <f>SUBTOTAL(109,ПланираниЗаОфис[Май])</f>
        <v>11470</v>
      </c>
      <c r="H19" s="103">
        <f>SUBTOTAL(109,ПланираниЗаОфис[Юни])</f>
        <v>11470</v>
      </c>
      <c r="I19" s="103">
        <f>SUBTOTAL(109,ПланираниЗаОфис[Юли])</f>
        <v>11470</v>
      </c>
      <c r="J19" s="103">
        <f>SUBTOTAL(109,ПланираниЗаОфис[Авг])</f>
        <v>11470</v>
      </c>
      <c r="K19" s="103">
        <f>SUBTOTAL(109,ПланираниЗаОфис[Сеп])</f>
        <v>11470</v>
      </c>
      <c r="L19" s="103">
        <f>SUBTOTAL(109,ПланираниЗаОфис[Окт])</f>
        <v>11470</v>
      </c>
      <c r="M19" s="103">
        <f>SUBTOTAL(109,ПланираниЗаОфис[Ное])</f>
        <v>11770</v>
      </c>
      <c r="N19" s="103">
        <f>SUBTOTAL(109,ПланираниЗаОфис[Дек])</f>
        <v>11770</v>
      </c>
      <c r="O19" s="104">
        <f>SUBTOTAL(109,ПланираниЗаОфис[ГОДИНА])</f>
        <v>138740</v>
      </c>
    </row>
    <row r="20" spans="1:15" ht="21" customHeight="1" x14ac:dyDescent="0.3">
      <c r="A20" s="33"/>
      <c r="B20" s="84"/>
      <c r="C20" s="84"/>
      <c r="D20" s="3"/>
      <c r="E20" s="3"/>
      <c r="F20" s="5"/>
      <c r="G20" s="5"/>
      <c r="H20" s="5"/>
      <c r="I20" s="5"/>
      <c r="J20" s="5"/>
      <c r="K20" s="5"/>
      <c r="L20" s="5"/>
      <c r="M20" s="5"/>
      <c r="N20" s="5"/>
      <c r="O20" s="4"/>
    </row>
    <row r="21" spans="1:15" ht="24.95" customHeight="1" thickBot="1" x14ac:dyDescent="0.35">
      <c r="A21" s="33"/>
      <c r="B21" s="57" t="s">
        <v>23</v>
      </c>
      <c r="C21" s="50" t="s">
        <v>37</v>
      </c>
      <c r="D21" s="50" t="s">
        <v>39</v>
      </c>
      <c r="E21" s="93" t="s">
        <v>41</v>
      </c>
      <c r="F21" s="50" t="s">
        <v>43</v>
      </c>
      <c r="G21" s="50" t="s">
        <v>45</v>
      </c>
      <c r="H21" s="50" t="s">
        <v>47</v>
      </c>
      <c r="I21" s="50" t="s">
        <v>49</v>
      </c>
      <c r="J21" s="50" t="s">
        <v>51</v>
      </c>
      <c r="K21" s="50" t="s">
        <v>55</v>
      </c>
      <c r="L21" s="50" t="s">
        <v>57</v>
      </c>
      <c r="M21" s="50" t="s">
        <v>59</v>
      </c>
      <c r="N21" s="50" t="s">
        <v>61</v>
      </c>
      <c r="O21" s="51" t="s">
        <v>62</v>
      </c>
    </row>
    <row r="22" spans="1:15" ht="24.95" customHeight="1" thickBot="1" x14ac:dyDescent="0.35">
      <c r="A22" s="33"/>
      <c r="B22" s="46" t="s">
        <v>24</v>
      </c>
      <c r="C22" s="105">
        <v>500</v>
      </c>
      <c r="D22" s="106">
        <v>500</v>
      </c>
      <c r="E22" s="106">
        <v>500</v>
      </c>
      <c r="F22" s="106">
        <v>500</v>
      </c>
      <c r="G22" s="106">
        <v>500</v>
      </c>
      <c r="H22" s="106">
        <v>500</v>
      </c>
      <c r="I22" s="106">
        <v>500</v>
      </c>
      <c r="J22" s="106">
        <v>500</v>
      </c>
      <c r="K22" s="106">
        <v>500</v>
      </c>
      <c r="L22" s="106">
        <v>500</v>
      </c>
      <c r="M22" s="106">
        <v>500</v>
      </c>
      <c r="N22" s="106">
        <v>500</v>
      </c>
      <c r="O22" s="98">
        <f t="shared" ref="O22:O27" si="2">SUM(C22:N22)</f>
        <v>6000</v>
      </c>
    </row>
    <row r="23" spans="1:15" ht="24.95" customHeight="1" thickBot="1" x14ac:dyDescent="0.35">
      <c r="A23" s="33"/>
      <c r="B23" s="46" t="s">
        <v>25</v>
      </c>
      <c r="C23" s="105">
        <v>200</v>
      </c>
      <c r="D23" s="106">
        <v>200</v>
      </c>
      <c r="E23" s="106">
        <v>200</v>
      </c>
      <c r="F23" s="106">
        <v>200</v>
      </c>
      <c r="G23" s="106">
        <v>200</v>
      </c>
      <c r="H23" s="106">
        <v>1000</v>
      </c>
      <c r="I23" s="106">
        <v>200</v>
      </c>
      <c r="J23" s="106">
        <v>200</v>
      </c>
      <c r="K23" s="106">
        <v>200</v>
      </c>
      <c r="L23" s="106">
        <v>200</v>
      </c>
      <c r="M23" s="106">
        <v>200</v>
      </c>
      <c r="N23" s="106">
        <v>1000</v>
      </c>
      <c r="O23" s="98">
        <f t="shared" si="2"/>
        <v>4000</v>
      </c>
    </row>
    <row r="24" spans="1:15" ht="24.95" customHeight="1" thickBot="1" x14ac:dyDescent="0.35">
      <c r="A24" s="33"/>
      <c r="B24" s="46" t="s">
        <v>26</v>
      </c>
      <c r="C24" s="105">
        <v>5000</v>
      </c>
      <c r="D24" s="106">
        <v>0</v>
      </c>
      <c r="E24" s="106">
        <v>0</v>
      </c>
      <c r="F24" s="106">
        <v>5000</v>
      </c>
      <c r="G24" s="106">
        <v>0</v>
      </c>
      <c r="H24" s="106">
        <v>0</v>
      </c>
      <c r="I24" s="106">
        <v>5000</v>
      </c>
      <c r="J24" s="106">
        <v>0</v>
      </c>
      <c r="K24" s="106">
        <v>0</v>
      </c>
      <c r="L24" s="106">
        <v>5000</v>
      </c>
      <c r="M24" s="106">
        <v>0</v>
      </c>
      <c r="N24" s="106">
        <v>0</v>
      </c>
      <c r="O24" s="98">
        <f t="shared" si="2"/>
        <v>20000</v>
      </c>
    </row>
    <row r="25" spans="1:15" ht="24.95" customHeight="1" thickBot="1" x14ac:dyDescent="0.35">
      <c r="A25" s="33"/>
      <c r="B25" s="46" t="s">
        <v>27</v>
      </c>
      <c r="C25" s="105">
        <v>200</v>
      </c>
      <c r="D25" s="106">
        <v>200</v>
      </c>
      <c r="E25" s="106">
        <v>200</v>
      </c>
      <c r="F25" s="106">
        <v>200</v>
      </c>
      <c r="G25" s="106">
        <v>200</v>
      </c>
      <c r="H25" s="106">
        <v>200</v>
      </c>
      <c r="I25" s="106">
        <v>200</v>
      </c>
      <c r="J25" s="106">
        <v>200</v>
      </c>
      <c r="K25" s="106">
        <v>200</v>
      </c>
      <c r="L25" s="106">
        <v>200</v>
      </c>
      <c r="M25" s="106">
        <v>200</v>
      </c>
      <c r="N25" s="106">
        <v>200</v>
      </c>
      <c r="O25" s="98">
        <f t="shared" si="2"/>
        <v>2400</v>
      </c>
    </row>
    <row r="26" spans="1:15" ht="24.95" customHeight="1" thickBot="1" x14ac:dyDescent="0.35">
      <c r="A26" s="33"/>
      <c r="B26" s="46" t="s">
        <v>28</v>
      </c>
      <c r="C26" s="105">
        <v>2000</v>
      </c>
      <c r="D26" s="106">
        <v>2000</v>
      </c>
      <c r="E26" s="106">
        <v>2000</v>
      </c>
      <c r="F26" s="106">
        <v>5000</v>
      </c>
      <c r="G26" s="106">
        <v>2000</v>
      </c>
      <c r="H26" s="106">
        <v>2000</v>
      </c>
      <c r="I26" s="106">
        <v>2000</v>
      </c>
      <c r="J26" s="106">
        <v>5000</v>
      </c>
      <c r="K26" s="106">
        <v>2000</v>
      </c>
      <c r="L26" s="106">
        <v>2000</v>
      </c>
      <c r="M26" s="106">
        <v>2000</v>
      </c>
      <c r="N26" s="106">
        <v>5000</v>
      </c>
      <c r="O26" s="98">
        <f t="shared" si="2"/>
        <v>33000</v>
      </c>
    </row>
    <row r="27" spans="1:15" ht="24.95" customHeight="1" thickBot="1" x14ac:dyDescent="0.35">
      <c r="A27" s="33"/>
      <c r="B27" s="46" t="s">
        <v>29</v>
      </c>
      <c r="C27" s="105">
        <v>200</v>
      </c>
      <c r="D27" s="106">
        <v>200</v>
      </c>
      <c r="E27" s="106">
        <v>200</v>
      </c>
      <c r="F27" s="106">
        <v>200</v>
      </c>
      <c r="G27" s="106">
        <v>200</v>
      </c>
      <c r="H27" s="106">
        <v>200</v>
      </c>
      <c r="I27" s="106">
        <v>200</v>
      </c>
      <c r="J27" s="106">
        <v>200</v>
      </c>
      <c r="K27" s="106">
        <v>200</v>
      </c>
      <c r="L27" s="106">
        <v>200</v>
      </c>
      <c r="M27" s="106">
        <v>200</v>
      </c>
      <c r="N27" s="106">
        <v>200</v>
      </c>
      <c r="O27" s="98">
        <f t="shared" si="2"/>
        <v>2400</v>
      </c>
    </row>
    <row r="28" spans="1:15" ht="24.95" customHeight="1" x14ac:dyDescent="0.3">
      <c r="A28" s="33"/>
      <c r="B28" s="48" t="s">
        <v>13</v>
      </c>
      <c r="C28" s="99">
        <f>SUBTOTAL(109,ПланираниЗаМаркетинг[Янр])</f>
        <v>8100</v>
      </c>
      <c r="D28" s="100">
        <f>SUBTOTAL(109,ПланираниЗаМаркетинг[Фев])</f>
        <v>3100</v>
      </c>
      <c r="E28" s="100">
        <f>SUBTOTAL(109,ПланираниЗаМаркетинг[Мар])</f>
        <v>3100</v>
      </c>
      <c r="F28" s="100">
        <f>SUBTOTAL(109,ПланираниЗаМаркетинг[Апр])</f>
        <v>11100</v>
      </c>
      <c r="G28" s="100">
        <f>SUBTOTAL(109,ПланираниЗаМаркетинг[Май])</f>
        <v>3100</v>
      </c>
      <c r="H28" s="100">
        <f>SUBTOTAL(109,ПланираниЗаМаркетинг[Юни])</f>
        <v>3900</v>
      </c>
      <c r="I28" s="100">
        <f>SUBTOTAL(109,ПланираниЗаМаркетинг[Юли])</f>
        <v>8100</v>
      </c>
      <c r="J28" s="100">
        <f>SUBTOTAL(109,ПланираниЗаМаркетинг[Авг])</f>
        <v>6100</v>
      </c>
      <c r="K28" s="100">
        <f>SUBTOTAL(109,ПланираниЗаМаркетинг[Сеп])</f>
        <v>3100</v>
      </c>
      <c r="L28" s="100">
        <f>SUBTOTAL(109,ПланираниЗаМаркетинг[Окт])</f>
        <v>8100</v>
      </c>
      <c r="M28" s="100">
        <f>SUBTOTAL(109,ПланираниЗаМаркетинг[Ное])</f>
        <v>3100</v>
      </c>
      <c r="N28" s="100">
        <f>SUBTOTAL(109,ПланираниЗаМаркетинг[Дек])</f>
        <v>6900</v>
      </c>
      <c r="O28" s="101">
        <f>SUBTOTAL(109,ПланираниЗаМаркетинг[ГОДИНА])</f>
        <v>67800</v>
      </c>
    </row>
    <row r="29" spans="1:15" ht="21" customHeight="1" x14ac:dyDescent="0.3">
      <c r="A29" s="33"/>
      <c r="B29" s="83"/>
      <c r="C29" s="8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</row>
    <row r="30" spans="1:15" ht="21" customHeight="1" thickBot="1" x14ac:dyDescent="0.35">
      <c r="A30" s="33"/>
      <c r="B30" s="58" t="s">
        <v>30</v>
      </c>
      <c r="C30" s="50" t="s">
        <v>37</v>
      </c>
      <c r="D30" s="50" t="s">
        <v>39</v>
      </c>
      <c r="E30" s="93" t="s">
        <v>41</v>
      </c>
      <c r="F30" s="50" t="s">
        <v>43</v>
      </c>
      <c r="G30" s="50" t="s">
        <v>45</v>
      </c>
      <c r="H30" s="50" t="s">
        <v>47</v>
      </c>
      <c r="I30" s="50" t="s">
        <v>49</v>
      </c>
      <c r="J30" s="50" t="s">
        <v>51</v>
      </c>
      <c r="K30" s="50" t="s">
        <v>55</v>
      </c>
      <c r="L30" s="50" t="s">
        <v>57</v>
      </c>
      <c r="M30" s="50" t="s">
        <v>59</v>
      </c>
      <c r="N30" s="50" t="s">
        <v>61</v>
      </c>
      <c r="O30" s="51" t="s">
        <v>62</v>
      </c>
    </row>
    <row r="31" spans="1:15" ht="21" customHeight="1" thickBot="1" x14ac:dyDescent="0.35">
      <c r="A31" s="33"/>
      <c r="B31" s="46" t="s">
        <v>31</v>
      </c>
      <c r="C31" s="105">
        <v>2000</v>
      </c>
      <c r="D31" s="106">
        <v>2000</v>
      </c>
      <c r="E31" s="106">
        <v>2000</v>
      </c>
      <c r="F31" s="106">
        <v>2000</v>
      </c>
      <c r="G31" s="106">
        <v>2000</v>
      </c>
      <c r="H31" s="106">
        <v>2000</v>
      </c>
      <c r="I31" s="106">
        <v>2000</v>
      </c>
      <c r="J31" s="106">
        <v>2000</v>
      </c>
      <c r="K31" s="106">
        <v>2000</v>
      </c>
      <c r="L31" s="106">
        <v>2000</v>
      </c>
      <c r="M31" s="106">
        <v>2000</v>
      </c>
      <c r="N31" s="106">
        <v>2000</v>
      </c>
      <c r="O31" s="107">
        <f>SUM(C31:N31)</f>
        <v>24000</v>
      </c>
    </row>
    <row r="32" spans="1:15" ht="21" customHeight="1" thickBot="1" x14ac:dyDescent="0.35">
      <c r="A32" s="33"/>
      <c r="B32" s="46" t="s">
        <v>32</v>
      </c>
      <c r="C32" s="105">
        <v>2000</v>
      </c>
      <c r="D32" s="106">
        <v>2000</v>
      </c>
      <c r="E32" s="106">
        <v>2000</v>
      </c>
      <c r="F32" s="106">
        <v>2000</v>
      </c>
      <c r="G32" s="106">
        <v>2000</v>
      </c>
      <c r="H32" s="106">
        <v>2000</v>
      </c>
      <c r="I32" s="106">
        <v>2000</v>
      </c>
      <c r="J32" s="106">
        <v>2000</v>
      </c>
      <c r="K32" s="106">
        <v>2000</v>
      </c>
      <c r="L32" s="106">
        <v>2000</v>
      </c>
      <c r="M32" s="106">
        <v>2000</v>
      </c>
      <c r="N32" s="106">
        <v>2000</v>
      </c>
      <c r="O32" s="107">
        <f>SUM(C32:N32)</f>
        <v>24000</v>
      </c>
    </row>
    <row r="33" spans="1:15" ht="21" customHeight="1" x14ac:dyDescent="0.3">
      <c r="A33" s="33"/>
      <c r="B33" s="48" t="s">
        <v>13</v>
      </c>
      <c r="C33" s="108">
        <f>SUBTOTAL(109,ПланираниЗаОбученияИПътувания[Янр])</f>
        <v>4000</v>
      </c>
      <c r="D33" s="109">
        <f>SUBTOTAL(109,ПланираниЗаОбученияИПътувания[Фев])</f>
        <v>4000</v>
      </c>
      <c r="E33" s="109">
        <f>SUBTOTAL(109,ПланираниЗаОбученияИПътувания[Мар])</f>
        <v>4000</v>
      </c>
      <c r="F33" s="109">
        <f>SUBTOTAL(109,ПланираниЗаОбученияИПътувания[Апр])</f>
        <v>4000</v>
      </c>
      <c r="G33" s="109">
        <f>SUBTOTAL(109,ПланираниЗаОбученияИПътувания[Май])</f>
        <v>4000</v>
      </c>
      <c r="H33" s="109">
        <f>SUBTOTAL(109,ПланираниЗаОбученияИПътувания[Юни])</f>
        <v>4000</v>
      </c>
      <c r="I33" s="109">
        <f>SUBTOTAL(109,ПланираниЗаОбученияИПътувания[Юли])</f>
        <v>4000</v>
      </c>
      <c r="J33" s="109">
        <f>SUBTOTAL(109,ПланираниЗаОбученияИПътувания[Авг])</f>
        <v>4000</v>
      </c>
      <c r="K33" s="109">
        <f>SUBTOTAL(109,ПланираниЗаОбученияИПътувания[Сеп])</f>
        <v>4000</v>
      </c>
      <c r="L33" s="109">
        <f>SUBTOTAL(109,ПланираниЗаОбученияИПътувания[Окт])</f>
        <v>4000</v>
      </c>
      <c r="M33" s="109">
        <f>SUBTOTAL(109,ПланираниЗаОбученияИПътувания[Ное])</f>
        <v>4000</v>
      </c>
      <c r="N33" s="109">
        <f>SUBTOTAL(109,ПланираниЗаОбученияИПътувания[Дек])</f>
        <v>4000</v>
      </c>
      <c r="O33" s="110">
        <f>SUBTOTAL(109,ПланираниЗаОбученияИПътувания[ГОДИНА])</f>
        <v>48000</v>
      </c>
    </row>
    <row r="34" spans="1:15" ht="21" customHeight="1" x14ac:dyDescent="0.3">
      <c r="A34" s="33"/>
      <c r="B34" s="83"/>
      <c r="C34" s="8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4.95" customHeight="1" thickBot="1" x14ac:dyDescent="0.35">
      <c r="A35" s="33"/>
      <c r="B35" s="24" t="s">
        <v>33</v>
      </c>
      <c r="C35" s="26" t="s">
        <v>37</v>
      </c>
      <c r="D35" s="26" t="s">
        <v>39</v>
      </c>
      <c r="E35" s="26" t="s">
        <v>41</v>
      </c>
      <c r="F35" s="26" t="s">
        <v>43</v>
      </c>
      <c r="G35" s="26" t="s">
        <v>45</v>
      </c>
      <c r="H35" s="26" t="s">
        <v>47</v>
      </c>
      <c r="I35" s="26" t="s">
        <v>49</v>
      </c>
      <c r="J35" s="26" t="s">
        <v>51</v>
      </c>
      <c r="K35" s="26" t="s">
        <v>55</v>
      </c>
      <c r="L35" s="26" t="s">
        <v>57</v>
      </c>
      <c r="M35" s="26" t="s">
        <v>59</v>
      </c>
      <c r="N35" s="26" t="s">
        <v>61</v>
      </c>
      <c r="O35" s="26" t="s">
        <v>63</v>
      </c>
    </row>
    <row r="36" spans="1:15" ht="24.95" customHeight="1" thickBot="1" x14ac:dyDescent="0.35">
      <c r="A36" s="33"/>
      <c r="B36" s="25" t="s">
        <v>34</v>
      </c>
      <c r="C36" s="111">
        <f>ПланираниЗаОбученияИПътувания[[#Totals],[Янр]]+ПланираниЗаМаркетинг[[#Totals],[Янр]]+ПланираниЗаОфис[[#Totals],[Янр]]+ПланираниЗаСлужители[[#Totals],[Янр]]</f>
        <v>131420</v>
      </c>
      <c r="D36" s="111">
        <f>ПланираниЗаОбученияИПътувания[[#Totals],[Фев]]+ПланираниЗаМаркетинг[[#Totals],[Фев]]+ПланираниЗаОфис[[#Totals],[Фев]]+ПланираниЗаСлужители[[#Totals],[Фев]]</f>
        <v>126820</v>
      </c>
      <c r="E36" s="111">
        <f>ПланираниЗаОбученияИПътувания[[#Totals],[Мар]]+ПланираниЗаМаркетинг[[#Totals],[Мар]]+ПланираниЗаОфис[[#Totals],[Мар]]+ПланираниЗаСлужители[[#Totals],[Мар]]</f>
        <v>126820</v>
      </c>
      <c r="F36" s="111">
        <f>ПланираниЗаОбученияИПътувания[[#Totals],[Апр]]+ПланираниЗаМаркетинг[[#Totals],[Апр]]+ПланираниЗаОфис[[#Totals],[Апр]]+ПланираниЗаСлужители[[#Totals],[Апр]]</f>
        <v>137695</v>
      </c>
      <c r="G36" s="111">
        <f>ПланираниЗаОбученияИПътувания[[#Totals],[Май]]+ПланираниЗаМаркетинг[[#Totals],[Май]]+ПланираниЗаОфис[[#Totals],[Май]]+ПланираниЗаСлужители[[#Totals],[Май]]</f>
        <v>129695</v>
      </c>
      <c r="H36" s="111">
        <f>ПланираниЗаОбученияИПътувания[[#Totals],[Юни]]+ПланираниЗаМаркетинг[[#Totals],[Юни]]+ПланираниЗаОфис[[#Totals],[Юни]]+ПланираниЗаСлужители[[#Totals],[Юни]]</f>
        <v>130495</v>
      </c>
      <c r="I36" s="112">
        <f>ПланираниЗаОбученияИПътувания[[#Totals],[Юли]]+ПланираниЗаМаркетинг[[#Totals],[Юли]]+ПланираниЗаОфис[[#Totals],[Юли]]+ПланираниЗаСлужители[[#Totals],[Юли]]</f>
        <v>134695</v>
      </c>
      <c r="J36" s="111">
        <f>ПланираниЗаОбученияИПътувания[[#Totals],[Авг]]+ПланираниЗаМаркетинг[[#Totals],[Авг]]+ПланираниЗаОфис[[#Totals],[Авг]]+ПланираниЗаСлужители[[#Totals],[Авг]]</f>
        <v>138918</v>
      </c>
      <c r="K36" s="111">
        <f>ПланираниЗаОбученияИПътувания[[#Totals],[Сеп]]+ПланираниЗаМаркетинг[[#Totals],[Сеп]]+ПланираниЗаОфис[[#Totals],[Сеп]]+ПланираниЗаСлужители[[#Totals],[Сеп]]</f>
        <v>135918</v>
      </c>
      <c r="L36" s="111">
        <f>ПланираниЗаОбученияИПътувания[[#Totals],[Окт]]+ПланираниЗаМаркетинг[[#Totals],[Окт]]+ПланираниЗаОфис[[#Totals],[Окт]]+ПланираниЗаСлужители[[#Totals],[Окт]]</f>
        <v>140918</v>
      </c>
      <c r="M36" s="111">
        <f>ПланираниЗаОбученияИПътувания[[#Totals],[Ное]]+ПланираниЗаМаркетинг[[#Totals],[Ное]]+ПланираниЗаОфис[[#Totals],[Ное]]+ПланираниЗаСлужители[[#Totals],[Ное]]</f>
        <v>136218</v>
      </c>
      <c r="N36" s="111">
        <f>ПланираниЗаОбученияИПътувания[[#Totals],[Дек]]+ПланираниЗаМаркетинг[[#Totals],[Дек]]+ПланираниЗаОфис[[#Totals],[Дек]]+ПланираниЗаСлужители[[#Totals],[Дек]]</f>
        <v>140018</v>
      </c>
      <c r="O36" s="111">
        <f>ПланираниЗаОбученияИПътувания[[#Totals],[ГОДИНА]]+ПланираниЗаМаркетинг[[#Totals],[ГОДИНА]]+ПланираниЗаОфис[[#Totals],[ГОДИНА]]+ПланираниЗаСлужители[[#Totals],[ГОДИНА]]</f>
        <v>1609630</v>
      </c>
    </row>
    <row r="37" spans="1:15" ht="24.95" customHeight="1" x14ac:dyDescent="0.3">
      <c r="A37" s="33"/>
      <c r="B37" s="25" t="s">
        <v>35</v>
      </c>
      <c r="C37" s="111">
        <f>SUM($C$36:C36)</f>
        <v>131420</v>
      </c>
      <c r="D37" s="111">
        <f>SUM($C$36:D36)</f>
        <v>258240</v>
      </c>
      <c r="E37" s="111">
        <f>SUM($C$36:E36)</f>
        <v>385060</v>
      </c>
      <c r="F37" s="111">
        <f>SUM($C$36:F36)</f>
        <v>522755</v>
      </c>
      <c r="G37" s="111">
        <f>SUM($C$36:G36)</f>
        <v>652450</v>
      </c>
      <c r="H37" s="111">
        <f>SUM($C$36:H36)</f>
        <v>782945</v>
      </c>
      <c r="I37" s="111">
        <f>SUM($C$36:I36)</f>
        <v>917640</v>
      </c>
      <c r="J37" s="111">
        <f>SUM($C$36:J36)</f>
        <v>1056558</v>
      </c>
      <c r="K37" s="111">
        <f>SUM($C$36:K36)</f>
        <v>1192476</v>
      </c>
      <c r="L37" s="111">
        <f>SUM($C$36:L36)</f>
        <v>1333394</v>
      </c>
      <c r="M37" s="111">
        <f>SUM($C$36:M36)</f>
        <v>1469612</v>
      </c>
      <c r="N37" s="111">
        <f>SUM($C$36:N36)</f>
        <v>1609630</v>
      </c>
      <c r="O37" s="111"/>
    </row>
    <row r="38" spans="1:15" ht="21" customHeight="1" x14ac:dyDescent="0.3">
      <c r="A38" s="33"/>
    </row>
  </sheetData>
  <mergeCells count="3">
    <mergeCell ref="R4:T13"/>
    <mergeCell ref="K2:M2"/>
    <mergeCell ref="K3:M3"/>
  </mergeCells>
  <dataValidations count="9">
    <dataValidation allowBlank="1" showInputMessage="1" showErrorMessage="1" prompt="Контейнерът за емблемата е в тази клетка." sqref="N2" xr:uid="{945E4055-1BEA-4F2B-AF1A-B15640887A38}"/>
    <dataValidation allowBlank="1" showInputMessage="1" showErrorMessage="1" prompt="Етикетът &quot;Планирани разходи&quot; е в клетката отдясно, месеците – в клетки от C4 до N4, етикетът &quot;Година&quot; – в О4, а инструкциите как да използвате този шаблон – в клетка R4." sqref="A4" xr:uid="{FC1A50C5-6C61-4FA0-BFBA-2CC82DE4DC0B}"/>
    <dataValidation allowBlank="1" showInputMessage="1" showErrorMessage="1" prompt="Въведете &quot;Разходи за служители&quot; в таблицата &quot;План за служители&quot;, започвайки от клетка вдясно. Следващата инструкция е в клетка A10." sqref="A5" xr:uid="{EED19FC0-ADDC-4580-BE69-2FEDE2EE49A6}"/>
    <dataValidation allowBlank="1" showInputMessage="1" showErrorMessage="1" prompt="Въведете &quot;Разходи за офис&quot; в таблицата &quot;Планирани за офис&quot;, започвайки от клетка вдясно. Следващата инструкция е в клетка A21." sqref="A10" xr:uid="{8C5477C2-13FC-4F55-AAB3-60246BBB7A64}"/>
    <dataValidation allowBlank="1" showInputMessage="1" showErrorMessage="1" prompt="Въведете &quot;Маркетингови разходи&quot; в таблицата &quot;Маркетингов план&quot;, започвайки от клетка вдясно. Следващата инструкция е в клетка A30." sqref="A21" xr:uid="{66411362-0BD5-4E49-BFA8-E0A0A55D07AD}"/>
    <dataValidation allowBlank="1" showInputMessage="1" showErrorMessage="1" prompt="Общите суми се изчисляват автоматично в таблицата &quot;Общо планирани&quot;, започваща от клетката вдясно." sqref="A30" xr:uid="{6B0B8404-700F-48B3-AD96-0ED1CE7011E9}"/>
    <dataValidation allowBlank="1" showInputMessage="1" showErrorMessage="1" prompt="Въведете &quot;Планирани разходи за служители&quot;, &quot;Разходи за офис&quot;, &quot;Маркетингови разходи&quot; и &quot;Обучение&quot; или &quot;Пътни разходи&quot; в съотв. табл. в този лист. Общ. суми се изч. автом. Инстр. как да използвате раб. лист са в кл. в тази колона. Стрелка надолу за нач." sqref="A1" xr:uid="{C6D84CBA-4A3E-4161-9004-1D9F785E5541}"/>
    <dataValidation allowBlank="1" showInputMessage="1" showErrorMessage="1" prompt="Въведете името на фирмата в клетката вдясно и емблемата в клетка N2. Заглавието на този работен лист е в клетка K2." sqref="A2" xr:uid="{B4473BB7-021E-4A63-A5F5-4234C1B5B724}"/>
    <dataValidation allowBlank="1" showInputMessage="1" showErrorMessage="1" prompt="Пояснението е в клетка K3." sqref="A3" xr:uid="{3ECF8058-2463-465E-ADF4-F540ECB4A91E}"/>
  </dataValidations>
  <pageMargins left="0.7" right="0.7" top="0.75" bottom="0.75" header="0.3" footer="0.3"/>
  <pageSetup paperSize="9" fitToHeight="0" orientation="portrait" r:id="rId1"/>
  <ignoredErrors>
    <ignoredError sqref="C6:N6 C36:O37" calculatedColumn="1"/>
    <ignoredError sqref="O12" emptyCellReference="1"/>
  </ignoredErrors>
  <drawing r:id="rId2"/>
  <tableParts count="5">
    <tablePart r:id="rId3"/>
    <tablePart r:id="rId4"/>
    <tablePart r:id="rId5"/>
    <tablePart r:id="rId6"/>
    <tablePart r:id="rId7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7"/>
    <pageSetUpPr autoPageBreaks="0"/>
  </sheetPr>
  <dimension ref="A1:P38"/>
  <sheetViews>
    <sheetView showGridLines="0" zoomScaleNormal="100" workbookViewId="0"/>
  </sheetViews>
  <sheetFormatPr defaultColWidth="9.140625" defaultRowHeight="21" customHeight="1" x14ac:dyDescent="0.3"/>
  <cols>
    <col min="1" max="1" width="4.7109375" style="1" customWidth="1"/>
    <col min="2" max="2" width="48.7109375" style="2" customWidth="1"/>
    <col min="3" max="15" width="16.7109375" style="2" customWidth="1"/>
    <col min="16" max="16" width="4.7109375" style="1" customWidth="1"/>
    <col min="17" max="16384" width="9.140625" style="2"/>
  </cols>
  <sheetData>
    <row r="1" spans="1:16" s="1" customFormat="1" ht="24" customHeight="1" x14ac:dyDescent="0.3">
      <c r="A1" s="34"/>
      <c r="B1" s="10"/>
      <c r="C1" s="10"/>
      <c r="D1" s="10"/>
      <c r="E1" s="10"/>
      <c r="F1" s="7"/>
      <c r="G1" s="7"/>
      <c r="H1" s="7"/>
      <c r="I1" s="7"/>
      <c r="J1" s="7"/>
      <c r="K1" s="7"/>
      <c r="L1" s="7"/>
      <c r="M1" s="7"/>
      <c r="N1" s="7"/>
      <c r="O1" s="7"/>
      <c r="P1" s="63" t="s">
        <v>64</v>
      </c>
    </row>
    <row r="2" spans="1:16" s="1" customFormat="1" ht="45" customHeight="1" x14ac:dyDescent="0.35">
      <c r="A2" s="32"/>
      <c r="B2" s="85" t="str">
        <f>'ПЛАНИРАНИ РАЗХОДИ'!B2:D3</f>
        <v>Име на фирма</v>
      </c>
      <c r="C2" s="85"/>
      <c r="D2" s="85"/>
      <c r="E2" s="88"/>
      <c r="F2" s="8"/>
      <c r="G2" s="8"/>
      <c r="H2" s="8"/>
      <c r="I2" s="8"/>
      <c r="J2" s="8"/>
      <c r="K2" s="129" t="str">
        <f>заглавие_работен_лист</f>
        <v>Подробни прогнози за разходите</v>
      </c>
      <c r="L2" s="129"/>
      <c r="M2" s="129"/>
      <c r="N2" s="82"/>
      <c r="O2" s="82"/>
      <c r="P2" s="7"/>
    </row>
    <row r="3" spans="1:16" s="1" customFormat="1" ht="30" customHeight="1" x14ac:dyDescent="0.3">
      <c r="A3" s="32"/>
      <c r="B3" s="85"/>
      <c r="C3" s="85"/>
      <c r="D3" s="85"/>
      <c r="E3" s="89"/>
      <c r="F3" s="9"/>
      <c r="G3" s="9"/>
      <c r="H3" s="9"/>
      <c r="I3" s="9"/>
      <c r="J3" s="9"/>
      <c r="K3" s="131" t="s">
        <v>53</v>
      </c>
      <c r="L3" s="131"/>
      <c r="M3" s="131"/>
      <c r="N3" s="82"/>
      <c r="O3" s="82"/>
      <c r="P3" s="7"/>
    </row>
    <row r="4" spans="1:16" s="11" customFormat="1" ht="49.5" customHeight="1" x14ac:dyDescent="0.3">
      <c r="A4" s="33"/>
      <c r="B4" s="22" t="s">
        <v>65</v>
      </c>
      <c r="C4" s="23" t="s">
        <v>36</v>
      </c>
      <c r="D4" s="23" t="s">
        <v>38</v>
      </c>
      <c r="E4" s="90" t="s">
        <v>40</v>
      </c>
      <c r="F4" s="23" t="s">
        <v>42</v>
      </c>
      <c r="G4" s="23" t="s">
        <v>44</v>
      </c>
      <c r="H4" s="23" t="s">
        <v>46</v>
      </c>
      <c r="I4" s="90" t="s">
        <v>48</v>
      </c>
      <c r="J4" s="23" t="s">
        <v>50</v>
      </c>
      <c r="K4" s="23" t="s">
        <v>54</v>
      </c>
      <c r="L4" s="23" t="s">
        <v>56</v>
      </c>
      <c r="M4" s="23" t="s">
        <v>58</v>
      </c>
      <c r="N4" s="90" t="s">
        <v>60</v>
      </c>
      <c r="O4" s="23" t="s">
        <v>62</v>
      </c>
    </row>
    <row r="5" spans="1:16" ht="24.95" customHeight="1" thickBot="1" x14ac:dyDescent="0.35">
      <c r="A5" s="33"/>
      <c r="B5" s="45" t="s">
        <v>10</v>
      </c>
      <c r="C5" s="66" t="s">
        <v>37</v>
      </c>
      <c r="D5" s="50" t="s">
        <v>39</v>
      </c>
      <c r="E5" s="93" t="s">
        <v>41</v>
      </c>
      <c r="F5" s="50" t="s">
        <v>43</v>
      </c>
      <c r="G5" s="50" t="s">
        <v>45</v>
      </c>
      <c r="H5" s="50" t="s">
        <v>47</v>
      </c>
      <c r="I5" s="50" t="s">
        <v>49</v>
      </c>
      <c r="J5" s="50" t="s">
        <v>51</v>
      </c>
      <c r="K5" s="50" t="s">
        <v>55</v>
      </c>
      <c r="L5" s="50" t="s">
        <v>57</v>
      </c>
      <c r="M5" s="50" t="s">
        <v>59</v>
      </c>
      <c r="N5" s="50" t="s">
        <v>61</v>
      </c>
      <c r="O5" s="51" t="s">
        <v>62</v>
      </c>
    </row>
    <row r="6" spans="1:16" ht="24.95" customHeight="1" thickBot="1" x14ac:dyDescent="0.35">
      <c r="A6" s="33"/>
      <c r="B6" s="46" t="s">
        <v>11</v>
      </c>
      <c r="C6" s="105">
        <v>85000</v>
      </c>
      <c r="D6" s="106">
        <v>85000</v>
      </c>
      <c r="E6" s="106">
        <v>85000</v>
      </c>
      <c r="F6" s="106">
        <v>88000</v>
      </c>
      <c r="G6" s="106">
        <v>88000</v>
      </c>
      <c r="H6" s="106">
        <v>88000</v>
      </c>
      <c r="I6" s="106"/>
      <c r="J6" s="106"/>
      <c r="K6" s="106"/>
      <c r="L6" s="106"/>
      <c r="M6" s="106"/>
      <c r="N6" s="106"/>
      <c r="O6" s="107">
        <f>SUM(C6:N6)</f>
        <v>519000</v>
      </c>
    </row>
    <row r="7" spans="1:16" ht="24.95" customHeight="1" thickBot="1" x14ac:dyDescent="0.35">
      <c r="A7" s="33"/>
      <c r="B7" s="46" t="s">
        <v>12</v>
      </c>
      <c r="C7" s="105">
        <f t="shared" ref="C7:N7" si="0">C6*0.27</f>
        <v>22950</v>
      </c>
      <c r="D7" s="106">
        <f t="shared" si="0"/>
        <v>22950</v>
      </c>
      <c r="E7" s="106">
        <f t="shared" si="0"/>
        <v>22950</v>
      </c>
      <c r="F7" s="106">
        <f t="shared" si="0"/>
        <v>23760</v>
      </c>
      <c r="G7" s="106">
        <f t="shared" si="0"/>
        <v>23760</v>
      </c>
      <c r="H7" s="106">
        <f t="shared" si="0"/>
        <v>23760</v>
      </c>
      <c r="I7" s="106">
        <f t="shared" si="0"/>
        <v>0</v>
      </c>
      <c r="J7" s="106">
        <f t="shared" si="0"/>
        <v>0</v>
      </c>
      <c r="K7" s="106">
        <f t="shared" si="0"/>
        <v>0</v>
      </c>
      <c r="L7" s="106">
        <f t="shared" si="0"/>
        <v>0</v>
      </c>
      <c r="M7" s="106">
        <f t="shared" si="0"/>
        <v>0</v>
      </c>
      <c r="N7" s="106">
        <f t="shared" si="0"/>
        <v>0</v>
      </c>
      <c r="O7" s="107">
        <f>SUM(C7:N7)</f>
        <v>140130</v>
      </c>
    </row>
    <row r="8" spans="1:16" ht="24.95" customHeight="1" x14ac:dyDescent="0.3">
      <c r="A8" s="33"/>
      <c r="B8" s="67" t="s">
        <v>13</v>
      </c>
      <c r="C8" s="113">
        <f>SUBTOTAL(109,ДействителниЗаСлужители[Янр])</f>
        <v>107950</v>
      </c>
      <c r="D8" s="114">
        <f>SUBTOTAL(109,ДействителниЗаСлужители[Фев])</f>
        <v>107950</v>
      </c>
      <c r="E8" s="114">
        <f>SUBTOTAL(109,ДействителниЗаСлужители[Мар])</f>
        <v>107950</v>
      </c>
      <c r="F8" s="114">
        <f>SUBTOTAL(109,ДействителниЗаСлужители[Апр])</f>
        <v>111760</v>
      </c>
      <c r="G8" s="114">
        <f>SUBTOTAL(109,ДействителниЗаСлужители[Май])</f>
        <v>111760</v>
      </c>
      <c r="H8" s="114">
        <f>SUBTOTAL(109,ДействителниЗаСлужители[Юни])</f>
        <v>111760</v>
      </c>
      <c r="I8" s="114">
        <f>SUBTOTAL(109,ДействителниЗаСлужители[Юли])</f>
        <v>0</v>
      </c>
      <c r="J8" s="114">
        <f>SUBTOTAL(109,ДействителниЗаСлужители[Авг])</f>
        <v>0</v>
      </c>
      <c r="K8" s="114">
        <f>SUBTOTAL(109,ДействителниЗаСлужители[Сеп])</f>
        <v>0</v>
      </c>
      <c r="L8" s="114">
        <f>SUBTOTAL(109,ДействителниЗаСлужители[Окт])</f>
        <v>0</v>
      </c>
      <c r="M8" s="114">
        <f>SUBTOTAL(109,ДействителниЗаСлужители[Ное])</f>
        <v>0</v>
      </c>
      <c r="N8" s="114">
        <f>SUBTOTAL(109,ДействителниЗаСлужители[Дек])</f>
        <v>0</v>
      </c>
      <c r="O8" s="115">
        <f>SUBTOTAL(109,ДействителниЗаСлужители[ГОДИНА])</f>
        <v>659130</v>
      </c>
    </row>
    <row r="9" spans="1:16" s="1" customFormat="1" ht="21" customHeight="1" x14ac:dyDescent="0.3">
      <c r="A9" s="33"/>
      <c r="B9" s="83"/>
      <c r="C9" s="8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6" ht="24.95" customHeight="1" thickBot="1" x14ac:dyDescent="0.35">
      <c r="A10" s="33"/>
      <c r="B10" s="52" t="s">
        <v>14</v>
      </c>
      <c r="C10" s="66" t="s">
        <v>37</v>
      </c>
      <c r="D10" s="50" t="s">
        <v>39</v>
      </c>
      <c r="E10" s="93" t="s">
        <v>41</v>
      </c>
      <c r="F10" s="50" t="s">
        <v>43</v>
      </c>
      <c r="G10" s="50" t="s">
        <v>45</v>
      </c>
      <c r="H10" s="50" t="s">
        <v>47</v>
      </c>
      <c r="I10" s="50" t="s">
        <v>49</v>
      </c>
      <c r="J10" s="50" t="s">
        <v>51</v>
      </c>
      <c r="K10" s="50" t="s">
        <v>55</v>
      </c>
      <c r="L10" s="50" t="s">
        <v>57</v>
      </c>
      <c r="M10" s="50" t="s">
        <v>59</v>
      </c>
      <c r="N10" s="50" t="s">
        <v>61</v>
      </c>
      <c r="O10" s="51" t="s">
        <v>62</v>
      </c>
    </row>
    <row r="11" spans="1:16" ht="24.95" customHeight="1" thickBot="1" x14ac:dyDescent="0.35">
      <c r="A11" s="33"/>
      <c r="B11" s="46" t="s">
        <v>15</v>
      </c>
      <c r="C11" s="105">
        <v>9800</v>
      </c>
      <c r="D11" s="106">
        <v>9800</v>
      </c>
      <c r="E11" s="106">
        <v>9800</v>
      </c>
      <c r="F11" s="106">
        <v>9800</v>
      </c>
      <c r="G11" s="106">
        <v>9800</v>
      </c>
      <c r="H11" s="106">
        <v>9800</v>
      </c>
      <c r="I11" s="106"/>
      <c r="J11" s="106"/>
      <c r="K11" s="106"/>
      <c r="L11" s="106"/>
      <c r="M11" s="106"/>
      <c r="N11" s="106"/>
      <c r="O11" s="107">
        <f t="shared" ref="O11:O18" si="1">SUM(C11:N11)</f>
        <v>58800</v>
      </c>
    </row>
    <row r="12" spans="1:16" ht="24.95" customHeight="1" thickBot="1" x14ac:dyDescent="0.35">
      <c r="A12" s="33"/>
      <c r="B12" s="46" t="s">
        <v>16</v>
      </c>
      <c r="C12" s="105">
        <v>4</v>
      </c>
      <c r="D12" s="106">
        <v>430</v>
      </c>
      <c r="E12" s="106">
        <v>385</v>
      </c>
      <c r="F12" s="106">
        <v>230</v>
      </c>
      <c r="G12" s="106">
        <v>87</v>
      </c>
      <c r="H12" s="106">
        <v>88</v>
      </c>
      <c r="I12" s="106"/>
      <c r="J12" s="106"/>
      <c r="K12" s="106"/>
      <c r="L12" s="106"/>
      <c r="M12" s="106"/>
      <c r="N12" s="106"/>
      <c r="O12" s="107">
        <f t="shared" si="1"/>
        <v>1224</v>
      </c>
    </row>
    <row r="13" spans="1:16" ht="24.95" customHeight="1" thickBot="1" x14ac:dyDescent="0.35">
      <c r="A13" s="33"/>
      <c r="B13" s="46" t="s">
        <v>17</v>
      </c>
      <c r="C13" s="105">
        <v>288</v>
      </c>
      <c r="D13" s="106">
        <v>278</v>
      </c>
      <c r="E13" s="106">
        <v>268</v>
      </c>
      <c r="F13" s="106">
        <v>299</v>
      </c>
      <c r="G13" s="106">
        <v>306</v>
      </c>
      <c r="H13" s="106">
        <v>290</v>
      </c>
      <c r="I13" s="106"/>
      <c r="J13" s="106"/>
      <c r="K13" s="106"/>
      <c r="L13" s="106"/>
      <c r="M13" s="106"/>
      <c r="N13" s="106"/>
      <c r="O13" s="107">
        <f t="shared" si="1"/>
        <v>1729</v>
      </c>
    </row>
    <row r="14" spans="1:16" ht="24.95" customHeight="1" thickBot="1" x14ac:dyDescent="0.35">
      <c r="A14" s="33"/>
      <c r="B14" s="46" t="s">
        <v>18</v>
      </c>
      <c r="C14" s="105">
        <v>35</v>
      </c>
      <c r="D14" s="106">
        <v>33</v>
      </c>
      <c r="E14" s="106">
        <v>34</v>
      </c>
      <c r="F14" s="106">
        <v>36</v>
      </c>
      <c r="G14" s="106">
        <v>34</v>
      </c>
      <c r="H14" s="106">
        <v>36</v>
      </c>
      <c r="I14" s="106"/>
      <c r="J14" s="106"/>
      <c r="K14" s="106"/>
      <c r="L14" s="106"/>
      <c r="M14" s="106"/>
      <c r="N14" s="106"/>
      <c r="O14" s="107">
        <f t="shared" si="1"/>
        <v>208</v>
      </c>
    </row>
    <row r="15" spans="1:16" ht="24.95" customHeight="1" thickBot="1" x14ac:dyDescent="0.35">
      <c r="A15" s="33"/>
      <c r="B15" s="46" t="s">
        <v>19</v>
      </c>
      <c r="C15" s="105">
        <v>224</v>
      </c>
      <c r="D15" s="106">
        <v>235</v>
      </c>
      <c r="E15" s="106">
        <v>265</v>
      </c>
      <c r="F15" s="106">
        <v>245</v>
      </c>
      <c r="G15" s="106">
        <v>245</v>
      </c>
      <c r="H15" s="106">
        <v>220</v>
      </c>
      <c r="I15" s="106"/>
      <c r="J15" s="106"/>
      <c r="K15" s="106"/>
      <c r="L15" s="106"/>
      <c r="M15" s="106"/>
      <c r="N15" s="106"/>
      <c r="O15" s="107">
        <f t="shared" si="1"/>
        <v>1434</v>
      </c>
    </row>
    <row r="16" spans="1:16" ht="24.95" customHeight="1" thickBot="1" x14ac:dyDescent="0.35">
      <c r="A16" s="33"/>
      <c r="B16" s="46" t="s">
        <v>20</v>
      </c>
      <c r="C16" s="105">
        <v>180</v>
      </c>
      <c r="D16" s="106">
        <v>180</v>
      </c>
      <c r="E16" s="106">
        <v>180</v>
      </c>
      <c r="F16" s="106">
        <v>180</v>
      </c>
      <c r="G16" s="106">
        <v>180</v>
      </c>
      <c r="H16" s="106">
        <v>180</v>
      </c>
      <c r="I16" s="106"/>
      <c r="J16" s="106"/>
      <c r="K16" s="106"/>
      <c r="L16" s="106"/>
      <c r="M16" s="106"/>
      <c r="N16" s="106"/>
      <c r="O16" s="107">
        <f t="shared" si="1"/>
        <v>1080</v>
      </c>
    </row>
    <row r="17" spans="1:15" ht="24.95" customHeight="1" thickBot="1" x14ac:dyDescent="0.35">
      <c r="A17" s="33"/>
      <c r="B17" s="46" t="s">
        <v>21</v>
      </c>
      <c r="C17" s="105">
        <v>256</v>
      </c>
      <c r="D17" s="106">
        <v>142</v>
      </c>
      <c r="E17" s="106">
        <v>160</v>
      </c>
      <c r="F17" s="106">
        <v>221</v>
      </c>
      <c r="G17" s="106">
        <v>256</v>
      </c>
      <c r="H17" s="106">
        <v>240</v>
      </c>
      <c r="I17" s="106"/>
      <c r="J17" s="106"/>
      <c r="K17" s="106"/>
      <c r="L17" s="106"/>
      <c r="M17" s="106"/>
      <c r="N17" s="106"/>
      <c r="O17" s="107">
        <f t="shared" si="1"/>
        <v>1275</v>
      </c>
    </row>
    <row r="18" spans="1:15" ht="24.95" customHeight="1" thickBot="1" x14ac:dyDescent="0.35">
      <c r="A18" s="33"/>
      <c r="B18" s="46" t="s">
        <v>22</v>
      </c>
      <c r="C18" s="105">
        <v>600</v>
      </c>
      <c r="D18" s="106">
        <v>600</v>
      </c>
      <c r="E18" s="106">
        <v>600</v>
      </c>
      <c r="F18" s="106">
        <v>600</v>
      </c>
      <c r="G18" s="106">
        <v>600</v>
      </c>
      <c r="H18" s="106">
        <v>600</v>
      </c>
      <c r="I18" s="106"/>
      <c r="J18" s="106"/>
      <c r="K18" s="106"/>
      <c r="L18" s="106"/>
      <c r="M18" s="106"/>
      <c r="N18" s="106"/>
      <c r="O18" s="107">
        <f t="shared" si="1"/>
        <v>3600</v>
      </c>
    </row>
    <row r="19" spans="1:15" ht="24.95" customHeight="1" x14ac:dyDescent="0.3">
      <c r="A19" s="33"/>
      <c r="B19" s="68" t="s">
        <v>13</v>
      </c>
      <c r="C19" s="109">
        <f>SUBTOTAL(109,ДействителиЗаОфис[Янр])</f>
        <v>11387</v>
      </c>
      <c r="D19" s="109">
        <f>SUBTOTAL(109,ДействителиЗаОфис[Фев])</f>
        <v>11698</v>
      </c>
      <c r="E19" s="109">
        <f>SUBTOTAL(109,ДействителиЗаОфис[Мар])</f>
        <v>11692</v>
      </c>
      <c r="F19" s="109">
        <f>SUBTOTAL(109,ДействителиЗаОфис[Апр])</f>
        <v>11611</v>
      </c>
      <c r="G19" s="109">
        <f>SUBTOTAL(109,ДействителиЗаОфис[Май])</f>
        <v>11508</v>
      </c>
      <c r="H19" s="109">
        <f>SUBTOTAL(109,ДействителиЗаОфис[Юни])</f>
        <v>11454</v>
      </c>
      <c r="I19" s="109">
        <f>SUBTOTAL(109,ДействителиЗаОфис[Юли])</f>
        <v>0</v>
      </c>
      <c r="J19" s="109">
        <f>SUBTOTAL(109,ДействителиЗаОфис[Авг])</f>
        <v>0</v>
      </c>
      <c r="K19" s="109">
        <f>SUBTOTAL(109,ДействителиЗаОфис[Сеп])</f>
        <v>0</v>
      </c>
      <c r="L19" s="109">
        <f>SUBTOTAL(109,ДействителиЗаОфис[Окт])</f>
        <v>0</v>
      </c>
      <c r="M19" s="109">
        <f>SUBTOTAL(109,ДействителиЗаОфис[Ное])</f>
        <v>0</v>
      </c>
      <c r="N19" s="109">
        <f>SUBTOTAL(109,ДействителиЗаОфис[Дек])</f>
        <v>0</v>
      </c>
      <c r="O19" s="110">
        <f>SUBTOTAL(109,ДействителиЗаОфис[ГОДИНА])</f>
        <v>69350</v>
      </c>
    </row>
    <row r="20" spans="1:15" ht="21" customHeight="1" x14ac:dyDescent="0.3">
      <c r="A20" s="33"/>
      <c r="B20" s="84"/>
      <c r="C20" s="84"/>
      <c r="D20" s="3"/>
      <c r="E20" s="3"/>
      <c r="F20" s="5"/>
      <c r="G20" s="5"/>
      <c r="H20" s="5"/>
      <c r="I20" s="5"/>
      <c r="J20" s="5"/>
      <c r="K20" s="5"/>
      <c r="L20" s="5"/>
      <c r="M20" s="5"/>
      <c r="N20" s="5"/>
      <c r="O20" s="4"/>
    </row>
    <row r="21" spans="1:15" ht="24.95" customHeight="1" thickBot="1" x14ac:dyDescent="0.35">
      <c r="A21" s="33"/>
      <c r="B21" s="69" t="s">
        <v>23</v>
      </c>
      <c r="C21" s="66" t="s">
        <v>37</v>
      </c>
      <c r="D21" s="50" t="s">
        <v>39</v>
      </c>
      <c r="E21" s="93" t="s">
        <v>41</v>
      </c>
      <c r="F21" s="50" t="s">
        <v>43</v>
      </c>
      <c r="G21" s="50" t="s">
        <v>45</v>
      </c>
      <c r="H21" s="50" t="s">
        <v>47</v>
      </c>
      <c r="I21" s="50" t="s">
        <v>49</v>
      </c>
      <c r="J21" s="50" t="s">
        <v>51</v>
      </c>
      <c r="K21" s="50" t="s">
        <v>55</v>
      </c>
      <c r="L21" s="50" t="s">
        <v>57</v>
      </c>
      <c r="M21" s="50" t="s">
        <v>59</v>
      </c>
      <c r="N21" s="50" t="s">
        <v>61</v>
      </c>
      <c r="O21" s="51" t="s">
        <v>62</v>
      </c>
    </row>
    <row r="22" spans="1:15" ht="24.95" customHeight="1" thickBot="1" x14ac:dyDescent="0.35">
      <c r="A22" s="33"/>
      <c r="B22" s="46" t="s">
        <v>24</v>
      </c>
      <c r="C22" s="105">
        <v>500</v>
      </c>
      <c r="D22" s="106">
        <v>500</v>
      </c>
      <c r="E22" s="106">
        <v>500</v>
      </c>
      <c r="F22" s="106">
        <v>500</v>
      </c>
      <c r="G22" s="106">
        <v>500</v>
      </c>
      <c r="H22" s="106">
        <v>500</v>
      </c>
      <c r="I22" s="106"/>
      <c r="J22" s="106"/>
      <c r="K22" s="106"/>
      <c r="L22" s="106"/>
      <c r="M22" s="106"/>
      <c r="N22" s="106"/>
      <c r="O22" s="107">
        <f t="shared" ref="O22:O27" si="2">SUM(C22:N22)</f>
        <v>3000</v>
      </c>
    </row>
    <row r="23" spans="1:15" ht="24.95" customHeight="1" thickBot="1" x14ac:dyDescent="0.35">
      <c r="A23" s="33"/>
      <c r="B23" s="46" t="s">
        <v>25</v>
      </c>
      <c r="C23" s="105">
        <v>200</v>
      </c>
      <c r="D23" s="106">
        <v>200</v>
      </c>
      <c r="E23" s="106">
        <v>200</v>
      </c>
      <c r="F23" s="106">
        <v>200</v>
      </c>
      <c r="G23" s="106">
        <v>200</v>
      </c>
      <c r="H23" s="106">
        <v>1500</v>
      </c>
      <c r="I23" s="106"/>
      <c r="J23" s="106"/>
      <c r="K23" s="106"/>
      <c r="L23" s="106"/>
      <c r="M23" s="106"/>
      <c r="N23" s="106"/>
      <c r="O23" s="107">
        <f t="shared" si="2"/>
        <v>2500</v>
      </c>
    </row>
    <row r="24" spans="1:15" ht="24.95" customHeight="1" thickBot="1" x14ac:dyDescent="0.35">
      <c r="A24" s="33"/>
      <c r="B24" s="46" t="s">
        <v>26</v>
      </c>
      <c r="C24" s="105">
        <v>4800</v>
      </c>
      <c r="D24" s="106">
        <v>0</v>
      </c>
      <c r="E24" s="106">
        <v>0</v>
      </c>
      <c r="F24" s="106">
        <v>5500</v>
      </c>
      <c r="G24" s="106">
        <v>0</v>
      </c>
      <c r="H24" s="106">
        <v>0</v>
      </c>
      <c r="I24" s="106"/>
      <c r="J24" s="106"/>
      <c r="K24" s="106"/>
      <c r="L24" s="106"/>
      <c r="M24" s="106"/>
      <c r="N24" s="106"/>
      <c r="O24" s="107">
        <f t="shared" si="2"/>
        <v>10300</v>
      </c>
    </row>
    <row r="25" spans="1:15" ht="24.95" customHeight="1" thickBot="1" x14ac:dyDescent="0.35">
      <c r="A25" s="33"/>
      <c r="B25" s="46" t="s">
        <v>27</v>
      </c>
      <c r="C25" s="105">
        <v>100</v>
      </c>
      <c r="D25" s="106">
        <v>500</v>
      </c>
      <c r="E25" s="106">
        <v>100</v>
      </c>
      <c r="F25" s="106">
        <v>100</v>
      </c>
      <c r="G25" s="106">
        <v>600</v>
      </c>
      <c r="H25" s="106">
        <v>180</v>
      </c>
      <c r="I25" s="106"/>
      <c r="J25" s="106"/>
      <c r="K25" s="106"/>
      <c r="L25" s="106"/>
      <c r="M25" s="106"/>
      <c r="N25" s="106"/>
      <c r="O25" s="107">
        <f t="shared" si="2"/>
        <v>1580</v>
      </c>
    </row>
    <row r="26" spans="1:15" ht="24.95" customHeight="1" thickBot="1" x14ac:dyDescent="0.35">
      <c r="A26" s="33"/>
      <c r="B26" s="46" t="s">
        <v>28</v>
      </c>
      <c r="C26" s="105">
        <v>1800</v>
      </c>
      <c r="D26" s="106">
        <v>2200</v>
      </c>
      <c r="E26" s="106">
        <v>2200</v>
      </c>
      <c r="F26" s="106">
        <v>4700</v>
      </c>
      <c r="G26" s="106">
        <v>1500</v>
      </c>
      <c r="H26" s="106">
        <v>2300</v>
      </c>
      <c r="I26" s="106"/>
      <c r="J26" s="106"/>
      <c r="K26" s="106"/>
      <c r="L26" s="106"/>
      <c r="M26" s="106"/>
      <c r="N26" s="106"/>
      <c r="O26" s="107">
        <f t="shared" si="2"/>
        <v>14700</v>
      </c>
    </row>
    <row r="27" spans="1:15" ht="24.95" customHeight="1" thickBot="1" x14ac:dyDescent="0.35">
      <c r="A27" s="33"/>
      <c r="B27" s="46" t="s">
        <v>29</v>
      </c>
      <c r="C27" s="105">
        <v>145</v>
      </c>
      <c r="D27" s="106">
        <v>156</v>
      </c>
      <c r="E27" s="106">
        <v>123</v>
      </c>
      <c r="F27" s="106">
        <v>223</v>
      </c>
      <c r="G27" s="106">
        <v>187</v>
      </c>
      <c r="H27" s="106">
        <v>245</v>
      </c>
      <c r="I27" s="106"/>
      <c r="J27" s="106"/>
      <c r="K27" s="106"/>
      <c r="L27" s="106"/>
      <c r="M27" s="106"/>
      <c r="N27" s="106"/>
      <c r="O27" s="107">
        <f t="shared" si="2"/>
        <v>1079</v>
      </c>
    </row>
    <row r="28" spans="1:15" ht="24.95" customHeight="1" x14ac:dyDescent="0.3">
      <c r="A28" s="33"/>
      <c r="B28" s="65" t="s">
        <v>13</v>
      </c>
      <c r="C28" s="116">
        <f>SUBTOTAL(109,ДействителниЗаМаркетинг[Янр])</f>
        <v>7545</v>
      </c>
      <c r="D28" s="109">
        <f>SUBTOTAL(109,ДействителниЗаМаркетинг[Фев])</f>
        <v>3556</v>
      </c>
      <c r="E28" s="109">
        <f>SUBTOTAL(109,ДействителниЗаМаркетинг[Мар])</f>
        <v>3123</v>
      </c>
      <c r="F28" s="109">
        <f>SUBTOTAL(109,ДействителниЗаМаркетинг[Апр])</f>
        <v>11223</v>
      </c>
      <c r="G28" s="109">
        <f>SUBTOTAL(109,ДействителниЗаМаркетинг[Май])</f>
        <v>2987</v>
      </c>
      <c r="H28" s="109">
        <f>SUBTOTAL(109,ДействителниЗаМаркетинг[Юни])</f>
        <v>4725</v>
      </c>
      <c r="I28" s="109">
        <f>SUBTOTAL(109,ДействителниЗаМаркетинг[Юли])</f>
        <v>0</v>
      </c>
      <c r="J28" s="109">
        <f>SUBTOTAL(109,ДействителниЗаМаркетинг[Авг])</f>
        <v>0</v>
      </c>
      <c r="K28" s="109">
        <f>SUBTOTAL(109,ДействителниЗаМаркетинг[Сеп])</f>
        <v>0</v>
      </c>
      <c r="L28" s="109">
        <f>SUBTOTAL(109,ДействителниЗаМаркетинг[Окт])</f>
        <v>0</v>
      </c>
      <c r="M28" s="109">
        <f>SUBTOTAL(109,ДействителниЗаМаркетинг[Ное])</f>
        <v>0</v>
      </c>
      <c r="N28" s="109">
        <f>SUBTOTAL(109,ДействителниЗаМаркетинг[Дек])</f>
        <v>0</v>
      </c>
      <c r="O28" s="110">
        <f>SUBTOTAL(109,ДействителниЗаМаркетинг[ГОДИНА])</f>
        <v>33159</v>
      </c>
    </row>
    <row r="29" spans="1:15" ht="21" customHeight="1" x14ac:dyDescent="0.3">
      <c r="A29" s="33"/>
      <c r="B29" s="83"/>
      <c r="C29" s="8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</row>
    <row r="30" spans="1:15" ht="24.95" customHeight="1" thickBot="1" x14ac:dyDescent="0.35">
      <c r="A30" s="33"/>
      <c r="B30" s="58" t="s">
        <v>30</v>
      </c>
      <c r="C30" s="50" t="s">
        <v>37</v>
      </c>
      <c r="D30" s="50" t="s">
        <v>39</v>
      </c>
      <c r="E30" s="93" t="s">
        <v>41</v>
      </c>
      <c r="F30" s="50" t="s">
        <v>43</v>
      </c>
      <c r="G30" s="50" t="s">
        <v>45</v>
      </c>
      <c r="H30" s="50" t="s">
        <v>47</v>
      </c>
      <c r="I30" s="50" t="s">
        <v>49</v>
      </c>
      <c r="J30" s="50" t="s">
        <v>51</v>
      </c>
      <c r="K30" s="50" t="s">
        <v>55</v>
      </c>
      <c r="L30" s="50" t="s">
        <v>57</v>
      </c>
      <c r="M30" s="50" t="s">
        <v>59</v>
      </c>
      <c r="N30" s="50" t="s">
        <v>61</v>
      </c>
      <c r="O30" s="51" t="s">
        <v>62</v>
      </c>
    </row>
    <row r="31" spans="1:15" ht="24.95" customHeight="1" thickBot="1" x14ac:dyDescent="0.35">
      <c r="A31" s="33"/>
      <c r="B31" s="64" t="s">
        <v>31</v>
      </c>
      <c r="C31" s="106">
        <v>1600</v>
      </c>
      <c r="D31" s="106">
        <v>2400</v>
      </c>
      <c r="E31" s="106">
        <v>1400</v>
      </c>
      <c r="F31" s="106">
        <v>1600</v>
      </c>
      <c r="G31" s="106">
        <v>1200</v>
      </c>
      <c r="H31" s="106">
        <v>2800</v>
      </c>
      <c r="I31" s="106"/>
      <c r="J31" s="106"/>
      <c r="K31" s="106"/>
      <c r="L31" s="106"/>
      <c r="M31" s="106"/>
      <c r="N31" s="106"/>
      <c r="O31" s="107">
        <f>SUM(C31:N31)</f>
        <v>11000</v>
      </c>
    </row>
    <row r="32" spans="1:15" ht="24.95" customHeight="1" thickBot="1" x14ac:dyDescent="0.35">
      <c r="A32" s="33"/>
      <c r="B32" s="64" t="s">
        <v>32</v>
      </c>
      <c r="C32" s="106">
        <v>1200</v>
      </c>
      <c r="D32" s="106">
        <v>2200</v>
      </c>
      <c r="E32" s="106">
        <v>1400</v>
      </c>
      <c r="F32" s="106">
        <v>1200</v>
      </c>
      <c r="G32" s="106">
        <v>800</v>
      </c>
      <c r="H32" s="106">
        <v>3500</v>
      </c>
      <c r="I32" s="106"/>
      <c r="J32" s="106"/>
      <c r="K32" s="106"/>
      <c r="L32" s="106"/>
      <c r="M32" s="106"/>
      <c r="N32" s="106"/>
      <c r="O32" s="107">
        <f>SUM(C32:N32)</f>
        <v>10300</v>
      </c>
    </row>
    <row r="33" spans="1:16" ht="24.95" customHeight="1" x14ac:dyDescent="0.3">
      <c r="A33" s="33"/>
      <c r="B33" s="68" t="s">
        <v>13</v>
      </c>
      <c r="C33" s="109">
        <f>SUBTOTAL(109,ДействителниЗаОбученияИПътувания[Янр])</f>
        <v>2800</v>
      </c>
      <c r="D33" s="109">
        <f>SUBTOTAL(109,ДействителниЗаОбученияИПътувания[Фев])</f>
        <v>4600</v>
      </c>
      <c r="E33" s="109">
        <f>SUBTOTAL(109,ДействителниЗаОбученияИПътувания[Мар])</f>
        <v>2800</v>
      </c>
      <c r="F33" s="109">
        <f>SUBTOTAL(109,ДействителниЗаОбученияИПътувания[Апр])</f>
        <v>2800</v>
      </c>
      <c r="G33" s="109">
        <f>SUBTOTAL(109,ДействителниЗаОбученияИПътувания[Май])</f>
        <v>2000</v>
      </c>
      <c r="H33" s="109">
        <f>SUBTOTAL(109,ДействителниЗаОбученияИПътувания[Юни])</f>
        <v>6300</v>
      </c>
      <c r="I33" s="109">
        <f>SUBTOTAL(109,ДействителниЗаОбученияИПътувания[Юли])</f>
        <v>0</v>
      </c>
      <c r="J33" s="109">
        <f>SUBTOTAL(109,ДействителниЗаОбученияИПътувания[Авг])</f>
        <v>0</v>
      </c>
      <c r="K33" s="109">
        <f>SUBTOTAL(109,ДействителниЗаОбученияИПътувания[Сеп])</f>
        <v>0</v>
      </c>
      <c r="L33" s="109">
        <f>SUBTOTAL(109,ДействителниЗаОбученияИПътувания[Окт])</f>
        <v>0</v>
      </c>
      <c r="M33" s="109">
        <f>SUBTOTAL(109,ДействителниЗаОбученияИПътувания[Ное])</f>
        <v>0</v>
      </c>
      <c r="N33" s="109">
        <f>SUBTOTAL(109,ДействителниЗаОбученияИПътувания[Дек])</f>
        <v>0</v>
      </c>
      <c r="O33" s="110">
        <f>SUBTOTAL(109,ДействителниЗаОбученияИПътувания[ГОДИНА])</f>
        <v>21300</v>
      </c>
    </row>
    <row r="34" spans="1:16" ht="21" customHeight="1" x14ac:dyDescent="0.3">
      <c r="A34" s="33"/>
      <c r="B34" s="83"/>
      <c r="C34" s="8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 ht="24.95" customHeight="1" thickBot="1" x14ac:dyDescent="0.35">
      <c r="A35" s="33"/>
      <c r="B35" s="28" t="s">
        <v>35</v>
      </c>
      <c r="C35" s="29" t="s">
        <v>37</v>
      </c>
      <c r="D35" s="29" t="s">
        <v>39</v>
      </c>
      <c r="E35" s="29" t="s">
        <v>41</v>
      </c>
      <c r="F35" s="29" t="s">
        <v>43</v>
      </c>
      <c r="G35" s="29" t="s">
        <v>45</v>
      </c>
      <c r="H35" s="29" t="s">
        <v>47</v>
      </c>
      <c r="I35" s="29" t="s">
        <v>49</v>
      </c>
      <c r="J35" s="29" t="s">
        <v>51</v>
      </c>
      <c r="K35" s="29" t="s">
        <v>55</v>
      </c>
      <c r="L35" s="29" t="s">
        <v>57</v>
      </c>
      <c r="M35" s="29" t="s">
        <v>59</v>
      </c>
      <c r="N35" s="29" t="s">
        <v>61</v>
      </c>
      <c r="O35" s="71" t="s">
        <v>63</v>
      </c>
    </row>
    <row r="36" spans="1:16" ht="24.95" customHeight="1" thickBot="1" x14ac:dyDescent="0.35">
      <c r="A36" s="33"/>
      <c r="B36" s="70" t="s">
        <v>66</v>
      </c>
      <c r="C36" s="117">
        <f>ДействителниЗаОбученияИПътувания[[#Totals],[Янр]]+ДействителниЗаМаркетинг[[#Totals],[Янр]]+ДействителиЗаОфис[[#Totals],[Янр]]+ДействителниЗаСлужители[[#Totals],[Янр]]</f>
        <v>129682</v>
      </c>
      <c r="D36" s="118">
        <f>ДействителниЗаОбученияИПътувания[[#Totals],[Фев]]+ДействителниЗаМаркетинг[[#Totals],[Фев]]+ДействителиЗаОфис[[#Totals],[Фев]]+ДействителниЗаСлужители[[#Totals],[Фев]]</f>
        <v>127804</v>
      </c>
      <c r="E36" s="118">
        <f>ДействителниЗаОбученияИПътувания[[#Totals],[Мар]]+ДействителниЗаМаркетинг[[#Totals],[Мар]]+ДействителиЗаОфис[[#Totals],[Мар]]+ДействителниЗаСлужители[[#Totals],[Мар]]</f>
        <v>125565</v>
      </c>
      <c r="F36" s="118">
        <f>ДействителниЗаОбученияИПътувания[[#Totals],[Апр]]+ДействителниЗаМаркетинг[[#Totals],[Апр]]+ДействителиЗаОфис[[#Totals],[Апр]]+ДействителниЗаСлужители[[#Totals],[Апр]]</f>
        <v>137394</v>
      </c>
      <c r="G36" s="118">
        <f>ДействителниЗаОбученияИПътувания[[#Totals],[Май]]+ДействителниЗаМаркетинг[[#Totals],[Май]]+ДействителиЗаОфис[[#Totals],[Май]]+ДействителниЗаСлужители[[#Totals],[Май]]</f>
        <v>128255</v>
      </c>
      <c r="H36" s="118">
        <f>ДействителниЗаОбученияИПътувания[[#Totals],[Юни]]+ДействителниЗаМаркетинг[[#Totals],[Юни]]+ДействителиЗаОфис[[#Totals],[Юни]]+ДействителниЗаСлужители[[#Totals],[Юни]]</f>
        <v>134239</v>
      </c>
      <c r="I36" s="118">
        <f>ДействителниЗаОбученияИПътувания[[#Totals],[Юли]]+ДействителниЗаМаркетинг[[#Totals],[Юли]]+ДействителиЗаОфис[[#Totals],[Юли]]+ДействителниЗаСлужители[[#Totals],[Юли]]</f>
        <v>0</v>
      </c>
      <c r="J36" s="118">
        <f>ДействителниЗаОбученияИПътувания[[#Totals],[Авг]]+ДействителниЗаМаркетинг[[#Totals],[Авг]]+ДействителиЗаОфис[[#Totals],[Авг]]+ДействителниЗаСлужители[[#Totals],[Авг]]</f>
        <v>0</v>
      </c>
      <c r="K36" s="118">
        <f>ДействителниЗаОбученияИПътувания[[#Totals],[Сеп]]+ДействителниЗаМаркетинг[[#Totals],[Сеп]]+ДействителиЗаОфис[[#Totals],[Сеп]]+ДействителниЗаСлужители[[#Totals],[Сеп]]</f>
        <v>0</v>
      </c>
      <c r="L36" s="118">
        <f>ДействителниЗаОбученияИПътувания[[#Totals],[Окт]]+ДействителниЗаМаркетинг[[#Totals],[Окт]]+ДействителиЗаОфис[[#Totals],[Окт]]+ДействителниЗаСлужители[[#Totals],[Окт]]</f>
        <v>0</v>
      </c>
      <c r="M36" s="118">
        <f>ДействителниЗаОбученияИПътувания[[#Totals],[Ное]]+ДействителниЗаМаркетинг[[#Totals],[Ное]]+ДействителиЗаОфис[[#Totals],[Ное]]+ДействителниЗаСлужители[[#Totals],[Ное]]</f>
        <v>0</v>
      </c>
      <c r="N36" s="118">
        <f>ДействителниЗаОбученияИПътувания[[#Totals],[Дек]]+ДействителниЗаМаркетинг[[#Totals],[Дек]]+ДействителиЗаОфис[[#Totals],[Дек]]+ДействителниЗаСлужители[[#Totals],[Дек]]</f>
        <v>0</v>
      </c>
      <c r="O36" s="118">
        <f>ДействителниЗаОбученияИПътувания[[#Totals],[ГОДИНА]]+ДействителниЗаМаркетинг[[#Totals],[ГОДИНА]]+ДействителиЗаОфис[[#Totals],[ГОДИНА]]+ДействителниЗаСлужители[[#Totals],[ГОДИНА]]</f>
        <v>782939</v>
      </c>
      <c r="P36"/>
    </row>
    <row r="37" spans="1:16" ht="24.95" customHeight="1" thickBot="1" x14ac:dyDescent="0.35">
      <c r="A37" s="33"/>
      <c r="B37" s="70" t="s">
        <v>67</v>
      </c>
      <c r="C37" s="119">
        <f>SUM($C$36:C36)</f>
        <v>129682</v>
      </c>
      <c r="D37" s="120">
        <f>SUM($C$36:D36)</f>
        <v>257486</v>
      </c>
      <c r="E37" s="120">
        <f>SUM($C$36:E36)</f>
        <v>383051</v>
      </c>
      <c r="F37" s="120">
        <f>SUM($C$36:F36)</f>
        <v>520445</v>
      </c>
      <c r="G37" s="120">
        <f>SUM($C$36:G36)</f>
        <v>648700</v>
      </c>
      <c r="H37" s="121">
        <f>SUM($C$36:H36)</f>
        <v>782939</v>
      </c>
      <c r="I37" s="120">
        <f>SUM($C$36:I36)</f>
        <v>782939</v>
      </c>
      <c r="J37" s="120">
        <f>SUM($C$36:J36)</f>
        <v>782939</v>
      </c>
      <c r="K37" s="120">
        <f>SUM($C$36:K36)</f>
        <v>782939</v>
      </c>
      <c r="L37" s="120">
        <f>SUM($C$36:L36)</f>
        <v>782939</v>
      </c>
      <c r="M37" s="121">
        <f>SUM($C$36:M36)</f>
        <v>782939</v>
      </c>
      <c r="N37" s="120">
        <f>SUM($C$36:N36)</f>
        <v>782939</v>
      </c>
      <c r="O37" s="121"/>
      <c r="P37"/>
    </row>
    <row r="38" spans="1:16" ht="21" customHeight="1" x14ac:dyDescent="0.3">
      <c r="L38" s="14"/>
      <c r="M38" s="14"/>
      <c r="N38" s="14"/>
      <c r="O38" s="14"/>
    </row>
  </sheetData>
  <mergeCells count="2">
    <mergeCell ref="K2:M2"/>
    <mergeCell ref="K3:M3"/>
  </mergeCells>
  <dataValidations count="9">
    <dataValidation allowBlank="1" showInputMessage="1" showErrorMessage="1" prompt="Контейнерът за емблемата е в тази клетка." sqref="N2" xr:uid="{C95257D8-3930-4F5C-8D70-88B292233801}"/>
    <dataValidation allowBlank="1" showInputMessage="1" showErrorMessage="1" prompt="Общите действителни разходи се изчисляват автоматично в таблицата &quot;Общо действителни&quot;, започваща от клетката вдясно." sqref="A4" xr:uid="{177C6CBD-70F5-4EE0-A8BD-78C9CA33B2BD}"/>
    <dataValidation allowBlank="1" showInputMessage="1" showErrorMessage="1" prompt="Въведете &quot;Разходи за служители&quot; в таблицата &quot;Действителни разходи за служителите&quot;, започвайки от клетка вдясно. Следващата инструкция е в клетка A10." sqref="A5" xr:uid="{C3141D3D-0B91-4F53-BE3F-38687FD87D6B}"/>
    <dataValidation allowBlank="1" showInputMessage="1" showErrorMessage="1" prompt="Въведете &quot;Разходи за офис&quot; в таблицата &quot;Действителни разходи за офис &quot;, започвайки от клетка вдясно. Следващата инструкция е в клетка A21." sqref="A10" xr:uid="{6B251561-6C81-4CE6-8EBF-9D5790C7CB5E}"/>
    <dataValidation allowBlank="1" showInputMessage="1" showErrorMessage="1" prompt="Въведете &quot;Маркетингови разходи&quot; в таблицата &quot;Действителни маркетингови разходи&quot;, започвайки от клетка вдясно. Следващата инструкция е в клетка A30." sqref="A21" xr:uid="{D284BFB1-3C99-4A34-BA1D-2099E5838FB2}"/>
    <dataValidation allowBlank="1" showInputMessage="1" showErrorMessage="1" prompt="Въведете &quot;Разходи за обучение&quot; или &quot;Пътни разходи&quot; в таблицата &quot;Обучение&quot; и &quot;Действителни пътни разходи&quot;, започвайки от клетка вдясно. Следващата инструкция е в клетка A35." sqref="A30" xr:uid="{255C7F8A-67BD-4F48-9D93-C907D407CF4C}"/>
    <dataValidation allowBlank="1" showInputMessage="1" showErrorMessage="1" prompt="Въведете &quot;Планирани разходи за служители&quot;, &quot;Разходи за офис&quot;, &quot;Маркетингови разходи&quot; и &quot;Обучение&quot; или &quot;Пътни разходи&quot; в съотв. табл. в този лист. Общ. суми се изч. автом. Инстр. как да използвате раб. лист са в кл. в тази колона. Стрелка надолу за нач." sqref="A1" xr:uid="{79AE6394-A51C-466A-B4A1-C38D88BF4EBB}"/>
    <dataValidation allowBlank="1" showInputMessage="1" showErrorMessage="1" prompt="Името на фирмата се актуализира автоматично в клетката вдясно. Заглавието на този работен лист е в клетка K2. Въведете емблема в клетка N2." sqref="A2" xr:uid="{26A4B1D9-8F73-440F-9A07-A3F7DBC9AEEF}"/>
    <dataValidation allowBlank="1" showInputMessage="1" showErrorMessage="1" prompt="Пояснението е в клетка K3." sqref="A3" xr:uid="{7DD6B845-A534-4A07-B96C-7DC7C0D747FC}"/>
  </dataValidations>
  <pageMargins left="0.7" right="0.7" top="0.75" bottom="0.75" header="0.3" footer="0.3"/>
  <pageSetup paperSize="9" fitToHeight="0" orientation="portrait" r:id="rId1"/>
  <ignoredErrors>
    <ignoredError sqref="B2 O31:O33 O22:O28 O11:O19" emptyCellReference="1"/>
    <ignoredError sqref="C36:O37 C7:H7 C6:N6 O7" calculatedColumn="1"/>
    <ignoredError sqref="O6 I7:N7" emptyCellReference="1" calculatedColumn="1"/>
  </ignoredErrors>
  <drawing r:id="rId2"/>
  <tableParts count="5">
    <tablePart r:id="rId3"/>
    <tablePart r:id="rId4"/>
    <tablePart r:id="rId5"/>
    <tablePart r:id="rId6"/>
    <tablePart r:id="rId7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7"/>
    <pageSetUpPr autoPageBreaks="0"/>
  </sheetPr>
  <dimension ref="A1:P38"/>
  <sheetViews>
    <sheetView showGridLines="0" zoomScaleNormal="100" workbookViewId="0"/>
  </sheetViews>
  <sheetFormatPr defaultColWidth="9.140625" defaultRowHeight="21" customHeight="1" x14ac:dyDescent="0.3"/>
  <cols>
    <col min="1" max="1" width="4.7109375" style="1" customWidth="1"/>
    <col min="2" max="2" width="48.7109375" style="2" customWidth="1"/>
    <col min="3" max="15" width="16.7109375" style="2" customWidth="1"/>
    <col min="16" max="16" width="4.7109375" style="1" customWidth="1"/>
    <col min="17" max="16384" width="9.140625" style="2"/>
  </cols>
  <sheetData>
    <row r="1" spans="1:16" s="1" customFormat="1" ht="24" customHeight="1" x14ac:dyDescent="0.3">
      <c r="A1" s="34"/>
      <c r="B1" s="10"/>
      <c r="C1" s="10"/>
      <c r="D1" s="10"/>
      <c r="E1" s="10"/>
      <c r="F1" s="7"/>
      <c r="G1" s="7"/>
      <c r="H1" s="7"/>
      <c r="I1" s="7"/>
      <c r="J1" s="7"/>
      <c r="K1" s="7"/>
      <c r="L1" s="7"/>
      <c r="M1" s="7"/>
      <c r="N1" s="7"/>
      <c r="O1" s="7"/>
      <c r="P1" s="63" t="s">
        <v>64</v>
      </c>
    </row>
    <row r="2" spans="1:16" s="1" customFormat="1" ht="45" customHeight="1" x14ac:dyDescent="0.35">
      <c r="A2" s="32"/>
      <c r="B2" s="85" t="str">
        <f>'ПЛАНИРАНИ РАЗХОДИ'!B2:D3</f>
        <v>Име на фирма</v>
      </c>
      <c r="C2" s="85"/>
      <c r="D2" s="85"/>
      <c r="E2" s="88"/>
      <c r="F2" s="8"/>
      <c r="G2" s="8"/>
      <c r="H2" s="8"/>
      <c r="I2" s="8"/>
      <c r="J2" s="8"/>
      <c r="K2" s="129" t="str">
        <f>заглавие_работен_лист</f>
        <v>Подробни прогнози за разходите</v>
      </c>
      <c r="L2" s="129"/>
      <c r="M2" s="129"/>
      <c r="N2" s="82"/>
      <c r="O2" s="82"/>
      <c r="P2" s="7"/>
    </row>
    <row r="3" spans="1:16" s="1" customFormat="1" ht="30" customHeight="1" x14ac:dyDescent="0.3">
      <c r="A3" s="32"/>
      <c r="B3" s="85"/>
      <c r="C3" s="85"/>
      <c r="D3" s="85"/>
      <c r="E3" s="89"/>
      <c r="F3" s="9"/>
      <c r="G3" s="9"/>
      <c r="H3" s="9"/>
      <c r="I3" s="9"/>
      <c r="J3" s="9"/>
      <c r="K3" s="131" t="s">
        <v>53</v>
      </c>
      <c r="L3" s="131"/>
      <c r="M3" s="131"/>
      <c r="N3" s="82"/>
      <c r="O3" s="82"/>
      <c r="P3" s="7"/>
    </row>
    <row r="4" spans="1:16" s="11" customFormat="1" ht="49.5" customHeight="1" x14ac:dyDescent="0.3">
      <c r="A4" s="33"/>
      <c r="B4" s="22" t="s">
        <v>68</v>
      </c>
      <c r="C4" s="23" t="s">
        <v>36</v>
      </c>
      <c r="D4" s="23" t="s">
        <v>38</v>
      </c>
      <c r="E4" s="90" t="s">
        <v>40</v>
      </c>
      <c r="F4" s="23" t="s">
        <v>42</v>
      </c>
      <c r="G4" s="23" t="s">
        <v>44</v>
      </c>
      <c r="H4" s="23" t="s">
        <v>46</v>
      </c>
      <c r="I4" s="90" t="s">
        <v>48</v>
      </c>
      <c r="J4" s="23" t="s">
        <v>50</v>
      </c>
      <c r="K4" s="23" t="s">
        <v>54</v>
      </c>
      <c r="L4" s="23" t="s">
        <v>56</v>
      </c>
      <c r="M4" s="23" t="s">
        <v>58</v>
      </c>
      <c r="N4" s="90" t="s">
        <v>60</v>
      </c>
      <c r="O4" s="23" t="s">
        <v>62</v>
      </c>
    </row>
    <row r="5" spans="1:16" ht="24.95" customHeight="1" thickBot="1" x14ac:dyDescent="0.35">
      <c r="A5" s="33"/>
      <c r="B5" s="58" t="s">
        <v>10</v>
      </c>
      <c r="C5" s="72" t="s">
        <v>37</v>
      </c>
      <c r="D5" s="72" t="s">
        <v>39</v>
      </c>
      <c r="E5" s="94" t="s">
        <v>41</v>
      </c>
      <c r="F5" s="72" t="s">
        <v>43</v>
      </c>
      <c r="G5" s="72" t="s">
        <v>45</v>
      </c>
      <c r="H5" s="72" t="s">
        <v>47</v>
      </c>
      <c r="I5" s="72" t="s">
        <v>49</v>
      </c>
      <c r="J5" s="72" t="s">
        <v>51</v>
      </c>
      <c r="K5" s="72" t="s">
        <v>55</v>
      </c>
      <c r="L5" s="72" t="s">
        <v>57</v>
      </c>
      <c r="M5" s="72" t="s">
        <v>59</v>
      </c>
      <c r="N5" s="72" t="s">
        <v>61</v>
      </c>
      <c r="O5" s="73" t="s">
        <v>62</v>
      </c>
    </row>
    <row r="6" spans="1:16" ht="24.95" customHeight="1" thickBot="1" x14ac:dyDescent="0.35">
      <c r="A6" s="33"/>
      <c r="B6" s="46" t="s">
        <v>11</v>
      </c>
      <c r="C6" s="105">
        <f>INDEX(ПланираниЗаСлужители[],MATCH(INDEX(РазликиЗаСлужители[],ROW()-ROW(РазликиЗаСлужители[[#Headers],[Янр]]),1),INDEX(ПланираниЗаСлужители[],,1),0),MATCH(РазликиЗаСлужители[[#Headers],[Янр]],ПланираниЗаСлужители[#Headers],0))-INDEX(ДействителниЗаСлужители[],MATCH(INDEX(РазликиЗаСлужители[],ROW()-ROW(РазликиЗаСлужители[[#Headers],[Янр]]),1),INDEX(ПланираниЗаСлужители[],,1),0),MATCH(РазликиЗаСлужители[[#Headers],[Янр]],ДействителниЗаСлужители[#Headers],0))</f>
        <v>0</v>
      </c>
      <c r="D6" s="106">
        <f>INDEX(ПланираниЗаСлужители[],MATCH(INDEX(РазликиЗаСлужители[],ROW()-ROW(РазликиЗаСлужители[[#Headers],[Фев]]),1),INDEX(ПланираниЗаСлужители[],,1),0),MATCH(РазликиЗаСлужители[[#Headers],[Фев]],ПланираниЗаСлужители[#Headers],0))-INDEX(ДействителниЗаСлужители[],MATCH(INDEX(РазликиЗаСлужители[],ROW()-ROW(РазликиЗаСлужители[[#Headers],[Фев]]),1),INDEX(ПланираниЗаСлужители[],,1),0),MATCH(РазликиЗаСлужители[[#Headers],[Фев]],ДействителниЗаСлужители[#Headers],0))</f>
        <v>0</v>
      </c>
      <c r="E6" s="106">
        <f>INDEX(ПланираниЗаСлужители[],MATCH(INDEX(РазликиЗаСлужители[],ROW()-ROW(РазликиЗаСлужители[[#Headers],[Мар]]),1),INDEX(ПланираниЗаСлужители[],,1),0),MATCH(РазликиЗаСлужители[[#Headers],[Мар]],ПланираниЗаСлужители[#Headers],0))-INDEX(ДействителниЗаСлужители[],MATCH(INDEX(РазликиЗаСлужители[],ROW()-ROW(РазликиЗаСлужители[[#Headers],[Мар]]),1),INDEX(ПланираниЗаСлужители[],,1),0),MATCH(РазликиЗаСлужители[[#Headers],[Мар]],ДействителниЗаСлужители[#Headers],0))</f>
        <v>0</v>
      </c>
      <c r="F6" s="106">
        <f>INDEX(ПланираниЗаСлужители[],MATCH(INDEX(РазликиЗаСлужители[],ROW()-ROW(РазликиЗаСлужители[[#Headers],[Апр]]),1),INDEX(ПланираниЗаСлужители[],,1),0),MATCH(РазликиЗаСлужители[[#Headers],[Апр]],ПланираниЗаСлужители[#Headers],0))-INDEX(ДействителниЗаСлужители[],MATCH(INDEX(РазликиЗаСлужители[],ROW()-ROW(РазликиЗаСлужители[[#Headers],[Апр]]),1),INDEX(ПланираниЗаСлужители[],,1),0),MATCH(РазликиЗаСлужители[[#Headers],[Апр]],ДействителниЗаСлужители[#Headers],0))</f>
        <v>-500</v>
      </c>
      <c r="G6" s="106">
        <f>INDEX(ПланираниЗаСлужители[],MATCH(INDEX(РазликиЗаСлужители[],ROW()-ROW(РазликиЗаСлужители[[#Headers],[Май]]),1),INDEX(ПланираниЗаСлужители[],,1),0),MATCH(РазликиЗаСлужители[[#Headers],[Май]],ПланираниЗаСлужители[#Headers],0))-INDEX(ДействителниЗаСлужители[],MATCH(INDEX(РазликиЗаСлужители[],ROW()-ROW(РазликиЗаСлужители[[#Headers],[Май]]),1),INDEX(ПланираниЗаСлужители[],,1),0),MATCH(РазликиЗаСлужители[[#Headers],[Май]],ДействителниЗаСлужители[#Headers],0))</f>
        <v>-500</v>
      </c>
      <c r="H6" s="106">
        <f>INDEX(ПланираниЗаСлужители[],MATCH(INDEX(РазликиЗаСлужители[],ROW()-ROW(РазликиЗаСлужители[[#Headers],[Юни]]),1),INDEX(ПланираниЗаСлужители[],,1),0),MATCH(РазликиЗаСлужители[[#Headers],[Юни]],ПланираниЗаСлужители[#Headers],0))-INDEX(ДействителниЗаСлужители[],MATCH(INDEX(РазликиЗаСлужители[],ROW()-ROW(РазликиЗаСлужители[[#Headers],[Юни]]),1),INDEX(ПланираниЗаСлужители[],,1),0),MATCH(РазликиЗаСлужители[[#Headers],[Юни]],ДействителниЗаСлужители[#Headers],0))</f>
        <v>-500</v>
      </c>
      <c r="I6" s="106">
        <f>INDEX(ПланираниЗаСлужители[],MATCH(INDEX(РазликиЗаСлужители[],ROW()-ROW(РазликиЗаСлужители[[#Headers],[Юли]]),1),INDEX(ПланираниЗаСлужители[],,1),0),MATCH(РазликиЗаСлужители[[#Headers],[Юли]],ПланираниЗаСлужители[#Headers],0))-INDEX(ДействителниЗаСлужители[],MATCH(INDEX(РазликиЗаСлужители[],ROW()-ROW(РазликиЗаСлужители[[#Headers],[Юли]]),1),INDEX(ПланираниЗаСлужители[],,1),0),MATCH(РазликиЗаСлужители[[#Headers],[Юли]],ДействителниЗаСлужители[#Headers],0))</f>
        <v>87500</v>
      </c>
      <c r="J6" s="106">
        <f>INDEX(ПланираниЗаСлужители[],MATCH(INDEX(РазликиЗаСлужители[],ROW()-ROW(РазликиЗаСлужители[[#Headers],[Авг]]),1),INDEX(ПланираниЗаСлужители[],,1),0),MATCH(РазликиЗаСлужители[[#Headers],[Авг]],ПланираниЗаСлужители[#Headers],0))-INDEX(ДействителниЗаСлужители[],MATCH(INDEX(РазликиЗаСлужители[],ROW()-ROW(РазликиЗаСлужители[[#Headers],[Авг]]),1),INDEX(ПланираниЗаСлужители[],,1),0),MATCH(РазликиЗаСлужители[[#Headers],[Авг]],ДействителниЗаСлужители[#Headers],0))</f>
        <v>92400</v>
      </c>
      <c r="K6" s="106">
        <f>INDEX(ПланираниЗаСлужители[],MATCH(INDEX(РазликиЗаСлужители[],ROW()-ROW(РазликиЗаСлужители[[#Headers],[Сеп]]),1),INDEX(ПланираниЗаСлужители[],,1),0),MATCH(РазликиЗаСлужители[[#Headers],[Сеп]],ПланираниЗаСлужители[#Headers],0))-INDEX(ДействителниЗаСлужители[],MATCH(INDEX(РазликиЗаСлужители[],ROW()-ROW(РазликиЗаСлужители[[#Headers],[Сеп]]),1),INDEX(ПланираниЗаСлужители[],,1),0),MATCH(РазликиЗаСлужители[[#Headers],[Сеп]],ДействителниЗаСлужители[#Headers],0))</f>
        <v>92400</v>
      </c>
      <c r="L6" s="106">
        <f>INDEX(ПланираниЗаСлужители[],MATCH(INDEX(РазликиЗаСлужители[],ROW()-ROW(РазликиЗаСлужители[[#Headers],[Окт]]),1),INDEX(ПланираниЗаСлужители[],,1),0),MATCH(РазликиЗаСлужители[[#Headers],[Окт]],ПланираниЗаСлужители[#Headers],0))-INDEX(ДействителниЗаСлужители[],MATCH(INDEX(РазликиЗаСлужители[],ROW()-ROW(РазликиЗаСлужители[[#Headers],[Окт]]),1),INDEX(ПланираниЗаСлужители[],,1),0),MATCH(РазликиЗаСлужители[[#Headers],[Окт]],ДействителниЗаСлужители[#Headers],0))</f>
        <v>92400</v>
      </c>
      <c r="M6" s="106">
        <f>INDEX(ПланираниЗаСлужители[],MATCH(INDEX(РазликиЗаСлужители[],ROW()-ROW(РазликиЗаСлужители[[#Headers],[Ное]]),1),INDEX(ПланираниЗаСлужители[],,1),0),MATCH(РазликиЗаСлужители[[#Headers],[Ное]],ПланираниЗаСлужители[#Headers],0))-INDEX(ДействителниЗаСлужители[],MATCH(INDEX(РазликиЗаСлужители[],ROW()-ROW(РазликиЗаСлужители[[#Headers],[Ное]]),1),INDEX(ПланираниЗаСлужители[],,1),0),MATCH(РазликиЗаСлужители[[#Headers],[Ное]],ДействителниЗаСлужители[#Headers],0))</f>
        <v>92400</v>
      </c>
      <c r="N6" s="106">
        <f>INDEX(ПланираниЗаСлужители[],MATCH(INDEX(РазликиЗаСлужители[],ROW()-ROW(РазликиЗаСлужители[[#Headers],[Дек]]),1),INDEX(ПланираниЗаСлужители[],,1),0),MATCH(РазликиЗаСлужители[[#Headers],[Дек]],ПланираниЗаСлужители[#Headers],0))-INDEX(ДействителниЗаСлужители[],MATCH(INDEX(РазликиЗаСлужители[],ROW()-ROW(РазликиЗаСлужители[[#Headers],[Дек]]),1),INDEX(ПланираниЗаСлужители[],,1),0),MATCH(РазликиЗаСлужители[[#Headers],[Дек]],ДействителниЗаСлужители[#Headers],0))</f>
        <v>92400</v>
      </c>
      <c r="O6" s="107">
        <f>SUM(РазликиЗаСлужители[[#This Row],[Янр]:[Дек]])</f>
        <v>548000</v>
      </c>
    </row>
    <row r="7" spans="1:16" ht="24.95" customHeight="1" thickBot="1" x14ac:dyDescent="0.35">
      <c r="A7" s="33"/>
      <c r="B7" s="46" t="s">
        <v>12</v>
      </c>
      <c r="C7" s="105">
        <f>INDEX(ПланираниЗаСлужители[],MATCH(INDEX(РазликиЗаСлужители[],ROW()-ROW(РазликиЗаСлужители[[#Headers],[Янр]]),1),INDEX(ПланираниЗаСлужители[],,1),0),MATCH(РазликиЗаСлужители[[#Headers],[Янр]],ПланираниЗаСлужители[#Headers],0))-INDEX(ДействителниЗаСлужители[],MATCH(INDEX(РазликиЗаСлужители[],ROW()-ROW(РазликиЗаСлужители[[#Headers],[Янр]]),1),INDEX(ПланираниЗаСлужители[],,1),0),MATCH(РазликиЗаСлужители[[#Headers],[Янр]],ДействителниЗаСлужители[#Headers],0))</f>
        <v>0</v>
      </c>
      <c r="D7" s="106">
        <f>INDEX(ПланираниЗаСлужители[],MATCH(INDEX(РазликиЗаСлужители[],ROW()-ROW(РазликиЗаСлужители[[#Headers],[Фев]]),1),INDEX(ПланираниЗаСлужители[],,1),0),MATCH(РазликиЗаСлужители[[#Headers],[Фев]],ПланираниЗаСлужители[#Headers],0))-INDEX(ДействителниЗаСлужители[],MATCH(INDEX(РазликиЗаСлужители[],ROW()-ROW(РазликиЗаСлужители[[#Headers],[Фев]]),1),INDEX(ПланираниЗаСлужители[],,1),0),MATCH(РазликиЗаСлужители[[#Headers],[Фев]],ДействителниЗаСлужители[#Headers],0))</f>
        <v>0</v>
      </c>
      <c r="E7" s="106">
        <f>INDEX(ПланираниЗаСлужители[],MATCH(INDEX(РазликиЗаСлужители[],ROW()-ROW(РазликиЗаСлужители[[#Headers],[Мар]]),1),INDEX(ПланираниЗаСлужители[],,1),0),MATCH(РазликиЗаСлужители[[#Headers],[Мар]],ПланираниЗаСлужители[#Headers],0))-INDEX(ДействителниЗаСлужители[],MATCH(INDEX(РазликиЗаСлужители[],ROW()-ROW(РазликиЗаСлужители[[#Headers],[Мар]]),1),INDEX(ПланираниЗаСлужители[],,1),0),MATCH(РазликиЗаСлужители[[#Headers],[Мар]],ДействителниЗаСлужители[#Headers],0))</f>
        <v>0</v>
      </c>
      <c r="F7" s="106">
        <f>INDEX(ПланираниЗаСлужители[],MATCH(INDEX(РазликиЗаСлужители[],ROW()-ROW(РазликиЗаСлужители[[#Headers],[Апр]]),1),INDEX(ПланираниЗаСлужители[],,1),0),MATCH(РазликиЗаСлужители[[#Headers],[Апр]],ПланираниЗаСлужители[#Headers],0))-INDEX(ДействителниЗаСлужители[],MATCH(INDEX(РазликиЗаСлужители[],ROW()-ROW(РазликиЗаСлужители[[#Headers],[Апр]]),1),INDEX(ПланираниЗаСлужители[],,1),0),MATCH(РазликиЗаСлужители[[#Headers],[Апр]],ДействителниЗаСлужители[#Headers],0))</f>
        <v>-135</v>
      </c>
      <c r="G7" s="106">
        <f>INDEX(ПланираниЗаСлужители[],MATCH(INDEX(РазликиЗаСлужители[],ROW()-ROW(РазликиЗаСлужители[[#Headers],[Май]]),1),INDEX(ПланираниЗаСлужители[],,1),0),MATCH(РазликиЗаСлужители[[#Headers],[Май]],ПланираниЗаСлужители[#Headers],0))-INDEX(ДействителниЗаСлужители[],MATCH(INDEX(РазликиЗаСлужители[],ROW()-ROW(РазликиЗаСлужители[[#Headers],[Май]]),1),INDEX(ПланираниЗаСлужители[],,1),0),MATCH(РазликиЗаСлужители[[#Headers],[Май]],ДействителниЗаСлужители[#Headers],0))</f>
        <v>-135</v>
      </c>
      <c r="H7" s="106">
        <f>INDEX(ПланираниЗаСлужители[],MATCH(INDEX(РазликиЗаСлужители[],ROW()-ROW(РазликиЗаСлужители[[#Headers],[Юни]]),1),INDEX(ПланираниЗаСлужители[],,1),0),MATCH(РазликиЗаСлужители[[#Headers],[Юни]],ПланираниЗаСлужители[#Headers],0))-INDEX(ДействителниЗаСлужители[],MATCH(INDEX(РазликиЗаСлужители[],ROW()-ROW(РазликиЗаСлужители[[#Headers],[Юни]]),1),INDEX(ПланираниЗаСлужители[],,1),0),MATCH(РазликиЗаСлужители[[#Headers],[Юни]],ДействителниЗаСлужители[#Headers],0))</f>
        <v>-135</v>
      </c>
      <c r="I7" s="106">
        <f>INDEX(ПланираниЗаСлужители[],MATCH(INDEX(РазликиЗаСлужители[],ROW()-ROW(РазликиЗаСлужители[[#Headers],[Юли]]),1),INDEX(ПланираниЗаСлужители[],,1),0),MATCH(РазликиЗаСлужители[[#Headers],[Юли]],ПланираниЗаСлужители[#Headers],0))-INDEX(ДействителниЗаСлужители[],MATCH(INDEX(РазликиЗаСлужители[],ROW()-ROW(РазликиЗаСлужители[[#Headers],[Юли]]),1),INDEX(ПланираниЗаСлужители[],,1),0),MATCH(РазликиЗаСлужители[[#Headers],[Юли]],ДействителниЗаСлужители[#Headers],0))</f>
        <v>23625</v>
      </c>
      <c r="J7" s="106">
        <f>INDEX(ПланираниЗаСлужители[],MATCH(INDEX(РазликиЗаСлужители[],ROW()-ROW(РазликиЗаСлужители[[#Headers],[Авг]]),1),INDEX(ПланираниЗаСлужители[],,1),0),MATCH(РазликиЗаСлужители[[#Headers],[Авг]],ПланираниЗаСлужители[#Headers],0))-INDEX(ДействителниЗаСлужители[],MATCH(INDEX(РазликиЗаСлужители[],ROW()-ROW(РазликиЗаСлужители[[#Headers],[Авг]]),1),INDEX(ПланираниЗаСлужители[],,1),0),MATCH(РазликиЗаСлужители[[#Headers],[Авг]],ДействителниЗаСлужители[#Headers],0))</f>
        <v>24948</v>
      </c>
      <c r="K7" s="106">
        <f>INDEX(ПланираниЗаСлужители[],MATCH(INDEX(РазликиЗаСлужители[],ROW()-ROW(РазликиЗаСлужители[[#Headers],[Сеп]]),1),INDEX(ПланираниЗаСлужители[],,1),0),MATCH(РазликиЗаСлужители[[#Headers],[Сеп]],ПланираниЗаСлужители[#Headers],0))-INDEX(ДействителниЗаСлужители[],MATCH(INDEX(РазликиЗаСлужители[],ROW()-ROW(РазликиЗаСлужители[[#Headers],[Сеп]]),1),INDEX(ПланираниЗаСлужители[],,1),0),MATCH(РазликиЗаСлужители[[#Headers],[Сеп]],ДействителниЗаСлужители[#Headers],0))</f>
        <v>24948</v>
      </c>
      <c r="L7" s="106">
        <f>INDEX(ПланираниЗаСлужители[],MATCH(INDEX(РазликиЗаСлужители[],ROW()-ROW(РазликиЗаСлужители[[#Headers],[Окт]]),1),INDEX(ПланираниЗаСлужители[],,1),0),MATCH(РазликиЗаСлужители[[#Headers],[Окт]],ПланираниЗаСлужители[#Headers],0))-INDEX(ДействителниЗаСлужители[],MATCH(INDEX(РазликиЗаСлужители[],ROW()-ROW(РазликиЗаСлужители[[#Headers],[Окт]]),1),INDEX(ПланираниЗаСлужители[],,1),0),MATCH(РазликиЗаСлужители[[#Headers],[Окт]],ДействителниЗаСлужители[#Headers],0))</f>
        <v>24948</v>
      </c>
      <c r="M7" s="106">
        <f>INDEX(ПланираниЗаСлужители[],MATCH(INDEX(РазликиЗаСлужители[],ROW()-ROW(РазликиЗаСлужители[[#Headers],[Ное]]),1),INDEX(ПланираниЗаСлужители[],,1),0),MATCH(РазликиЗаСлужители[[#Headers],[Ное]],ПланираниЗаСлужители[#Headers],0))-INDEX(ДействителниЗаСлужители[],MATCH(INDEX(РазликиЗаСлужители[],ROW()-ROW(РазликиЗаСлужители[[#Headers],[Ное]]),1),INDEX(ПланираниЗаСлужители[],,1),0),MATCH(РазликиЗаСлужители[[#Headers],[Ное]],ДействителниЗаСлужители[#Headers],0))</f>
        <v>24948</v>
      </c>
      <c r="N7" s="106">
        <f>INDEX(ПланираниЗаСлужители[],MATCH(INDEX(РазликиЗаСлужители[],ROW()-ROW(РазликиЗаСлужители[[#Headers],[Дек]]),1),INDEX(ПланираниЗаСлужители[],,1),0),MATCH(РазликиЗаСлужители[[#Headers],[Дек]],ПланираниЗаСлужители[#Headers],0))-INDEX(ДействителниЗаСлужители[],MATCH(INDEX(РазликиЗаСлужители[],ROW()-ROW(РазликиЗаСлужители[[#Headers],[Дек]]),1),INDEX(ПланираниЗаСлужители[],,1),0),MATCH(РазликиЗаСлужители[[#Headers],[Дек]],ДействителниЗаСлужители[#Headers],0))</f>
        <v>24948</v>
      </c>
      <c r="O7" s="107">
        <f>SUM(РазликиЗаСлужители[[#This Row],[Янр]:[Дек]])</f>
        <v>147960</v>
      </c>
    </row>
    <row r="8" spans="1:16" ht="24.95" customHeight="1" x14ac:dyDescent="0.3">
      <c r="A8" s="33"/>
      <c r="B8" s="74" t="s">
        <v>13</v>
      </c>
      <c r="C8" s="114">
        <f>SUBTOTAL(109,РазликиЗаСлужители[Янр])</f>
        <v>0</v>
      </c>
      <c r="D8" s="114">
        <f>SUBTOTAL(109,РазликиЗаСлужители[Фев])</f>
        <v>0</v>
      </c>
      <c r="E8" s="114">
        <f>SUBTOTAL(109,РазликиЗаСлужители[Мар])</f>
        <v>0</v>
      </c>
      <c r="F8" s="114">
        <f>SUBTOTAL(109,РазликиЗаСлужители[Апр])</f>
        <v>-635</v>
      </c>
      <c r="G8" s="114">
        <f>SUBTOTAL(109,РазликиЗаСлужители[Май])</f>
        <v>-635</v>
      </c>
      <c r="H8" s="114">
        <f>SUBTOTAL(109,РазликиЗаСлужители[Юни])</f>
        <v>-635</v>
      </c>
      <c r="I8" s="114">
        <f>SUBTOTAL(109,РазликиЗаСлужители[Юли])</f>
        <v>111125</v>
      </c>
      <c r="J8" s="114">
        <f>SUBTOTAL(109,РазликиЗаСлужители[Авг])</f>
        <v>117348</v>
      </c>
      <c r="K8" s="114">
        <f>SUBTOTAL(109,РазликиЗаСлужители[Сеп])</f>
        <v>117348</v>
      </c>
      <c r="L8" s="114">
        <f>SUBTOTAL(109,РазликиЗаСлужители[Окт])</f>
        <v>117348</v>
      </c>
      <c r="M8" s="114">
        <f>SUBTOTAL(109,РазликиЗаСлужители[Ное])</f>
        <v>117348</v>
      </c>
      <c r="N8" s="114">
        <f>SUBTOTAL(109,РазликиЗаСлужители[Дек])</f>
        <v>117348</v>
      </c>
      <c r="O8" s="115">
        <f>SUBTOTAL(109,РазликиЗаСлужители[ГОДИНА])</f>
        <v>695960</v>
      </c>
    </row>
    <row r="9" spans="1:16" ht="21" customHeight="1" x14ac:dyDescent="0.3">
      <c r="A9" s="33"/>
      <c r="B9" s="83"/>
      <c r="C9" s="8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6" ht="24.95" customHeight="1" thickBot="1" x14ac:dyDescent="0.35">
      <c r="A10" s="33"/>
      <c r="B10" s="49" t="s">
        <v>14</v>
      </c>
      <c r="C10" s="50" t="s">
        <v>37</v>
      </c>
      <c r="D10" s="50" t="s">
        <v>39</v>
      </c>
      <c r="E10" s="93" t="s">
        <v>41</v>
      </c>
      <c r="F10" s="50" t="s">
        <v>43</v>
      </c>
      <c r="G10" s="50" t="s">
        <v>45</v>
      </c>
      <c r="H10" s="50" t="s">
        <v>47</v>
      </c>
      <c r="I10" s="50" t="s">
        <v>49</v>
      </c>
      <c r="J10" s="50" t="s">
        <v>51</v>
      </c>
      <c r="K10" s="50" t="s">
        <v>55</v>
      </c>
      <c r="L10" s="50" t="s">
        <v>57</v>
      </c>
      <c r="M10" s="50" t="s">
        <v>59</v>
      </c>
      <c r="N10" s="50" t="s">
        <v>61</v>
      </c>
      <c r="O10" s="51" t="s">
        <v>62</v>
      </c>
    </row>
    <row r="11" spans="1:16" ht="24.95" customHeight="1" thickBot="1" x14ac:dyDescent="0.35">
      <c r="A11" s="33"/>
      <c r="B11" s="64" t="s">
        <v>15</v>
      </c>
      <c r="C11" s="106">
        <f>INDEX(ПланираниЗаОфис[],MATCH(INDEX(РазликиЗаОфис[],ROW()-ROW(РазликиЗаОфис[[#Headers],[Янр]]),1),INDEX(ПланираниЗаОфис[],,1),0),MATCH(РазликиЗаОфис[[#Headers],[Янр]],ПланираниЗаОфис[#Headers],0))-INDEX(ДействителиЗаОфис[],MATCH(INDEX(РазликиЗаОфис[],ROW()-ROW(РазликиЗаОфис[[#Headers],[Янр]]),1),INDEX(ПланираниЗаОфис[],,1),0),MATCH(РазликиЗаОфис[[#Headers],[Янр]],ДействителиЗаОфис[#Headers],0))</f>
        <v>0</v>
      </c>
      <c r="D11" s="106">
        <f>INDEX(ПланираниЗаОфис[],MATCH(INDEX(РазликиЗаОфис[],ROW()-ROW(РазликиЗаОфис[[#Headers],[Фев]]),1),INDEX(ПланираниЗаОфис[],,1),0),MATCH(РазликиЗаОфис[[#Headers],[Фев]],ПланираниЗаОфис[#Headers],0))-INDEX(ДействителиЗаОфис[],MATCH(INDEX(РазликиЗаОфис[],ROW()-ROW(РазликиЗаОфис[[#Headers],[Фев]]),1),INDEX(ПланираниЗаОфис[],,1),0),MATCH(РазликиЗаОфис[[#Headers],[Фев]],ДействителиЗаОфис[#Headers],0))</f>
        <v>0</v>
      </c>
      <c r="E11" s="106">
        <f>INDEX(ПланираниЗаОфис[],MATCH(INDEX(РазликиЗаОфис[],ROW()-ROW(РазликиЗаОфис[[#Headers],[Мар]]),1),INDEX(ПланираниЗаОфис[],,1),0),MATCH(РазликиЗаОфис[[#Headers],[Мар]],ПланираниЗаОфис[#Headers],0))-INDEX(ДействителиЗаОфис[],MATCH(INDEX(РазликиЗаОфис[],ROW()-ROW(РазликиЗаОфис[[#Headers],[Мар]]),1),INDEX(ПланираниЗаОфис[],,1),0),MATCH(РазликиЗаОфис[[#Headers],[Мар]],ДействителиЗаОфис[#Headers],0))</f>
        <v>0</v>
      </c>
      <c r="F11" s="106">
        <f>INDEX(ПланираниЗаОфис[],MATCH(INDEX(РазликиЗаОфис[],ROW()-ROW(РазликиЗаОфис[[#Headers],[Апр]]),1),INDEX(ПланираниЗаОфис[],,1),0),MATCH(РазликиЗаОфис[[#Headers],[Апр]],ПланираниЗаОфис[#Headers],0))-INDEX(ДействителиЗаОфис[],MATCH(INDEX(РазликиЗаОфис[],ROW()-ROW(РазликиЗаОфис[[#Headers],[Апр]]),1),INDEX(ПланираниЗаОфис[],,1),0),MATCH(РазликиЗаОфис[[#Headers],[Апр]],ДействителиЗаОфис[#Headers],0))</f>
        <v>0</v>
      </c>
      <c r="G11" s="106">
        <f>INDEX(ПланираниЗаОфис[],MATCH(INDEX(РазликиЗаОфис[],ROW()-ROW(РазликиЗаОфис[[#Headers],[Май]]),1),INDEX(ПланираниЗаОфис[],,1),0),MATCH(РазликиЗаОфис[[#Headers],[Май]],ПланираниЗаОфис[#Headers],0))-INDEX(ДействителиЗаОфис[],MATCH(INDEX(РазликиЗаОфис[],ROW()-ROW(РазликиЗаОфис[[#Headers],[Май]]),1),INDEX(ПланираниЗаОфис[],,1),0),MATCH(РазликиЗаОфис[[#Headers],[Май]],ДействителиЗаОфис[#Headers],0))</f>
        <v>0</v>
      </c>
      <c r="H11" s="106">
        <f>INDEX(ПланираниЗаОфис[],MATCH(INDEX(РазликиЗаОфис[],ROW()-ROW(РазликиЗаОфис[[#Headers],[Юни]]),1),INDEX(ПланираниЗаОфис[],,1),0),MATCH(РазликиЗаОфис[[#Headers],[Юни]],ПланираниЗаОфис[#Headers],0))-INDEX(ДействителиЗаОфис[],MATCH(INDEX(РазликиЗаОфис[],ROW()-ROW(РазликиЗаОфис[[#Headers],[Юни]]),1),INDEX(ПланираниЗаОфис[],,1),0),MATCH(РазликиЗаОфис[[#Headers],[Юни]],ДействителиЗаОфис[#Headers],0))</f>
        <v>0</v>
      </c>
      <c r="I11" s="106">
        <f>INDEX(ПланираниЗаОфис[],MATCH(INDEX(РазликиЗаОфис[],ROW()-ROW(РазликиЗаОфис[[#Headers],[Юли]]),1),INDEX(ПланираниЗаОфис[],,1),0),MATCH(РазликиЗаОфис[[#Headers],[Юли]],ПланираниЗаОфис[#Headers],0))-INDEX(ДействителиЗаОфис[],MATCH(INDEX(РазликиЗаОфис[],ROW()-ROW(РазликиЗаОфис[[#Headers],[Юли]]),1),INDEX(ПланираниЗаОфис[],,1),0),MATCH(РазликиЗаОфис[[#Headers],[Юли]],ДействителиЗаОфис[#Headers],0))</f>
        <v>9800</v>
      </c>
      <c r="J11" s="106">
        <f>INDEX(ПланираниЗаОфис[],MATCH(INDEX(РазликиЗаОфис[],ROW()-ROW(РазликиЗаОфис[[#Headers],[Авг]]),1),INDEX(ПланираниЗаОфис[],,1),0),MATCH(РазликиЗаОфис[[#Headers],[Авг]],ПланираниЗаОфис[#Headers],0))-INDEX(ДействителиЗаОфис[],MATCH(INDEX(РазликиЗаОфис[],ROW()-ROW(РазликиЗаОфис[[#Headers],[Авг]]),1),INDEX(ПланираниЗаОфис[],,1),0),MATCH(РазликиЗаОфис[[#Headers],[Авг]],ДействителиЗаОфис[#Headers],0))</f>
        <v>9800</v>
      </c>
      <c r="K11" s="106">
        <f>INDEX(ПланираниЗаОфис[],MATCH(INDEX(РазликиЗаОфис[],ROW()-ROW(РазликиЗаОфис[[#Headers],[Сеп]]),1),INDEX(ПланираниЗаОфис[],,1),0),MATCH(РазликиЗаОфис[[#Headers],[Сеп]],ПланираниЗаОфис[#Headers],0))-INDEX(ДействителиЗаОфис[],MATCH(INDEX(РазликиЗаОфис[],ROW()-ROW(РазликиЗаОфис[[#Headers],[Сеп]]),1),INDEX(ПланираниЗаОфис[],,1),0),MATCH(РазликиЗаОфис[[#Headers],[Сеп]],ДействителиЗаОфис[#Headers],0))</f>
        <v>9800</v>
      </c>
      <c r="L11" s="106">
        <f>INDEX(ПланираниЗаОфис[],MATCH(INDEX(РазликиЗаОфис[],ROW()-ROW(РазликиЗаОфис[[#Headers],[Окт]]),1),INDEX(ПланираниЗаОфис[],,1),0),MATCH(РазликиЗаОфис[[#Headers],[Окт]],ПланираниЗаОфис[#Headers],0))-INDEX(ДействителиЗаОфис[],MATCH(INDEX(РазликиЗаОфис[],ROW()-ROW(РазликиЗаОфис[[#Headers],[Окт]]),1),INDEX(ПланираниЗаОфис[],,1),0),MATCH(РазликиЗаОфис[[#Headers],[Окт]],ДействителиЗаОфис[#Headers],0))</f>
        <v>9800</v>
      </c>
      <c r="M11" s="106">
        <f>INDEX(ПланираниЗаОфис[],MATCH(INDEX(РазликиЗаОфис[],ROW()-ROW(РазликиЗаОфис[[#Headers],[Ное]]),1),INDEX(ПланираниЗаОфис[],,1),0),MATCH(РазликиЗаОфис[[#Headers],[Ное]],ПланираниЗаОфис[#Headers],0))-INDEX(ДействителиЗаОфис[],MATCH(INDEX(РазликиЗаОфис[],ROW()-ROW(РазликиЗаОфис[[#Headers],[Ное]]),1),INDEX(ПланираниЗаОфис[],,1),0),MATCH(РазликиЗаОфис[[#Headers],[Ное]],ДействителиЗаОфис[#Headers],0))</f>
        <v>9800</v>
      </c>
      <c r="N11" s="106">
        <f>INDEX(ПланираниЗаОфис[],MATCH(INDEX(РазликиЗаОфис[],ROW()-ROW(РазликиЗаОфис[[#Headers],[Дек]]),1),INDEX(ПланираниЗаОфис[],,1),0),MATCH(РазликиЗаОфис[[#Headers],[Дек]],ПланираниЗаОфис[#Headers],0))-INDEX(ДействителиЗаОфис[],MATCH(INDEX(РазликиЗаОфис[],ROW()-ROW(РазликиЗаОфис[[#Headers],[Дек]]),1),INDEX(ПланираниЗаОфис[],,1),0),MATCH(РазликиЗаОфис[[#Headers],[Дек]],ДействителиЗаОфис[#Headers],0))</f>
        <v>9800</v>
      </c>
      <c r="O11" s="107">
        <f>SUM(РазликиЗаОфис[[#This Row],[Янр]:[Дек]])</f>
        <v>58800</v>
      </c>
    </row>
    <row r="12" spans="1:16" ht="24.95" customHeight="1" thickBot="1" x14ac:dyDescent="0.35">
      <c r="A12" s="33"/>
      <c r="B12" s="64" t="s">
        <v>16</v>
      </c>
      <c r="C12" s="106">
        <f>INDEX(ПланираниЗаОфис[],MATCH(INDEX(РазликиЗаОфис[],ROW()-ROW(РазликиЗаОфис[[#Headers],[Янр]]),1),INDEX(ПланираниЗаОфис[],,1),0),MATCH(РазликиЗаОфис[[#Headers],[Янр]],ПланираниЗаОфис[#Headers],0))-INDEX(ДействителиЗаОфис[],MATCH(INDEX(РазликиЗаОфис[],ROW()-ROW(РазликиЗаОфис[[#Headers],[Янр]]),1),INDEX(ПланираниЗаОфис[],,1),0),MATCH(РазликиЗаОфис[[#Headers],[Янр]],ДействителиЗаОфис[#Headers],0))</f>
        <v>-4</v>
      </c>
      <c r="D12" s="106">
        <f>INDEX(ПланираниЗаОфис[],MATCH(INDEX(РазликиЗаОфис[],ROW()-ROW(РазликиЗаОфис[[#Headers],[Фев]]),1),INDEX(ПланираниЗаОфис[],,1),0),MATCH(РазликиЗаОфис[[#Headers],[Фев]],ПланираниЗаОфис[#Headers],0))-INDEX(ДействителиЗаОфис[],MATCH(INDEX(РазликиЗаОфис[],ROW()-ROW(РазликиЗаОфис[[#Headers],[Фев]]),1),INDEX(ПланираниЗаОфис[],,1),0),MATCH(РазликиЗаОфис[[#Headers],[Фев]],ДействителиЗаОфис[#Headers],0))</f>
        <v>-30</v>
      </c>
      <c r="E12" s="106">
        <f>INDEX(ПланираниЗаОфис[],MATCH(INDEX(РазликиЗаОфис[],ROW()-ROW(РазликиЗаОфис[[#Headers],[Мар]]),1),INDEX(ПланираниЗаОфис[],,1),0),MATCH(РазликиЗаОфис[[#Headers],[Мар]],ПланираниЗаОфис[#Headers],0))-INDEX(ДействителиЗаОфис[],MATCH(INDEX(РазликиЗаОфис[],ROW()-ROW(РазликиЗаОфис[[#Headers],[Мар]]),1),INDEX(ПланираниЗаОфис[],,1),0),MATCH(РазликиЗаОфис[[#Headers],[Мар]],ДействителиЗаОфис[#Headers],0))</f>
        <v>15</v>
      </c>
      <c r="F12" s="106">
        <f>INDEX(ПланираниЗаОфис[],MATCH(INDEX(РазликиЗаОфис[],ROW()-ROW(РазликиЗаОфис[[#Headers],[Апр]]),1),INDEX(ПланираниЗаОфис[],,1),0),MATCH(РазликиЗаОфис[[#Headers],[Апр]],ПланираниЗаОфис[#Headers],0))-INDEX(ДействителиЗаОфис[],MATCH(INDEX(РазликиЗаОфис[],ROW()-ROW(РазликиЗаОфис[[#Headers],[Апр]]),1),INDEX(ПланираниЗаОфис[],,1),0),MATCH(РазликиЗаОфис[[#Headers],[Апр]],ДействителиЗаОфис[#Headers],0))</f>
        <v>-130</v>
      </c>
      <c r="G12" s="106">
        <f>INDEX(ПланираниЗаОфис[],MATCH(INDEX(РазликиЗаОфис[],ROW()-ROW(РазликиЗаОфис[[#Headers],[Май]]),1),INDEX(ПланираниЗаОфис[],,1),0),MATCH(РазликиЗаОфис[[#Headers],[Май]],ПланираниЗаОфис[#Headers],0))-INDEX(ДействителиЗаОфис[],MATCH(INDEX(РазликиЗаОфис[],ROW()-ROW(РазликиЗаОфис[[#Headers],[Май]]),1),INDEX(ПланираниЗаОфис[],,1),0),MATCH(РазликиЗаОфис[[#Headers],[Май]],ДействителиЗаОфис[#Headers],0))</f>
        <v>13</v>
      </c>
      <c r="H12" s="106">
        <f>INDEX(ПланираниЗаОфис[],MATCH(INDEX(РазликиЗаОфис[],ROW()-ROW(РазликиЗаОфис[[#Headers],[Юни]]),1),INDEX(ПланираниЗаОфис[],,1),0),MATCH(РазликиЗаОфис[[#Headers],[Юни]],ПланираниЗаОфис[#Headers],0))-INDEX(ДействителиЗаОфис[],MATCH(INDEX(РазликиЗаОфис[],ROW()-ROW(РазликиЗаОфис[[#Headers],[Юни]]),1),INDEX(ПланираниЗаОфис[],,1),0),MATCH(РазликиЗаОфис[[#Headers],[Юни]],ДействителиЗаОфис[#Headers],0))</f>
        <v>12</v>
      </c>
      <c r="I12" s="106">
        <f>INDEX(ПланираниЗаОфис[],MATCH(INDEX(РазликиЗаОфис[],ROW()-ROW(РазликиЗаОфис[[#Headers],[Юли]]),1),INDEX(ПланираниЗаОфис[],,1),0),MATCH(РазликиЗаОфис[[#Headers],[Юли]],ПланираниЗаОфис[#Headers],0))-INDEX(ДействителиЗаОфис[],MATCH(INDEX(РазликиЗаОфис[],ROW()-ROW(РазликиЗаОфис[[#Headers],[Юли]]),1),INDEX(ПланираниЗаОфис[],,1),0),MATCH(РазликиЗаОфис[[#Headers],[Юли]],ДействителиЗаОфис[#Headers],0))</f>
        <v>100</v>
      </c>
      <c r="J12" s="106">
        <f>INDEX(ПланираниЗаОфис[],MATCH(INDEX(РазликиЗаОфис[],ROW()-ROW(РазликиЗаОфис[[#Headers],[Авг]]),1),INDEX(ПланираниЗаОфис[],,1),0),MATCH(РазликиЗаОфис[[#Headers],[Авг]],ПланираниЗаОфис[#Headers],0))-INDEX(ДействителиЗаОфис[],MATCH(INDEX(РазликиЗаОфис[],ROW()-ROW(РазликиЗаОфис[[#Headers],[Авг]]),1),INDEX(ПланираниЗаОфис[],,1),0),MATCH(РазликиЗаОфис[[#Headers],[Авг]],ДействителиЗаОфис[#Headers],0))</f>
        <v>100</v>
      </c>
      <c r="K12" s="106">
        <f>INDEX(ПланираниЗаОфис[],MATCH(INDEX(РазликиЗаОфис[],ROW()-ROW(РазликиЗаОфис[[#Headers],[Сеп]]),1),INDEX(ПланираниЗаОфис[],,1),0),MATCH(РазликиЗаОфис[[#Headers],[Сеп]],ПланираниЗаОфис[#Headers],0))-INDEX(ДействителиЗаОфис[],MATCH(INDEX(РазликиЗаОфис[],ROW()-ROW(РазликиЗаОфис[[#Headers],[Сеп]]),1),INDEX(ПланираниЗаОфис[],,1),0),MATCH(РазликиЗаОфис[[#Headers],[Сеп]],ДействителиЗаОфис[#Headers],0))</f>
        <v>100</v>
      </c>
      <c r="L12" s="106">
        <f>INDEX(ПланираниЗаОфис[],MATCH(INDEX(РазликиЗаОфис[],ROW()-ROW(РазликиЗаОфис[[#Headers],[Окт]]),1),INDEX(ПланираниЗаОфис[],,1),0),MATCH(РазликиЗаОфис[[#Headers],[Окт]],ПланираниЗаОфис[#Headers],0))-INDEX(ДействителиЗаОфис[],MATCH(INDEX(РазликиЗаОфис[],ROW()-ROW(РазликиЗаОфис[[#Headers],[Окт]]),1),INDEX(ПланираниЗаОфис[],,1),0),MATCH(РазликиЗаОфис[[#Headers],[Окт]],ДействителиЗаОфис[#Headers],0))</f>
        <v>100</v>
      </c>
      <c r="M12" s="106">
        <f>INDEX(ПланираниЗаОфис[],MATCH(INDEX(РазликиЗаОфис[],ROW()-ROW(РазликиЗаОфис[[#Headers],[Ное]]),1),INDEX(ПланираниЗаОфис[],,1),0),MATCH(РазликиЗаОфис[[#Headers],[Ное]],ПланираниЗаОфис[#Headers],0))-INDEX(ДействителиЗаОфис[],MATCH(INDEX(РазликиЗаОфис[],ROW()-ROW(РазликиЗаОфис[[#Headers],[Ное]]),1),INDEX(ПланираниЗаОфис[],,1),0),MATCH(РазликиЗаОфис[[#Headers],[Ное]],ДействителиЗаОфис[#Headers],0))</f>
        <v>400</v>
      </c>
      <c r="N12" s="106">
        <f>INDEX(ПланираниЗаОфис[],MATCH(INDEX(РазликиЗаОфис[],ROW()-ROW(РазликиЗаОфис[[#Headers],[Дек]]),1),INDEX(ПланираниЗаОфис[],,1),0),MATCH(РазликиЗаОфис[[#Headers],[Дек]],ПланираниЗаОфис[#Headers],0))-INDEX(ДействителиЗаОфис[],MATCH(INDEX(РазликиЗаОфис[],ROW()-ROW(РазликиЗаОфис[[#Headers],[Дек]]),1),INDEX(ПланираниЗаОфис[],,1),0),MATCH(РазликиЗаОфис[[#Headers],[Дек]],ДействителиЗаОфис[#Headers],0))</f>
        <v>400</v>
      </c>
      <c r="O12" s="107">
        <f>SUM(РазликиЗаОфис[[#This Row],[Янр]:[Дек]])</f>
        <v>1076</v>
      </c>
    </row>
    <row r="13" spans="1:16" ht="24.95" customHeight="1" thickBot="1" x14ac:dyDescent="0.35">
      <c r="A13" s="33"/>
      <c r="B13" s="64" t="s">
        <v>17</v>
      </c>
      <c r="C13" s="106">
        <f>INDEX(ПланираниЗаОфис[],MATCH(INDEX(РазликиЗаОфис[],ROW()-ROW(РазликиЗаОфис[[#Headers],[Янр]]),1),INDEX(ПланираниЗаОфис[],,1),0),MATCH(РазликиЗаОфис[[#Headers],[Янр]],ПланираниЗаОфис[#Headers],0))-INDEX(ДействителиЗаОфис[],MATCH(INDEX(РазликиЗаОфис[],ROW()-ROW(РазликиЗаОфис[[#Headers],[Янр]]),1),INDEX(ПланираниЗаОфис[],,1),0),MATCH(РазликиЗаОфис[[#Headers],[Янр]],ДействителиЗаОфис[#Headers],0))</f>
        <v>12</v>
      </c>
      <c r="D13" s="106">
        <f>INDEX(ПланираниЗаОфис[],MATCH(INDEX(РазликиЗаОфис[],ROW()-ROW(РазликиЗаОфис[[#Headers],[Фев]]),1),INDEX(ПланираниЗаОфис[],,1),0),MATCH(РазликиЗаОфис[[#Headers],[Фев]],ПланираниЗаОфис[#Headers],0))-INDEX(ДействителиЗаОфис[],MATCH(INDEX(РазликиЗаОфис[],ROW()-ROW(РазликиЗаОфис[[#Headers],[Фев]]),1),INDEX(ПланираниЗаОфис[],,1),0),MATCH(РазликиЗаОфис[[#Headers],[Фев]],ДействителиЗаОфис[#Headers],0))</f>
        <v>22</v>
      </c>
      <c r="E13" s="106">
        <f>INDEX(ПланираниЗаОфис[],MATCH(INDEX(РазликиЗаОфис[],ROW()-ROW(РазликиЗаОфис[[#Headers],[Мар]]),1),INDEX(ПланираниЗаОфис[],,1),0),MATCH(РазликиЗаОфис[[#Headers],[Мар]],ПланираниЗаОфис[#Headers],0))-INDEX(ДействителиЗаОфис[],MATCH(INDEX(РазликиЗаОфис[],ROW()-ROW(РазликиЗаОфис[[#Headers],[Мар]]),1),INDEX(ПланираниЗаОфис[],,1),0),MATCH(РазликиЗаОфис[[#Headers],[Мар]],ДействителиЗаОфис[#Headers],0))</f>
        <v>32</v>
      </c>
      <c r="F13" s="106">
        <f>INDEX(ПланираниЗаОфис[],MATCH(INDEX(РазликиЗаОфис[],ROW()-ROW(РазликиЗаОфис[[#Headers],[Апр]]),1),INDEX(ПланираниЗаОфис[],,1),0),MATCH(РазликиЗаОфис[[#Headers],[Апр]],ПланираниЗаОфис[#Headers],0))-INDEX(ДействителиЗаОфис[],MATCH(INDEX(РазликиЗаОфис[],ROW()-ROW(РазликиЗаОфис[[#Headers],[Апр]]),1),INDEX(ПланираниЗаОфис[],,1),0),MATCH(РазликиЗаОфис[[#Headers],[Апр]],ДействителиЗаОфис[#Headers],0))</f>
        <v>1</v>
      </c>
      <c r="G13" s="106">
        <f>INDEX(ПланираниЗаОфис[],MATCH(INDEX(РазликиЗаОфис[],ROW()-ROW(РазликиЗаОфис[[#Headers],[Май]]),1),INDEX(ПланираниЗаОфис[],,1),0),MATCH(РазликиЗаОфис[[#Headers],[Май]],ПланираниЗаОфис[#Headers],0))-INDEX(ДействителиЗаОфис[],MATCH(INDEX(РазликиЗаОфис[],ROW()-ROW(РазликиЗаОфис[[#Headers],[Май]]),1),INDEX(ПланираниЗаОфис[],,1),0),MATCH(РазликиЗаОфис[[#Headers],[Май]],ДействителиЗаОфис[#Headers],0))</f>
        <v>-6</v>
      </c>
      <c r="H13" s="106">
        <f>INDEX(ПланираниЗаОфис[],MATCH(INDEX(РазликиЗаОфис[],ROW()-ROW(РазликиЗаОфис[[#Headers],[Юни]]),1),INDEX(ПланираниЗаОфис[],,1),0),MATCH(РазликиЗаОфис[[#Headers],[Юни]],ПланираниЗаОфис[#Headers],0))-INDEX(ДействителиЗаОфис[],MATCH(INDEX(РазликиЗаОфис[],ROW()-ROW(РазликиЗаОфис[[#Headers],[Юни]]),1),INDEX(ПланираниЗаОфис[],,1),0),MATCH(РазликиЗаОфис[[#Headers],[Юни]],ДействителиЗаОфис[#Headers],0))</f>
        <v>10</v>
      </c>
      <c r="I13" s="106">
        <f>INDEX(ПланираниЗаОфис[],MATCH(INDEX(РазликиЗаОфис[],ROW()-ROW(РазликиЗаОфис[[#Headers],[Юли]]),1),INDEX(ПланираниЗаОфис[],,1),0),MATCH(РазликиЗаОфис[[#Headers],[Юли]],ПланираниЗаОфис[#Headers],0))-INDEX(ДействителиЗаОфис[],MATCH(INDEX(РазликиЗаОфис[],ROW()-ROW(РазликиЗаОфис[[#Headers],[Юли]]),1),INDEX(ПланираниЗаОфис[],,1),0),MATCH(РазликиЗаОфис[[#Headers],[Юли]],ДействителиЗаОфис[#Headers],0))</f>
        <v>300</v>
      </c>
      <c r="J13" s="106">
        <f>INDEX(ПланираниЗаОфис[],MATCH(INDEX(РазликиЗаОфис[],ROW()-ROW(РазликиЗаОфис[[#Headers],[Авг]]),1),INDEX(ПланираниЗаОфис[],,1),0),MATCH(РазликиЗаОфис[[#Headers],[Авг]],ПланираниЗаОфис[#Headers],0))-INDEX(ДействителиЗаОфис[],MATCH(INDEX(РазликиЗаОфис[],ROW()-ROW(РазликиЗаОфис[[#Headers],[Авг]]),1),INDEX(ПланираниЗаОфис[],,1),0),MATCH(РазликиЗаОфис[[#Headers],[Авг]],ДействителиЗаОфис[#Headers],0))</f>
        <v>300</v>
      </c>
      <c r="K13" s="106">
        <f>INDEX(ПланираниЗаОфис[],MATCH(INDEX(РазликиЗаОфис[],ROW()-ROW(РазликиЗаОфис[[#Headers],[Сеп]]),1),INDEX(ПланираниЗаОфис[],,1),0),MATCH(РазликиЗаОфис[[#Headers],[Сеп]],ПланираниЗаОфис[#Headers],0))-INDEX(ДействителиЗаОфис[],MATCH(INDEX(РазликиЗаОфис[],ROW()-ROW(РазликиЗаОфис[[#Headers],[Сеп]]),1),INDEX(ПланираниЗаОфис[],,1),0),MATCH(РазликиЗаОфис[[#Headers],[Сеп]],ДействителиЗаОфис[#Headers],0))</f>
        <v>300</v>
      </c>
      <c r="L13" s="106">
        <f>INDEX(ПланираниЗаОфис[],MATCH(INDEX(РазликиЗаОфис[],ROW()-ROW(РазликиЗаОфис[[#Headers],[Окт]]),1),INDEX(ПланираниЗаОфис[],,1),0),MATCH(РазликиЗаОфис[[#Headers],[Окт]],ПланираниЗаОфис[#Headers],0))-INDEX(ДействителиЗаОфис[],MATCH(INDEX(РазликиЗаОфис[],ROW()-ROW(РазликиЗаОфис[[#Headers],[Окт]]),1),INDEX(ПланираниЗаОфис[],,1),0),MATCH(РазликиЗаОфис[[#Headers],[Окт]],ДействителиЗаОфис[#Headers],0))</f>
        <v>300</v>
      </c>
      <c r="M13" s="106">
        <f>INDEX(ПланираниЗаОфис[],MATCH(INDEX(РазликиЗаОфис[],ROW()-ROW(РазликиЗаОфис[[#Headers],[Ное]]),1),INDEX(ПланираниЗаОфис[],,1),0),MATCH(РазликиЗаОфис[[#Headers],[Ное]],ПланираниЗаОфис[#Headers],0))-INDEX(ДействителиЗаОфис[],MATCH(INDEX(РазликиЗаОфис[],ROW()-ROW(РазликиЗаОфис[[#Headers],[Ное]]),1),INDEX(ПланираниЗаОфис[],,1),0),MATCH(РазликиЗаОфис[[#Headers],[Ное]],ДействителиЗаОфис[#Headers],0))</f>
        <v>300</v>
      </c>
      <c r="N13" s="106">
        <f>INDEX(ПланираниЗаОфис[],MATCH(INDEX(РазликиЗаОфис[],ROW()-ROW(РазликиЗаОфис[[#Headers],[Дек]]),1),INDEX(ПланираниЗаОфис[],,1),0),MATCH(РазликиЗаОфис[[#Headers],[Дек]],ПланираниЗаОфис[#Headers],0))-INDEX(ДействителиЗаОфис[],MATCH(INDEX(РазликиЗаОфис[],ROW()-ROW(РазликиЗаОфис[[#Headers],[Дек]]),1),INDEX(ПланираниЗаОфис[],,1),0),MATCH(РазликиЗаОфис[[#Headers],[Дек]],ДействителиЗаОфис[#Headers],0))</f>
        <v>300</v>
      </c>
      <c r="O13" s="107">
        <f>SUM(РазликиЗаОфис[[#This Row],[Янр]:[Дек]])</f>
        <v>1871</v>
      </c>
    </row>
    <row r="14" spans="1:16" ht="24.95" customHeight="1" thickBot="1" x14ac:dyDescent="0.35">
      <c r="A14" s="33"/>
      <c r="B14" s="64" t="s">
        <v>18</v>
      </c>
      <c r="C14" s="106">
        <f>INDEX(ПланираниЗаОфис[],MATCH(INDEX(РазликиЗаОфис[],ROW()-ROW(РазликиЗаОфис[[#Headers],[Янр]]),1),INDEX(ПланираниЗаОфис[],,1),0),MATCH(РазликиЗаОфис[[#Headers],[Янр]],ПланираниЗаОфис[#Headers],0))-INDEX(ДействителиЗаОфис[],MATCH(INDEX(РазликиЗаОфис[],ROW()-ROW(РазликиЗаОфис[[#Headers],[Янр]]),1),INDEX(ПланираниЗаОфис[],,1),0),MATCH(РазликиЗаОфис[[#Headers],[Янр]],ДействителиЗаОфис[#Headers],0))</f>
        <v>5</v>
      </c>
      <c r="D14" s="106">
        <f>INDEX(ПланираниЗаОфис[],MATCH(INDEX(РазликиЗаОфис[],ROW()-ROW(РазликиЗаОфис[[#Headers],[Фев]]),1),INDEX(ПланираниЗаОфис[],,1),0),MATCH(РазликиЗаОфис[[#Headers],[Фев]],ПланираниЗаОфис[#Headers],0))-INDEX(ДействителиЗаОфис[],MATCH(INDEX(РазликиЗаОфис[],ROW()-ROW(РазликиЗаОфис[[#Headers],[Фев]]),1),INDEX(ПланираниЗаОфис[],,1),0),MATCH(РазликиЗаОфис[[#Headers],[Фев]],ДействителиЗаОфис[#Headers],0))</f>
        <v>7</v>
      </c>
      <c r="E14" s="106">
        <f>INDEX(ПланираниЗаОфис[],MATCH(INDEX(РазликиЗаОфис[],ROW()-ROW(РазликиЗаОфис[[#Headers],[Мар]]),1),INDEX(ПланираниЗаОфис[],,1),0),MATCH(РазликиЗаОфис[[#Headers],[Мар]],ПланираниЗаОфис[#Headers],0))-INDEX(ДействителиЗаОфис[],MATCH(INDEX(РазликиЗаОфис[],ROW()-ROW(РазликиЗаОфис[[#Headers],[Мар]]),1),INDEX(ПланираниЗаОфис[],,1),0),MATCH(РазликиЗаОфис[[#Headers],[Мар]],ДействителиЗаОфис[#Headers],0))</f>
        <v>6</v>
      </c>
      <c r="F14" s="106">
        <f>INDEX(ПланираниЗаОфис[],MATCH(INDEX(РазликиЗаОфис[],ROW()-ROW(РазликиЗаОфис[[#Headers],[Апр]]),1),INDEX(ПланираниЗаОфис[],,1),0),MATCH(РазликиЗаОфис[[#Headers],[Апр]],ПланираниЗаОфис[#Headers],0))-INDEX(ДействителиЗаОфис[],MATCH(INDEX(РазликиЗаОфис[],ROW()-ROW(РазликиЗаОфис[[#Headers],[Апр]]),1),INDEX(ПланираниЗаОфис[],,1),0),MATCH(РазликиЗаОфис[[#Headers],[Апр]],ДействителиЗаОфис[#Headers],0))</f>
        <v>4</v>
      </c>
      <c r="G14" s="106">
        <f>INDEX(ПланираниЗаОфис[],MATCH(INDEX(РазликиЗаОфис[],ROW()-ROW(РазликиЗаОфис[[#Headers],[Май]]),1),INDEX(ПланираниЗаОфис[],,1),0),MATCH(РазликиЗаОфис[[#Headers],[Май]],ПланираниЗаОфис[#Headers],0))-INDEX(ДействителиЗаОфис[],MATCH(INDEX(РазликиЗаОфис[],ROW()-ROW(РазликиЗаОфис[[#Headers],[Май]]),1),INDEX(ПланираниЗаОфис[],,1),0),MATCH(РазликиЗаОфис[[#Headers],[Май]],ДействителиЗаОфис[#Headers],0))</f>
        <v>6</v>
      </c>
      <c r="H14" s="106">
        <f>INDEX(ПланираниЗаОфис[],MATCH(INDEX(РазликиЗаОфис[],ROW()-ROW(РазликиЗаОфис[[#Headers],[Юни]]),1),INDEX(ПланираниЗаОфис[],,1),0),MATCH(РазликиЗаОфис[[#Headers],[Юни]],ПланираниЗаОфис[#Headers],0))-INDEX(ДействителиЗаОфис[],MATCH(INDEX(РазликиЗаОфис[],ROW()-ROW(РазликиЗаОфис[[#Headers],[Юни]]),1),INDEX(ПланираниЗаОфис[],,1),0),MATCH(РазликиЗаОфис[[#Headers],[Юни]],ДействителиЗаОфис[#Headers],0))</f>
        <v>4</v>
      </c>
      <c r="I14" s="106">
        <f>INDEX(ПланираниЗаОфис[],MATCH(INDEX(РазликиЗаОфис[],ROW()-ROW(РазликиЗаОфис[[#Headers],[Юли]]),1),INDEX(ПланираниЗаОфис[],,1),0),MATCH(РазликиЗаОфис[[#Headers],[Юли]],ПланираниЗаОфис[#Headers],0))-INDEX(ДействителиЗаОфис[],MATCH(INDEX(РазликиЗаОфис[],ROW()-ROW(РазликиЗаОфис[[#Headers],[Юли]]),1),INDEX(ПланираниЗаОфис[],,1),0),MATCH(РазликиЗаОфис[[#Headers],[Юли]],ДействителиЗаОфис[#Headers],0))</f>
        <v>40</v>
      </c>
      <c r="J14" s="106">
        <f>INDEX(ПланираниЗаОфис[],MATCH(INDEX(РазликиЗаОфис[],ROW()-ROW(РазликиЗаОфис[[#Headers],[Авг]]),1),INDEX(ПланираниЗаОфис[],,1),0),MATCH(РазликиЗаОфис[[#Headers],[Авг]],ПланираниЗаОфис[#Headers],0))-INDEX(ДействителиЗаОфис[],MATCH(INDEX(РазликиЗаОфис[],ROW()-ROW(РазликиЗаОфис[[#Headers],[Авг]]),1),INDEX(ПланираниЗаОфис[],,1),0),MATCH(РазликиЗаОфис[[#Headers],[Авг]],ДействителиЗаОфис[#Headers],0))</f>
        <v>40</v>
      </c>
      <c r="K14" s="106">
        <f>INDEX(ПланираниЗаОфис[],MATCH(INDEX(РазликиЗаОфис[],ROW()-ROW(РазликиЗаОфис[[#Headers],[Сеп]]),1),INDEX(ПланираниЗаОфис[],,1),0),MATCH(РазликиЗаОфис[[#Headers],[Сеп]],ПланираниЗаОфис[#Headers],0))-INDEX(ДействителиЗаОфис[],MATCH(INDEX(РазликиЗаОфис[],ROW()-ROW(РазликиЗаОфис[[#Headers],[Сеп]]),1),INDEX(ПланираниЗаОфис[],,1),0),MATCH(РазликиЗаОфис[[#Headers],[Сеп]],ДействителиЗаОфис[#Headers],0))</f>
        <v>40</v>
      </c>
      <c r="L14" s="106">
        <f>INDEX(ПланираниЗаОфис[],MATCH(INDEX(РазликиЗаОфис[],ROW()-ROW(РазликиЗаОфис[[#Headers],[Окт]]),1),INDEX(ПланираниЗаОфис[],,1),0),MATCH(РазликиЗаОфис[[#Headers],[Окт]],ПланираниЗаОфис[#Headers],0))-INDEX(ДействителиЗаОфис[],MATCH(INDEX(РазликиЗаОфис[],ROW()-ROW(РазликиЗаОфис[[#Headers],[Окт]]),1),INDEX(ПланираниЗаОфис[],,1),0),MATCH(РазликиЗаОфис[[#Headers],[Окт]],ДействителиЗаОфис[#Headers],0))</f>
        <v>40</v>
      </c>
      <c r="M14" s="106">
        <f>INDEX(ПланираниЗаОфис[],MATCH(INDEX(РазликиЗаОфис[],ROW()-ROW(РазликиЗаОфис[[#Headers],[Ное]]),1),INDEX(ПланираниЗаОфис[],,1),0),MATCH(РазликиЗаОфис[[#Headers],[Ное]],ПланираниЗаОфис[#Headers],0))-INDEX(ДействителиЗаОфис[],MATCH(INDEX(РазликиЗаОфис[],ROW()-ROW(РазликиЗаОфис[[#Headers],[Ное]]),1),INDEX(ПланираниЗаОфис[],,1),0),MATCH(РазликиЗаОфис[[#Headers],[Ное]],ДействителиЗаОфис[#Headers],0))</f>
        <v>40</v>
      </c>
      <c r="N14" s="106">
        <f>INDEX(ПланираниЗаОфис[],MATCH(INDEX(РазликиЗаОфис[],ROW()-ROW(РазликиЗаОфис[[#Headers],[Дек]]),1),INDEX(ПланираниЗаОфис[],,1),0),MATCH(РазликиЗаОфис[[#Headers],[Дек]],ПланираниЗаОфис[#Headers],0))-INDEX(ДействителиЗаОфис[],MATCH(INDEX(РазликиЗаОфис[],ROW()-ROW(РазликиЗаОфис[[#Headers],[Дек]]),1),INDEX(ПланираниЗаОфис[],,1),0),MATCH(РазликиЗаОфис[[#Headers],[Дек]],ДействителиЗаОфис[#Headers],0))</f>
        <v>40</v>
      </c>
      <c r="O14" s="107">
        <f>SUM(РазликиЗаОфис[[#This Row],[Янр]:[Дек]])</f>
        <v>272</v>
      </c>
    </row>
    <row r="15" spans="1:16" ht="24.95" customHeight="1" thickBot="1" x14ac:dyDescent="0.35">
      <c r="A15" s="33"/>
      <c r="B15" s="64" t="s">
        <v>19</v>
      </c>
      <c r="C15" s="106">
        <f>INDEX(ПланираниЗаОфис[],MATCH(INDEX(РазликиЗаОфис[],ROW()-ROW(РазликиЗаОфис[[#Headers],[Янр]]),1),INDEX(ПланираниЗаОфис[],,1),0),MATCH(РазликиЗаОфис[[#Headers],[Янр]],ПланираниЗаОфис[#Headers],0))-INDEX(ДействителиЗаОфис[],MATCH(INDEX(РазликиЗаОфис[],ROW()-ROW(РазликиЗаОфис[[#Headers],[Янр]]),1),INDEX(ПланираниЗаОфис[],,1),0),MATCH(РазликиЗаОфис[[#Headers],[Янр]],ДействителиЗаОфис[#Headers],0))</f>
        <v>26</v>
      </c>
      <c r="D15" s="106">
        <f>INDEX(ПланираниЗаОфис[],MATCH(INDEX(РазликиЗаОфис[],ROW()-ROW(РазликиЗаОфис[[#Headers],[Фев]]),1),INDEX(ПланираниЗаОфис[],,1),0),MATCH(РазликиЗаОфис[[#Headers],[Фев]],ПланираниЗаОфис[#Headers],0))-INDEX(ДействителиЗаОфис[],MATCH(INDEX(РазликиЗаОфис[],ROW()-ROW(РазликиЗаОфис[[#Headers],[Фев]]),1),INDEX(ПланираниЗаОфис[],,1),0),MATCH(РазликиЗаОфис[[#Headers],[Фев]],ДействителиЗаОфис[#Headers],0))</f>
        <v>15</v>
      </c>
      <c r="E15" s="106">
        <f>INDEX(ПланираниЗаОфис[],MATCH(INDEX(РазликиЗаОфис[],ROW()-ROW(РазликиЗаОфис[[#Headers],[Мар]]),1),INDEX(ПланираниЗаОфис[],,1),0),MATCH(РазликиЗаОфис[[#Headers],[Мар]],ПланираниЗаОфис[#Headers],0))-INDEX(ДействителиЗаОфис[],MATCH(INDEX(РазликиЗаОфис[],ROW()-ROW(РазликиЗаОфис[[#Headers],[Мар]]),1),INDEX(ПланираниЗаОфис[],,1),0),MATCH(РазликиЗаОфис[[#Headers],[Мар]],ДействителиЗаОфис[#Headers],0))</f>
        <v>-15</v>
      </c>
      <c r="F15" s="106">
        <f>INDEX(ПланираниЗаОфис[],MATCH(INDEX(РазликиЗаОфис[],ROW()-ROW(РазликиЗаОфис[[#Headers],[Апр]]),1),INDEX(ПланираниЗаОфис[],,1),0),MATCH(РазликиЗаОфис[[#Headers],[Апр]],ПланираниЗаОфис[#Headers],0))-INDEX(ДействителиЗаОфис[],MATCH(INDEX(РазликиЗаОфис[],ROW()-ROW(РазликиЗаОфис[[#Headers],[Апр]]),1),INDEX(ПланираниЗаОфис[],,1),0),MATCH(РазликиЗаОфис[[#Headers],[Апр]],ДействителиЗаОфис[#Headers],0))</f>
        <v>5</v>
      </c>
      <c r="G15" s="106">
        <f>INDEX(ПланираниЗаОфис[],MATCH(INDEX(РазликиЗаОфис[],ROW()-ROW(РазликиЗаОфис[[#Headers],[Май]]),1),INDEX(ПланираниЗаОфис[],,1),0),MATCH(РазликиЗаОфис[[#Headers],[Май]],ПланираниЗаОфис[#Headers],0))-INDEX(ДействителиЗаОфис[],MATCH(INDEX(РазликиЗаОфис[],ROW()-ROW(РазликиЗаОфис[[#Headers],[Май]]),1),INDEX(ПланираниЗаОфис[],,1),0),MATCH(РазликиЗаОфис[[#Headers],[Май]],ДействителиЗаОфис[#Headers],0))</f>
        <v>5</v>
      </c>
      <c r="H15" s="106">
        <f>INDEX(ПланираниЗаОфис[],MATCH(INDEX(РазликиЗаОфис[],ROW()-ROW(РазликиЗаОфис[[#Headers],[Юни]]),1),INDEX(ПланираниЗаОфис[],,1),0),MATCH(РазликиЗаОфис[[#Headers],[Юни]],ПланираниЗаОфис[#Headers],0))-INDEX(ДействителиЗаОфис[],MATCH(INDEX(РазликиЗаОфис[],ROW()-ROW(РазликиЗаОфис[[#Headers],[Юни]]),1),INDEX(ПланираниЗаОфис[],,1),0),MATCH(РазликиЗаОфис[[#Headers],[Юни]],ДействителиЗаОфис[#Headers],0))</f>
        <v>30</v>
      </c>
      <c r="I15" s="106">
        <f>INDEX(ПланираниЗаОфис[],MATCH(INDEX(РазликиЗаОфис[],ROW()-ROW(РазликиЗаОфис[[#Headers],[Юли]]),1),INDEX(ПланираниЗаОфис[],,1),0),MATCH(РазликиЗаОфис[[#Headers],[Юли]],ПланираниЗаОфис[#Headers],0))-INDEX(ДействителиЗаОфис[],MATCH(INDEX(РазликиЗаОфис[],ROW()-ROW(РазликиЗаОфис[[#Headers],[Юли]]),1),INDEX(ПланираниЗаОфис[],,1),0),MATCH(РазликиЗаОфис[[#Headers],[Юли]],ДействителиЗаОфис[#Headers],0))</f>
        <v>250</v>
      </c>
      <c r="J15" s="106">
        <f>INDEX(ПланираниЗаОфис[],MATCH(INDEX(РазликиЗаОфис[],ROW()-ROW(РазликиЗаОфис[[#Headers],[Авг]]),1),INDEX(ПланираниЗаОфис[],,1),0),MATCH(РазликиЗаОфис[[#Headers],[Авг]],ПланираниЗаОфис[#Headers],0))-INDEX(ДействителиЗаОфис[],MATCH(INDEX(РазликиЗаОфис[],ROW()-ROW(РазликиЗаОфис[[#Headers],[Авг]]),1),INDEX(ПланираниЗаОфис[],,1),0),MATCH(РазликиЗаОфис[[#Headers],[Авг]],ДействителиЗаОфис[#Headers],0))</f>
        <v>250</v>
      </c>
      <c r="K15" s="106">
        <f>INDEX(ПланираниЗаОфис[],MATCH(INDEX(РазликиЗаОфис[],ROW()-ROW(РазликиЗаОфис[[#Headers],[Сеп]]),1),INDEX(ПланираниЗаОфис[],,1),0),MATCH(РазликиЗаОфис[[#Headers],[Сеп]],ПланираниЗаОфис[#Headers],0))-INDEX(ДействителиЗаОфис[],MATCH(INDEX(РазликиЗаОфис[],ROW()-ROW(РазликиЗаОфис[[#Headers],[Сеп]]),1),INDEX(ПланираниЗаОфис[],,1),0),MATCH(РазликиЗаОфис[[#Headers],[Сеп]],ДействителиЗаОфис[#Headers],0))</f>
        <v>250</v>
      </c>
      <c r="L15" s="106">
        <f>INDEX(ПланираниЗаОфис[],MATCH(INDEX(РазликиЗаОфис[],ROW()-ROW(РазликиЗаОфис[[#Headers],[Окт]]),1),INDEX(ПланираниЗаОфис[],,1),0),MATCH(РазликиЗаОфис[[#Headers],[Окт]],ПланираниЗаОфис[#Headers],0))-INDEX(ДействителиЗаОфис[],MATCH(INDEX(РазликиЗаОфис[],ROW()-ROW(РазликиЗаОфис[[#Headers],[Окт]]),1),INDEX(ПланираниЗаОфис[],,1),0),MATCH(РазликиЗаОфис[[#Headers],[Окт]],ДействителиЗаОфис[#Headers],0))</f>
        <v>250</v>
      </c>
      <c r="M15" s="106">
        <f>INDEX(ПланираниЗаОфис[],MATCH(INDEX(РазликиЗаОфис[],ROW()-ROW(РазликиЗаОфис[[#Headers],[Ное]]),1),INDEX(ПланираниЗаОфис[],,1),0),MATCH(РазликиЗаОфис[[#Headers],[Ное]],ПланираниЗаОфис[#Headers],0))-INDEX(ДействителиЗаОфис[],MATCH(INDEX(РазликиЗаОфис[],ROW()-ROW(РазликиЗаОфис[[#Headers],[Ное]]),1),INDEX(ПланираниЗаОфис[],,1),0),MATCH(РазликиЗаОфис[[#Headers],[Ное]],ДействителиЗаОфис[#Headers],0))</f>
        <v>250</v>
      </c>
      <c r="N15" s="106">
        <f>INDEX(ПланираниЗаОфис[],MATCH(INDEX(РазликиЗаОфис[],ROW()-ROW(РазликиЗаОфис[[#Headers],[Дек]]),1),INDEX(ПланираниЗаОфис[],,1),0),MATCH(РазликиЗаОфис[[#Headers],[Дек]],ПланираниЗаОфис[#Headers],0))-INDEX(ДействителиЗаОфис[],MATCH(INDEX(РазликиЗаОфис[],ROW()-ROW(РазликиЗаОфис[[#Headers],[Дек]]),1),INDEX(ПланираниЗаОфис[],,1),0),MATCH(РазликиЗаОфис[[#Headers],[Дек]],ДействителиЗаОфис[#Headers],0))</f>
        <v>250</v>
      </c>
      <c r="O15" s="107">
        <f>SUM(РазликиЗаОфис[[#This Row],[Янр]:[Дек]])</f>
        <v>1566</v>
      </c>
    </row>
    <row r="16" spans="1:16" ht="24.95" customHeight="1" thickBot="1" x14ac:dyDescent="0.35">
      <c r="A16" s="33"/>
      <c r="B16" s="64" t="s">
        <v>20</v>
      </c>
      <c r="C16" s="106">
        <f>INDEX(ПланираниЗаОфис[],MATCH(INDEX(РазликиЗаОфис[],ROW()-ROW(РазликиЗаОфис[[#Headers],[Янр]]),1),INDEX(ПланираниЗаОфис[],,1),0),MATCH(РазликиЗаОфис[[#Headers],[Янр]],ПланираниЗаОфис[#Headers],0))-INDEX(ДействителиЗаОфис[],MATCH(INDEX(РазликиЗаОфис[],ROW()-ROW(РазликиЗаОфис[[#Headers],[Янр]]),1),INDEX(ПланираниЗаОфис[],,1),0),MATCH(РазликиЗаОфис[[#Headers],[Янр]],ДействителиЗаОфис[#Headers],0))</f>
        <v>0</v>
      </c>
      <c r="D16" s="106">
        <f>INDEX(ПланираниЗаОфис[],MATCH(INDEX(РазликиЗаОфис[],ROW()-ROW(РазликиЗаОфис[[#Headers],[Фев]]),1),INDEX(ПланираниЗаОфис[],,1),0),MATCH(РазликиЗаОфис[[#Headers],[Фев]],ПланираниЗаОфис[#Headers],0))-INDEX(ДействителиЗаОфис[],MATCH(INDEX(РазликиЗаОфис[],ROW()-ROW(РазликиЗаОфис[[#Headers],[Фев]]),1),INDEX(ПланираниЗаОфис[],,1),0),MATCH(РазликиЗаОфис[[#Headers],[Фев]],ДействителиЗаОфис[#Headers],0))</f>
        <v>0</v>
      </c>
      <c r="E16" s="106">
        <f>INDEX(ПланираниЗаОфис[],MATCH(INDEX(РазликиЗаОфис[],ROW()-ROW(РазликиЗаОфис[[#Headers],[Мар]]),1),INDEX(ПланираниЗаОфис[],,1),0),MATCH(РазликиЗаОфис[[#Headers],[Мар]],ПланираниЗаОфис[#Headers],0))-INDEX(ДействителиЗаОфис[],MATCH(INDEX(РазликиЗаОфис[],ROW()-ROW(РазликиЗаОфис[[#Headers],[Мар]]),1),INDEX(ПланираниЗаОфис[],,1),0),MATCH(РазликиЗаОфис[[#Headers],[Мар]],ДействителиЗаОфис[#Headers],0))</f>
        <v>0</v>
      </c>
      <c r="F16" s="106">
        <f>INDEX(ПланираниЗаОфис[],MATCH(INDEX(РазликиЗаОфис[],ROW()-ROW(РазликиЗаОфис[[#Headers],[Апр]]),1),INDEX(ПланираниЗаОфис[],,1),0),MATCH(РазликиЗаОфис[[#Headers],[Апр]],ПланираниЗаОфис[#Headers],0))-INDEX(ДействителиЗаОфис[],MATCH(INDEX(РазликиЗаОфис[],ROW()-ROW(РазликиЗаОфис[[#Headers],[Апр]]),1),INDEX(ПланираниЗаОфис[],,1),0),MATCH(РазликиЗаОфис[[#Headers],[Апр]],ДействителиЗаОфис[#Headers],0))</f>
        <v>0</v>
      </c>
      <c r="G16" s="106">
        <f>INDEX(ПланираниЗаОфис[],MATCH(INDEX(РазликиЗаОфис[],ROW()-ROW(РазликиЗаОфис[[#Headers],[Май]]),1),INDEX(ПланираниЗаОфис[],,1),0),MATCH(РазликиЗаОфис[[#Headers],[Май]],ПланираниЗаОфис[#Headers],0))-INDEX(ДействителиЗаОфис[],MATCH(INDEX(РазликиЗаОфис[],ROW()-ROW(РазликиЗаОфис[[#Headers],[Май]]),1),INDEX(ПланираниЗаОфис[],,1),0),MATCH(РазликиЗаОфис[[#Headers],[Май]],ДействителиЗаОфис[#Headers],0))</f>
        <v>0</v>
      </c>
      <c r="H16" s="106">
        <f>INDEX(ПланираниЗаОфис[],MATCH(INDEX(РазликиЗаОфис[],ROW()-ROW(РазликиЗаОфис[[#Headers],[Юни]]),1),INDEX(ПланираниЗаОфис[],,1),0),MATCH(РазликиЗаОфис[[#Headers],[Юни]],ПланираниЗаОфис[#Headers],0))-INDEX(ДействителиЗаОфис[],MATCH(INDEX(РазликиЗаОфис[],ROW()-ROW(РазликиЗаОфис[[#Headers],[Юни]]),1),INDEX(ПланираниЗаОфис[],,1),0),MATCH(РазликиЗаОфис[[#Headers],[Юни]],ДействителиЗаОфис[#Headers],0))</f>
        <v>0</v>
      </c>
      <c r="I16" s="106">
        <f>INDEX(ПланираниЗаОфис[],MATCH(INDEX(РазликиЗаОфис[],ROW()-ROW(РазликиЗаОфис[[#Headers],[Юли]]),1),INDEX(ПланираниЗаОфис[],,1),0),MATCH(РазликиЗаОфис[[#Headers],[Юли]],ПланираниЗаОфис[#Headers],0))-INDEX(ДействителиЗаОфис[],MATCH(INDEX(РазликиЗаОфис[],ROW()-ROW(РазликиЗаОфис[[#Headers],[Юли]]),1),INDEX(ПланираниЗаОфис[],,1),0),MATCH(РазликиЗаОфис[[#Headers],[Юли]],ДействителиЗаОфис[#Headers],0))</f>
        <v>180</v>
      </c>
      <c r="J16" s="106">
        <f>INDEX(ПланираниЗаОфис[],MATCH(INDEX(РазликиЗаОфис[],ROW()-ROW(РазликиЗаОфис[[#Headers],[Авг]]),1),INDEX(ПланираниЗаОфис[],,1),0),MATCH(РазликиЗаОфис[[#Headers],[Авг]],ПланираниЗаОфис[#Headers],0))-INDEX(ДействителиЗаОфис[],MATCH(INDEX(РазликиЗаОфис[],ROW()-ROW(РазликиЗаОфис[[#Headers],[Авг]]),1),INDEX(ПланираниЗаОфис[],,1),0),MATCH(РазликиЗаОфис[[#Headers],[Авг]],ДействителиЗаОфис[#Headers],0))</f>
        <v>180</v>
      </c>
      <c r="K16" s="106">
        <f>INDEX(ПланираниЗаОфис[],MATCH(INDEX(РазликиЗаОфис[],ROW()-ROW(РазликиЗаОфис[[#Headers],[Сеп]]),1),INDEX(ПланираниЗаОфис[],,1),0),MATCH(РазликиЗаОфис[[#Headers],[Сеп]],ПланираниЗаОфис[#Headers],0))-INDEX(ДействителиЗаОфис[],MATCH(INDEX(РазликиЗаОфис[],ROW()-ROW(РазликиЗаОфис[[#Headers],[Сеп]]),1),INDEX(ПланираниЗаОфис[],,1),0),MATCH(РазликиЗаОфис[[#Headers],[Сеп]],ДействителиЗаОфис[#Headers],0))</f>
        <v>180</v>
      </c>
      <c r="L16" s="106">
        <f>INDEX(ПланираниЗаОфис[],MATCH(INDEX(РазликиЗаОфис[],ROW()-ROW(РазликиЗаОфис[[#Headers],[Окт]]),1),INDEX(ПланираниЗаОфис[],,1),0),MATCH(РазликиЗаОфис[[#Headers],[Окт]],ПланираниЗаОфис[#Headers],0))-INDEX(ДействителиЗаОфис[],MATCH(INDEX(РазликиЗаОфис[],ROW()-ROW(РазликиЗаОфис[[#Headers],[Окт]]),1),INDEX(ПланираниЗаОфис[],,1),0),MATCH(РазликиЗаОфис[[#Headers],[Окт]],ДействителиЗаОфис[#Headers],0))</f>
        <v>180</v>
      </c>
      <c r="M16" s="106">
        <f>INDEX(ПланираниЗаОфис[],MATCH(INDEX(РазликиЗаОфис[],ROW()-ROW(РазликиЗаОфис[[#Headers],[Ное]]),1),INDEX(ПланираниЗаОфис[],,1),0),MATCH(РазликиЗаОфис[[#Headers],[Ное]],ПланираниЗаОфис[#Headers],0))-INDEX(ДействителиЗаОфис[],MATCH(INDEX(РазликиЗаОфис[],ROW()-ROW(РазликиЗаОфис[[#Headers],[Ное]]),1),INDEX(ПланираниЗаОфис[],,1),0),MATCH(РазликиЗаОфис[[#Headers],[Ное]],ДействителиЗаОфис[#Headers],0))</f>
        <v>180</v>
      </c>
      <c r="N16" s="106">
        <f>INDEX(ПланираниЗаОфис[],MATCH(INDEX(РазликиЗаОфис[],ROW()-ROW(РазликиЗаОфис[[#Headers],[Дек]]),1),INDEX(ПланираниЗаОфис[],,1),0),MATCH(РазликиЗаОфис[[#Headers],[Дек]],ПланираниЗаОфис[#Headers],0))-INDEX(ДействителиЗаОфис[],MATCH(INDEX(РазликиЗаОфис[],ROW()-ROW(РазликиЗаОфис[[#Headers],[Дек]]),1),INDEX(ПланираниЗаОфис[],,1),0),MATCH(РазликиЗаОфис[[#Headers],[Дек]],ДействителиЗаОфис[#Headers],0))</f>
        <v>180</v>
      </c>
      <c r="O16" s="107">
        <f>SUM(РазликиЗаОфис[[#This Row],[Янр]:[Дек]])</f>
        <v>1080</v>
      </c>
    </row>
    <row r="17" spans="1:15" ht="24.95" customHeight="1" thickBot="1" x14ac:dyDescent="0.35">
      <c r="A17" s="33"/>
      <c r="B17" s="64" t="s">
        <v>21</v>
      </c>
      <c r="C17" s="106">
        <f>INDEX(ПланираниЗаОфис[],MATCH(INDEX(РазликиЗаОфис[],ROW()-ROW(РазликиЗаОфис[[#Headers],[Янр]]),1),INDEX(ПланираниЗаОфис[],,1),0),MATCH(РазликиЗаОфис[[#Headers],[Янр]],ПланираниЗаОфис[#Headers],0))-INDEX(ДействителиЗаОфис[],MATCH(INDEX(РазликиЗаОфис[],ROW()-ROW(РазликиЗаОфис[[#Headers],[Янр]]),1),INDEX(ПланираниЗаОфис[],,1),0),MATCH(РазликиЗаОфис[[#Headers],[Янр]],ДействителиЗаОфис[#Headers],0))</f>
        <v>-56</v>
      </c>
      <c r="D17" s="106">
        <f>INDEX(ПланираниЗаОфис[],MATCH(INDEX(РазликиЗаОфис[],ROW()-ROW(РазликиЗаОфис[[#Headers],[Фев]]),1),INDEX(ПланираниЗаОфис[],,1),0),MATCH(РазликиЗаОфис[[#Headers],[Фев]],ПланираниЗаОфис[#Headers],0))-INDEX(ДействителиЗаОфис[],MATCH(INDEX(РазликиЗаОфис[],ROW()-ROW(РазликиЗаОфис[[#Headers],[Фев]]),1),INDEX(ПланираниЗаОфис[],,1),0),MATCH(РазликиЗаОфис[[#Headers],[Фев]],ДействителиЗаОфис[#Headers],0))</f>
        <v>58</v>
      </c>
      <c r="E17" s="106">
        <f>INDEX(ПланираниЗаОфис[],MATCH(INDEX(РазликиЗаОфис[],ROW()-ROW(РазликиЗаОфис[[#Headers],[Мар]]),1),INDEX(ПланираниЗаОфис[],,1),0),MATCH(РазликиЗаОфис[[#Headers],[Мар]],ПланираниЗаОфис[#Headers],0))-INDEX(ДействителиЗаОфис[],MATCH(INDEX(РазликиЗаОфис[],ROW()-ROW(РазликиЗаОфис[[#Headers],[Мар]]),1),INDEX(ПланираниЗаОфис[],,1),0),MATCH(РазликиЗаОфис[[#Headers],[Мар]],ДействителиЗаОфис[#Headers],0))</f>
        <v>40</v>
      </c>
      <c r="F17" s="106">
        <f>INDEX(ПланираниЗаОфис[],MATCH(INDEX(РазликиЗаОфис[],ROW()-ROW(РазликиЗаОфис[[#Headers],[Апр]]),1),INDEX(ПланираниЗаОфис[],,1),0),MATCH(РазликиЗаОфис[[#Headers],[Апр]],ПланираниЗаОфис[#Headers],0))-INDEX(ДействителиЗаОфис[],MATCH(INDEX(РазликиЗаОфис[],ROW()-ROW(РазликиЗаОфис[[#Headers],[Апр]]),1),INDEX(ПланираниЗаОфис[],,1),0),MATCH(РазликиЗаОфис[[#Headers],[Апр]],ДействителиЗаОфис[#Headers],0))</f>
        <v>-21</v>
      </c>
      <c r="G17" s="106">
        <f>INDEX(ПланираниЗаОфис[],MATCH(INDEX(РазликиЗаОфис[],ROW()-ROW(РазликиЗаОфис[[#Headers],[Май]]),1),INDEX(ПланираниЗаОфис[],,1),0),MATCH(РазликиЗаОфис[[#Headers],[Май]],ПланираниЗаОфис[#Headers],0))-INDEX(ДействителиЗаОфис[],MATCH(INDEX(РазликиЗаОфис[],ROW()-ROW(РазликиЗаОфис[[#Headers],[Май]]),1),INDEX(ПланираниЗаОфис[],,1),0),MATCH(РазликиЗаОфис[[#Headers],[Май]],ДействителиЗаОфис[#Headers],0))</f>
        <v>-56</v>
      </c>
      <c r="H17" s="106">
        <f>INDEX(ПланираниЗаОфис[],MATCH(INDEX(РазликиЗаОфис[],ROW()-ROW(РазликиЗаОфис[[#Headers],[Юни]]),1),INDEX(ПланираниЗаОфис[],,1),0),MATCH(РазликиЗаОфис[[#Headers],[Юни]],ПланираниЗаОфис[#Headers],0))-INDEX(ДействителиЗаОфис[],MATCH(INDEX(РазликиЗаОфис[],ROW()-ROW(РазликиЗаОфис[[#Headers],[Юни]]),1),INDEX(ПланираниЗаОфис[],,1),0),MATCH(РазликиЗаОфис[[#Headers],[Юни]],ДействителиЗаОфис[#Headers],0))</f>
        <v>-40</v>
      </c>
      <c r="I17" s="106">
        <f>INDEX(ПланираниЗаОфис[],MATCH(INDEX(РазликиЗаОфис[],ROW()-ROW(РазликиЗаОфис[[#Headers],[Юли]]),1),INDEX(ПланираниЗаОфис[],,1),0),MATCH(РазликиЗаОфис[[#Headers],[Юли]],ПланираниЗаОфис[#Headers],0))-INDEX(ДействителиЗаОфис[],MATCH(INDEX(РазликиЗаОфис[],ROW()-ROW(РазликиЗаОфис[[#Headers],[Юли]]),1),INDEX(ПланираниЗаОфис[],,1),0),MATCH(РазликиЗаОфис[[#Headers],[Юли]],ДействителиЗаОфис[#Headers],0))</f>
        <v>200</v>
      </c>
      <c r="J17" s="106">
        <f>INDEX(ПланираниЗаОфис[],MATCH(INDEX(РазликиЗаОфис[],ROW()-ROW(РазликиЗаОфис[[#Headers],[Авг]]),1),INDEX(ПланираниЗаОфис[],,1),0),MATCH(РазликиЗаОфис[[#Headers],[Авг]],ПланираниЗаОфис[#Headers],0))-INDEX(ДействителиЗаОфис[],MATCH(INDEX(РазликиЗаОфис[],ROW()-ROW(РазликиЗаОфис[[#Headers],[Авг]]),1),INDEX(ПланираниЗаОфис[],,1),0),MATCH(РазликиЗаОфис[[#Headers],[Авг]],ДействителиЗаОфис[#Headers],0))</f>
        <v>200</v>
      </c>
      <c r="K17" s="106">
        <f>INDEX(ПланираниЗаОфис[],MATCH(INDEX(РазликиЗаОфис[],ROW()-ROW(РазликиЗаОфис[[#Headers],[Сеп]]),1),INDEX(ПланираниЗаОфис[],,1),0),MATCH(РазликиЗаОфис[[#Headers],[Сеп]],ПланираниЗаОфис[#Headers],0))-INDEX(ДействителиЗаОфис[],MATCH(INDEX(РазликиЗаОфис[],ROW()-ROW(РазликиЗаОфис[[#Headers],[Сеп]]),1),INDEX(ПланираниЗаОфис[],,1),0),MATCH(РазликиЗаОфис[[#Headers],[Сеп]],ДействителиЗаОфис[#Headers],0))</f>
        <v>200</v>
      </c>
      <c r="L17" s="106">
        <f>INDEX(ПланираниЗаОфис[],MATCH(INDEX(РазликиЗаОфис[],ROW()-ROW(РазликиЗаОфис[[#Headers],[Окт]]),1),INDEX(ПланираниЗаОфис[],,1),0),MATCH(РазликиЗаОфис[[#Headers],[Окт]],ПланираниЗаОфис[#Headers],0))-INDEX(ДействителиЗаОфис[],MATCH(INDEX(РазликиЗаОфис[],ROW()-ROW(РазликиЗаОфис[[#Headers],[Окт]]),1),INDEX(ПланираниЗаОфис[],,1),0),MATCH(РазликиЗаОфис[[#Headers],[Окт]],ДействителиЗаОфис[#Headers],0))</f>
        <v>200</v>
      </c>
      <c r="M17" s="106">
        <f>INDEX(ПланираниЗаОфис[],MATCH(INDEX(РазликиЗаОфис[],ROW()-ROW(РазликиЗаОфис[[#Headers],[Ное]]),1),INDEX(ПланираниЗаОфис[],,1),0),MATCH(РазликиЗаОфис[[#Headers],[Ное]],ПланираниЗаОфис[#Headers],0))-INDEX(ДействителиЗаОфис[],MATCH(INDEX(РазликиЗаОфис[],ROW()-ROW(РазликиЗаОфис[[#Headers],[Ное]]),1),INDEX(ПланираниЗаОфис[],,1),0),MATCH(РазликиЗаОфис[[#Headers],[Ное]],ДействителиЗаОфис[#Headers],0))</f>
        <v>200</v>
      </c>
      <c r="N17" s="106">
        <f>INDEX(ПланираниЗаОфис[],MATCH(INDEX(РазликиЗаОфис[],ROW()-ROW(РазликиЗаОфис[[#Headers],[Дек]]),1),INDEX(ПланираниЗаОфис[],,1),0),MATCH(РазликиЗаОфис[[#Headers],[Дек]],ПланираниЗаОфис[#Headers],0))-INDEX(ДействителиЗаОфис[],MATCH(INDEX(РазликиЗаОфис[],ROW()-ROW(РазликиЗаОфис[[#Headers],[Дек]]),1),INDEX(ПланираниЗаОфис[],,1),0),MATCH(РазликиЗаОфис[[#Headers],[Дек]],ДействителиЗаОфис[#Headers],0))</f>
        <v>200</v>
      </c>
      <c r="O17" s="107">
        <f>SUM(РазликиЗаОфис[[#This Row],[Янр]:[Дек]])</f>
        <v>1125</v>
      </c>
    </row>
    <row r="18" spans="1:15" ht="24.95" customHeight="1" thickBot="1" x14ac:dyDescent="0.35">
      <c r="A18" s="33"/>
      <c r="B18" s="64" t="s">
        <v>22</v>
      </c>
      <c r="C18" s="106">
        <f>INDEX(ПланираниЗаОфис[],MATCH(INDEX(РазликиЗаОфис[],ROW()-ROW(РазликиЗаОфис[[#Headers],[Янр]]),1),INDEX(ПланираниЗаОфис[],,1),0),MATCH(РазликиЗаОфис[[#Headers],[Янр]],ПланираниЗаОфис[#Headers],0))-INDEX(ДействителиЗаОфис[],MATCH(INDEX(РазликиЗаОфис[],ROW()-ROW(РазликиЗаОфис[[#Headers],[Янр]]),1),INDEX(ПланираниЗаОфис[],,1),0),MATCH(РазликиЗаОфис[[#Headers],[Янр]],ДействителиЗаОфис[#Headers],0))</f>
        <v>0</v>
      </c>
      <c r="D18" s="106">
        <f>INDEX(ПланираниЗаОфис[],MATCH(INDEX(РазликиЗаОфис[],ROW()-ROW(РазликиЗаОфис[[#Headers],[Фев]]),1),INDEX(ПланираниЗаОфис[],,1),0),MATCH(РазликиЗаОфис[[#Headers],[Фев]],ПланираниЗаОфис[#Headers],0))-INDEX(ДействителиЗаОфис[],MATCH(INDEX(РазликиЗаОфис[],ROW()-ROW(РазликиЗаОфис[[#Headers],[Фев]]),1),INDEX(ПланираниЗаОфис[],,1),0),MATCH(РазликиЗаОфис[[#Headers],[Фев]],ДействителиЗаОфис[#Headers],0))</f>
        <v>0</v>
      </c>
      <c r="E18" s="106">
        <f>INDEX(ПланираниЗаОфис[],MATCH(INDEX(РазликиЗаОфис[],ROW()-ROW(РазликиЗаОфис[[#Headers],[Мар]]),1),INDEX(ПланираниЗаОфис[],,1),0),MATCH(РазликиЗаОфис[[#Headers],[Мар]],ПланираниЗаОфис[#Headers],0))-INDEX(ДействителиЗаОфис[],MATCH(INDEX(РазликиЗаОфис[],ROW()-ROW(РазликиЗаОфис[[#Headers],[Мар]]),1),INDEX(ПланираниЗаОфис[],,1),0),MATCH(РазликиЗаОфис[[#Headers],[Мар]],ДействителиЗаОфис[#Headers],0))</f>
        <v>0</v>
      </c>
      <c r="F18" s="106">
        <f>INDEX(ПланираниЗаОфис[],MATCH(INDEX(РазликиЗаОфис[],ROW()-ROW(РазликиЗаОфис[[#Headers],[Апр]]),1),INDEX(ПланираниЗаОфис[],,1),0),MATCH(РазликиЗаОфис[[#Headers],[Апр]],ПланираниЗаОфис[#Headers],0))-INDEX(ДействителиЗаОфис[],MATCH(INDEX(РазликиЗаОфис[],ROW()-ROW(РазликиЗаОфис[[#Headers],[Апр]]),1),INDEX(ПланираниЗаОфис[],,1),0),MATCH(РазликиЗаОфис[[#Headers],[Апр]],ДействителиЗаОфис[#Headers],0))</f>
        <v>0</v>
      </c>
      <c r="G18" s="106">
        <f>INDEX(ПланираниЗаОфис[],MATCH(INDEX(РазликиЗаОфис[],ROW()-ROW(РазликиЗаОфис[[#Headers],[Май]]),1),INDEX(ПланираниЗаОфис[],,1),0),MATCH(РазликиЗаОфис[[#Headers],[Май]],ПланираниЗаОфис[#Headers],0))-INDEX(ДействителиЗаОфис[],MATCH(INDEX(РазликиЗаОфис[],ROW()-ROW(РазликиЗаОфис[[#Headers],[Май]]),1),INDEX(ПланираниЗаОфис[],,1),0),MATCH(РазликиЗаОфис[[#Headers],[Май]],ДействителиЗаОфис[#Headers],0))</f>
        <v>0</v>
      </c>
      <c r="H18" s="106">
        <f>INDEX(ПланираниЗаОфис[],MATCH(INDEX(РазликиЗаОфис[],ROW()-ROW(РазликиЗаОфис[[#Headers],[Юни]]),1),INDEX(ПланираниЗаОфис[],,1),0),MATCH(РазликиЗаОфис[[#Headers],[Юни]],ПланираниЗаОфис[#Headers],0))-INDEX(ДействителиЗаОфис[],MATCH(INDEX(РазликиЗаОфис[],ROW()-ROW(РазликиЗаОфис[[#Headers],[Юни]]),1),INDEX(ПланираниЗаОфис[],,1),0),MATCH(РазликиЗаОфис[[#Headers],[Юни]],ДействителиЗаОфис[#Headers],0))</f>
        <v>0</v>
      </c>
      <c r="I18" s="106">
        <f>INDEX(ПланираниЗаОфис[],MATCH(INDEX(РазликиЗаОфис[],ROW()-ROW(РазликиЗаОфис[[#Headers],[Юли]]),1),INDEX(ПланираниЗаОфис[],,1),0),MATCH(РазликиЗаОфис[[#Headers],[Юли]],ПланираниЗаОфис[#Headers],0))-INDEX(ДействителиЗаОфис[],MATCH(INDEX(РазликиЗаОфис[],ROW()-ROW(РазликиЗаОфис[[#Headers],[Юли]]),1),INDEX(ПланираниЗаОфис[],,1),0),MATCH(РазликиЗаОфис[[#Headers],[Юли]],ДействителиЗаОфис[#Headers],0))</f>
        <v>600</v>
      </c>
      <c r="J18" s="106">
        <f>INDEX(ПланираниЗаОфис[],MATCH(INDEX(РазликиЗаОфис[],ROW()-ROW(РазликиЗаОфис[[#Headers],[Авг]]),1),INDEX(ПланираниЗаОфис[],,1),0),MATCH(РазликиЗаОфис[[#Headers],[Авг]],ПланираниЗаОфис[#Headers],0))-INDEX(ДействителиЗаОфис[],MATCH(INDEX(РазликиЗаОфис[],ROW()-ROW(РазликиЗаОфис[[#Headers],[Авг]]),1),INDEX(ПланираниЗаОфис[],,1),0),MATCH(РазликиЗаОфис[[#Headers],[Авг]],ДействителиЗаОфис[#Headers],0))</f>
        <v>600</v>
      </c>
      <c r="K18" s="106">
        <f>INDEX(ПланираниЗаОфис[],MATCH(INDEX(РазликиЗаОфис[],ROW()-ROW(РазликиЗаОфис[[#Headers],[Сеп]]),1),INDEX(ПланираниЗаОфис[],,1),0),MATCH(РазликиЗаОфис[[#Headers],[Сеп]],ПланираниЗаОфис[#Headers],0))-INDEX(ДействителиЗаОфис[],MATCH(INDEX(РазликиЗаОфис[],ROW()-ROW(РазликиЗаОфис[[#Headers],[Сеп]]),1),INDEX(ПланираниЗаОфис[],,1),0),MATCH(РазликиЗаОфис[[#Headers],[Сеп]],ДействителиЗаОфис[#Headers],0))</f>
        <v>600</v>
      </c>
      <c r="L18" s="106">
        <f>INDEX(ПланираниЗаОфис[],MATCH(INDEX(РазликиЗаОфис[],ROW()-ROW(РазликиЗаОфис[[#Headers],[Окт]]),1),INDEX(ПланираниЗаОфис[],,1),0),MATCH(РазликиЗаОфис[[#Headers],[Окт]],ПланираниЗаОфис[#Headers],0))-INDEX(ДействителиЗаОфис[],MATCH(INDEX(РазликиЗаОфис[],ROW()-ROW(РазликиЗаОфис[[#Headers],[Окт]]),1),INDEX(ПланираниЗаОфис[],,1),0),MATCH(РазликиЗаОфис[[#Headers],[Окт]],ДействителиЗаОфис[#Headers],0))</f>
        <v>600</v>
      </c>
      <c r="M18" s="106">
        <f>INDEX(ПланираниЗаОфис[],MATCH(INDEX(РазликиЗаОфис[],ROW()-ROW(РазликиЗаОфис[[#Headers],[Ное]]),1),INDEX(ПланираниЗаОфис[],,1),0),MATCH(РазликиЗаОфис[[#Headers],[Ное]],ПланираниЗаОфис[#Headers],0))-INDEX(ДействителиЗаОфис[],MATCH(INDEX(РазликиЗаОфис[],ROW()-ROW(РазликиЗаОфис[[#Headers],[Ное]]),1),INDEX(ПланираниЗаОфис[],,1),0),MATCH(РазликиЗаОфис[[#Headers],[Ное]],ДействителиЗаОфис[#Headers],0))</f>
        <v>600</v>
      </c>
      <c r="N18" s="106">
        <f>INDEX(ПланираниЗаОфис[],MATCH(INDEX(РазликиЗаОфис[],ROW()-ROW(РазликиЗаОфис[[#Headers],[Дек]]),1),INDEX(ПланираниЗаОфис[],,1),0),MATCH(РазликиЗаОфис[[#Headers],[Дек]],ПланираниЗаОфис[#Headers],0))-INDEX(ДействителиЗаОфис[],MATCH(INDEX(РазликиЗаОфис[],ROW()-ROW(РазликиЗаОфис[[#Headers],[Дек]]),1),INDEX(ПланираниЗаОфис[],,1),0),MATCH(РазликиЗаОфис[[#Headers],[Дек]],ДействителиЗаОфис[#Headers],0))</f>
        <v>600</v>
      </c>
      <c r="O18" s="107">
        <f>SUM(РазликиЗаОфис[[#This Row],[Янр]:[Дек]])</f>
        <v>3600</v>
      </c>
    </row>
    <row r="19" spans="1:15" ht="24.95" customHeight="1" x14ac:dyDescent="0.3">
      <c r="A19" s="33"/>
      <c r="B19" s="76" t="s">
        <v>13</v>
      </c>
      <c r="C19" s="122">
        <f>SUBTOTAL(109,РазликиЗаОфис[Янр])</f>
        <v>-17</v>
      </c>
      <c r="D19" s="114">
        <f>SUBTOTAL(109,РазликиЗаОфис[Фев])</f>
        <v>72</v>
      </c>
      <c r="E19" s="114">
        <f>SUBTOTAL(109,РазликиЗаОфис[Мар])</f>
        <v>78</v>
      </c>
      <c r="F19" s="114">
        <f>SUBTOTAL(109,РазликиЗаОфис[Апр])</f>
        <v>-141</v>
      </c>
      <c r="G19" s="114">
        <f>SUBTOTAL(109,РазликиЗаОфис[Май])</f>
        <v>-38</v>
      </c>
      <c r="H19" s="114">
        <f>SUBTOTAL(109,РазликиЗаОфис[Юни])</f>
        <v>16</v>
      </c>
      <c r="I19" s="114">
        <f>SUBTOTAL(109,РазликиЗаОфис[Юли])</f>
        <v>11470</v>
      </c>
      <c r="J19" s="114">
        <f>SUBTOTAL(109,РазликиЗаОфис[Авг])</f>
        <v>11470</v>
      </c>
      <c r="K19" s="114">
        <f>SUBTOTAL(109,РазликиЗаОфис[Сеп])</f>
        <v>11470</v>
      </c>
      <c r="L19" s="114">
        <f>SUBTOTAL(109,РазликиЗаОфис[Окт])</f>
        <v>11470</v>
      </c>
      <c r="M19" s="114">
        <f>SUBTOTAL(109,РазликиЗаОфис[Ное])</f>
        <v>11770</v>
      </c>
      <c r="N19" s="114">
        <f>SUBTOTAL(109,РазликиЗаОфис[Дек])</f>
        <v>11770</v>
      </c>
      <c r="O19" s="115">
        <f>SUBTOTAL(109,РазликиЗаОфис[ГОДИНА])</f>
        <v>69390</v>
      </c>
    </row>
    <row r="20" spans="1:15" ht="21" customHeight="1" x14ac:dyDescent="0.3">
      <c r="A20" s="33"/>
      <c r="B20" s="84"/>
      <c r="C20" s="84"/>
      <c r="D20" s="3"/>
      <c r="E20" s="3"/>
      <c r="F20" s="5"/>
      <c r="G20" s="5"/>
      <c r="H20" s="5"/>
      <c r="I20" s="5"/>
      <c r="J20" s="5"/>
      <c r="K20" s="5"/>
      <c r="L20" s="5"/>
      <c r="M20" s="5"/>
      <c r="N20" s="5"/>
      <c r="O20" s="4"/>
    </row>
    <row r="21" spans="1:15" ht="24.95" customHeight="1" thickBot="1" x14ac:dyDescent="0.35">
      <c r="A21" s="33"/>
      <c r="B21" s="57" t="s">
        <v>23</v>
      </c>
      <c r="C21" s="50" t="s">
        <v>37</v>
      </c>
      <c r="D21" s="50" t="s">
        <v>39</v>
      </c>
      <c r="E21" s="93" t="s">
        <v>41</v>
      </c>
      <c r="F21" s="50" t="s">
        <v>43</v>
      </c>
      <c r="G21" s="50" t="s">
        <v>45</v>
      </c>
      <c r="H21" s="50" t="s">
        <v>47</v>
      </c>
      <c r="I21" s="50" t="s">
        <v>49</v>
      </c>
      <c r="J21" s="50" t="s">
        <v>51</v>
      </c>
      <c r="K21" s="50" t="s">
        <v>55</v>
      </c>
      <c r="L21" s="50" t="s">
        <v>57</v>
      </c>
      <c r="M21" s="50" t="s">
        <v>59</v>
      </c>
      <c r="N21" s="50" t="s">
        <v>61</v>
      </c>
      <c r="O21" s="51" t="s">
        <v>62</v>
      </c>
    </row>
    <row r="22" spans="1:15" ht="24.95" customHeight="1" thickBot="1" x14ac:dyDescent="0.35">
      <c r="A22" s="33"/>
      <c r="B22" s="64" t="s">
        <v>24</v>
      </c>
      <c r="C22" s="106">
        <f>INDEX(ПланираниЗаМаркетинг[],MATCH(INDEX(РазликиЗаМаркетинг[],ROW()-ROW(РазликиЗаМаркетинг[[#Headers],[Янр]]),1),INDEX(ПланираниЗаМаркетинг[],,1),0),MATCH(РазликиЗаМаркетинг[[#Headers],[Янр]],ПланираниЗаМаркетинг[#Headers],0))-INDEX(ДействителниЗаМаркетинг[],MATCH(INDEX(РазликиЗаМаркетинг[],ROW()-ROW(РазликиЗаМаркетинг[[#Headers],[Янр]]),1),INDEX(ПланираниЗаМаркетинг[],,1),0),MATCH(РазликиЗаМаркетинг[[#Headers],[Янр]],ДействителниЗаМаркетинг[#Headers],0))</f>
        <v>0</v>
      </c>
      <c r="D22" s="106">
        <f>INDEX(ПланираниЗаМаркетинг[],MATCH(INDEX(РазликиЗаМаркетинг[],ROW()-ROW(РазликиЗаМаркетинг[[#Headers],[Фев]]),1),INDEX(ПланираниЗаМаркетинг[],,1),0),MATCH(РазликиЗаМаркетинг[[#Headers],[Фев]],ПланираниЗаМаркетинг[#Headers],0))-INDEX(ДействителниЗаМаркетинг[],MATCH(INDEX(РазликиЗаМаркетинг[],ROW()-ROW(РазликиЗаМаркетинг[[#Headers],[Фев]]),1),INDEX(ПланираниЗаМаркетинг[],,1),0),MATCH(РазликиЗаМаркетинг[[#Headers],[Фев]],ДействителниЗаМаркетинг[#Headers],0))</f>
        <v>0</v>
      </c>
      <c r="E22" s="106">
        <f>INDEX(ПланираниЗаМаркетинг[],MATCH(INDEX(РазликиЗаМаркетинг[],ROW()-ROW(РазликиЗаМаркетинг[[#Headers],[Мар]]),1),INDEX(ПланираниЗаМаркетинг[],,1),0),MATCH(РазликиЗаМаркетинг[[#Headers],[Мар]],ПланираниЗаМаркетинг[#Headers],0))-INDEX(ДействителниЗаМаркетинг[],MATCH(INDEX(РазликиЗаМаркетинг[],ROW()-ROW(РазликиЗаМаркетинг[[#Headers],[Мар]]),1),INDEX(ПланираниЗаМаркетинг[],,1),0),MATCH(РазликиЗаМаркетинг[[#Headers],[Мар]],ДействителниЗаМаркетинг[#Headers],0))</f>
        <v>0</v>
      </c>
      <c r="F22" s="106">
        <f>INDEX(ПланираниЗаМаркетинг[],MATCH(INDEX(РазликиЗаМаркетинг[],ROW()-ROW(РазликиЗаМаркетинг[[#Headers],[Апр]]),1),INDEX(ПланираниЗаМаркетинг[],,1),0),MATCH(РазликиЗаМаркетинг[[#Headers],[Апр]],ПланираниЗаМаркетинг[#Headers],0))-INDEX(ДействителниЗаМаркетинг[],MATCH(INDEX(РазликиЗаМаркетинг[],ROW()-ROW(РазликиЗаМаркетинг[[#Headers],[Апр]]),1),INDEX(ПланираниЗаМаркетинг[],,1),0),MATCH(РазликиЗаМаркетинг[[#Headers],[Апр]],ДействителниЗаМаркетинг[#Headers],0))</f>
        <v>0</v>
      </c>
      <c r="G22" s="106">
        <f>INDEX(ПланираниЗаМаркетинг[],MATCH(INDEX(РазликиЗаМаркетинг[],ROW()-ROW(РазликиЗаМаркетинг[[#Headers],[Май]]),1),INDEX(ПланираниЗаМаркетинг[],,1),0),MATCH(РазликиЗаМаркетинг[[#Headers],[Май]],ПланираниЗаМаркетинг[#Headers],0))-INDEX(ДействителниЗаМаркетинг[],MATCH(INDEX(РазликиЗаМаркетинг[],ROW()-ROW(РазликиЗаМаркетинг[[#Headers],[Май]]),1),INDEX(ПланираниЗаМаркетинг[],,1),0),MATCH(РазликиЗаМаркетинг[[#Headers],[Май]],ДействителниЗаМаркетинг[#Headers],0))</f>
        <v>0</v>
      </c>
      <c r="H22" s="106">
        <f>INDEX(ПланираниЗаМаркетинг[],MATCH(INDEX(РазликиЗаМаркетинг[],ROW()-ROW(РазликиЗаМаркетинг[[#Headers],[Юни]]),1),INDEX(ПланираниЗаМаркетинг[],,1),0),MATCH(РазликиЗаМаркетинг[[#Headers],[Юни]],ПланираниЗаМаркетинг[#Headers],0))-INDEX(ДействителниЗаМаркетинг[],MATCH(INDEX(РазликиЗаМаркетинг[],ROW()-ROW(РазликиЗаМаркетинг[[#Headers],[Юни]]),1),INDEX(ПланираниЗаМаркетинг[],,1),0),MATCH(РазликиЗаМаркетинг[[#Headers],[Юни]],ДействителниЗаМаркетинг[#Headers],0))</f>
        <v>0</v>
      </c>
      <c r="I22" s="106">
        <f>INDEX(ПланираниЗаМаркетинг[],MATCH(INDEX(РазликиЗаМаркетинг[],ROW()-ROW(РазликиЗаМаркетинг[[#Headers],[Юли]]),1),INDEX(ПланираниЗаМаркетинг[],,1),0),MATCH(РазликиЗаМаркетинг[[#Headers],[Юли]],ПланираниЗаМаркетинг[#Headers],0))-INDEX(ДействителниЗаМаркетинг[],MATCH(INDEX(РазликиЗаМаркетинг[],ROW()-ROW(РазликиЗаМаркетинг[[#Headers],[Юли]]),1),INDEX(ПланираниЗаМаркетинг[],,1),0),MATCH(РазликиЗаМаркетинг[[#Headers],[Юли]],ДействителниЗаМаркетинг[#Headers],0))</f>
        <v>500</v>
      </c>
      <c r="J22" s="106">
        <f>INDEX(ПланираниЗаМаркетинг[],MATCH(INDEX(РазликиЗаМаркетинг[],ROW()-ROW(РазликиЗаМаркетинг[[#Headers],[Авг]]),1),INDEX(ПланираниЗаМаркетинг[],,1),0),MATCH(РазликиЗаМаркетинг[[#Headers],[Авг]],ПланираниЗаМаркетинг[#Headers],0))-INDEX(ДействителниЗаМаркетинг[],MATCH(INDEX(РазликиЗаМаркетинг[],ROW()-ROW(РазликиЗаМаркетинг[[#Headers],[Авг]]),1),INDEX(ПланираниЗаМаркетинг[],,1),0),MATCH(РазликиЗаМаркетинг[[#Headers],[Авг]],ДействителниЗаМаркетинг[#Headers],0))</f>
        <v>500</v>
      </c>
      <c r="K22" s="106">
        <f>INDEX(ПланираниЗаМаркетинг[],MATCH(INDEX(РазликиЗаМаркетинг[],ROW()-ROW(РазликиЗаМаркетинг[[#Headers],[Сеп]]),1),INDEX(ПланираниЗаМаркетинг[],,1),0),MATCH(РазликиЗаМаркетинг[[#Headers],[Сеп]],ПланираниЗаМаркетинг[#Headers],0))-INDEX(ДействителниЗаМаркетинг[],MATCH(INDEX(РазликиЗаМаркетинг[],ROW()-ROW(РазликиЗаМаркетинг[[#Headers],[Сеп]]),1),INDEX(ПланираниЗаМаркетинг[],,1),0),MATCH(РазликиЗаМаркетинг[[#Headers],[Сеп]],ДействителниЗаМаркетинг[#Headers],0))</f>
        <v>500</v>
      </c>
      <c r="L22" s="106">
        <f>INDEX(ПланираниЗаМаркетинг[],MATCH(INDEX(РазликиЗаМаркетинг[],ROW()-ROW(РазликиЗаМаркетинг[[#Headers],[Окт]]),1),INDEX(ПланираниЗаМаркетинг[],,1),0),MATCH(РазликиЗаМаркетинг[[#Headers],[Окт]],ПланираниЗаМаркетинг[#Headers],0))-INDEX(ДействителниЗаМаркетинг[],MATCH(INDEX(РазликиЗаМаркетинг[],ROW()-ROW(РазликиЗаМаркетинг[[#Headers],[Окт]]),1),INDEX(ПланираниЗаМаркетинг[],,1),0),MATCH(РазликиЗаМаркетинг[[#Headers],[Окт]],ДействителниЗаМаркетинг[#Headers],0))</f>
        <v>500</v>
      </c>
      <c r="M22" s="106">
        <f>INDEX(ПланираниЗаМаркетинг[],MATCH(INDEX(РазликиЗаМаркетинг[],ROW()-ROW(РазликиЗаМаркетинг[[#Headers],[Ное]]),1),INDEX(ПланираниЗаМаркетинг[],,1),0),MATCH(РазликиЗаМаркетинг[[#Headers],[Ное]],ПланираниЗаМаркетинг[#Headers],0))-INDEX(ДействителниЗаМаркетинг[],MATCH(INDEX(РазликиЗаМаркетинг[],ROW()-ROW(РазликиЗаМаркетинг[[#Headers],[Ное]]),1),INDEX(ПланираниЗаМаркетинг[],,1),0),MATCH(РазликиЗаМаркетинг[[#Headers],[Ное]],ДействителниЗаМаркетинг[#Headers],0))</f>
        <v>500</v>
      </c>
      <c r="N22" s="106">
        <f>INDEX(ПланираниЗаМаркетинг[],MATCH(INDEX(РазликиЗаМаркетинг[],ROW()-ROW(РазликиЗаМаркетинг[[#Headers],[Дек]]),1),INDEX(ПланираниЗаМаркетинг[],,1),0),MATCH(РазликиЗаМаркетинг[[#Headers],[Дек]],ПланираниЗаМаркетинг[#Headers],0))-INDEX(ДействителниЗаМаркетинг[],MATCH(INDEX(РазликиЗаМаркетинг[],ROW()-ROW(РазликиЗаМаркетинг[[#Headers],[Дек]]),1),INDEX(ПланираниЗаМаркетинг[],,1),0),MATCH(РазликиЗаМаркетинг[[#Headers],[Дек]],ДействителниЗаМаркетинг[#Headers],0))</f>
        <v>500</v>
      </c>
      <c r="O22" s="107">
        <f>SUM(РазликиЗаМаркетинг[[#This Row],[Янр]:[Дек]])</f>
        <v>3000</v>
      </c>
    </row>
    <row r="23" spans="1:15" ht="24.95" customHeight="1" thickBot="1" x14ac:dyDescent="0.35">
      <c r="A23" s="33"/>
      <c r="B23" s="64" t="s">
        <v>25</v>
      </c>
      <c r="C23" s="106">
        <f>INDEX(ПланираниЗаМаркетинг[],MATCH(INDEX(РазликиЗаМаркетинг[],ROW()-ROW(РазликиЗаМаркетинг[[#Headers],[Янр]]),1),INDEX(ПланираниЗаМаркетинг[],,1),0),MATCH(РазликиЗаМаркетинг[[#Headers],[Янр]],ПланираниЗаМаркетинг[#Headers],0))-INDEX(ДействителниЗаМаркетинг[],MATCH(INDEX(РазликиЗаМаркетинг[],ROW()-ROW(РазликиЗаМаркетинг[[#Headers],[Янр]]),1),INDEX(ПланираниЗаМаркетинг[],,1),0),MATCH(РазликиЗаМаркетинг[[#Headers],[Янр]],ДействителниЗаМаркетинг[#Headers],0))</f>
        <v>0</v>
      </c>
      <c r="D23" s="106">
        <f>INDEX(ПланираниЗаМаркетинг[],MATCH(INDEX(РазликиЗаМаркетинг[],ROW()-ROW(РазликиЗаМаркетинг[[#Headers],[Фев]]),1),INDEX(ПланираниЗаМаркетинг[],,1),0),MATCH(РазликиЗаМаркетинг[[#Headers],[Фев]],ПланираниЗаМаркетинг[#Headers],0))-INDEX(ДействителниЗаМаркетинг[],MATCH(INDEX(РазликиЗаМаркетинг[],ROW()-ROW(РазликиЗаМаркетинг[[#Headers],[Фев]]),1),INDEX(ПланираниЗаМаркетинг[],,1),0),MATCH(РазликиЗаМаркетинг[[#Headers],[Фев]],ДействителниЗаМаркетинг[#Headers],0))</f>
        <v>0</v>
      </c>
      <c r="E23" s="106">
        <f>INDEX(ПланираниЗаМаркетинг[],MATCH(INDEX(РазликиЗаМаркетинг[],ROW()-ROW(РазликиЗаМаркетинг[[#Headers],[Мар]]),1),INDEX(ПланираниЗаМаркетинг[],,1),0),MATCH(РазликиЗаМаркетинг[[#Headers],[Мар]],ПланираниЗаМаркетинг[#Headers],0))-INDEX(ДействителниЗаМаркетинг[],MATCH(INDEX(РазликиЗаМаркетинг[],ROW()-ROW(РазликиЗаМаркетинг[[#Headers],[Мар]]),1),INDEX(ПланираниЗаМаркетинг[],,1),0),MATCH(РазликиЗаМаркетинг[[#Headers],[Мар]],ДействителниЗаМаркетинг[#Headers],0))</f>
        <v>0</v>
      </c>
      <c r="F23" s="106">
        <f>INDEX(ПланираниЗаМаркетинг[],MATCH(INDEX(РазликиЗаМаркетинг[],ROW()-ROW(РазликиЗаМаркетинг[[#Headers],[Апр]]),1),INDEX(ПланираниЗаМаркетинг[],,1),0),MATCH(РазликиЗаМаркетинг[[#Headers],[Апр]],ПланираниЗаМаркетинг[#Headers],0))-INDEX(ДействителниЗаМаркетинг[],MATCH(INDEX(РазликиЗаМаркетинг[],ROW()-ROW(РазликиЗаМаркетинг[[#Headers],[Апр]]),1),INDEX(ПланираниЗаМаркетинг[],,1),0),MATCH(РазликиЗаМаркетинг[[#Headers],[Апр]],ДействителниЗаМаркетинг[#Headers],0))</f>
        <v>0</v>
      </c>
      <c r="G23" s="106">
        <f>INDEX(ПланираниЗаМаркетинг[],MATCH(INDEX(РазликиЗаМаркетинг[],ROW()-ROW(РазликиЗаМаркетинг[[#Headers],[Май]]),1),INDEX(ПланираниЗаМаркетинг[],,1),0),MATCH(РазликиЗаМаркетинг[[#Headers],[Май]],ПланираниЗаМаркетинг[#Headers],0))-INDEX(ДействителниЗаМаркетинг[],MATCH(INDEX(РазликиЗаМаркетинг[],ROW()-ROW(РазликиЗаМаркетинг[[#Headers],[Май]]),1),INDEX(ПланираниЗаМаркетинг[],,1),0),MATCH(РазликиЗаМаркетинг[[#Headers],[Май]],ДействителниЗаМаркетинг[#Headers],0))</f>
        <v>0</v>
      </c>
      <c r="H23" s="106">
        <f>INDEX(ПланираниЗаМаркетинг[],MATCH(INDEX(РазликиЗаМаркетинг[],ROW()-ROW(РазликиЗаМаркетинг[[#Headers],[Юни]]),1),INDEX(ПланираниЗаМаркетинг[],,1),0),MATCH(РазликиЗаМаркетинг[[#Headers],[Юни]],ПланираниЗаМаркетинг[#Headers],0))-INDEX(ДействителниЗаМаркетинг[],MATCH(INDEX(РазликиЗаМаркетинг[],ROW()-ROW(РазликиЗаМаркетинг[[#Headers],[Юни]]),1),INDEX(ПланираниЗаМаркетинг[],,1),0),MATCH(РазликиЗаМаркетинг[[#Headers],[Юни]],ДействителниЗаМаркетинг[#Headers],0))</f>
        <v>-500</v>
      </c>
      <c r="I23" s="106">
        <f>INDEX(ПланираниЗаМаркетинг[],MATCH(INDEX(РазликиЗаМаркетинг[],ROW()-ROW(РазликиЗаМаркетинг[[#Headers],[Юли]]),1),INDEX(ПланираниЗаМаркетинг[],,1),0),MATCH(РазликиЗаМаркетинг[[#Headers],[Юли]],ПланираниЗаМаркетинг[#Headers],0))-INDEX(ДействителниЗаМаркетинг[],MATCH(INDEX(РазликиЗаМаркетинг[],ROW()-ROW(РазликиЗаМаркетинг[[#Headers],[Юли]]),1),INDEX(ПланираниЗаМаркетинг[],,1),0),MATCH(РазликиЗаМаркетинг[[#Headers],[Юли]],ДействителниЗаМаркетинг[#Headers],0))</f>
        <v>200</v>
      </c>
      <c r="J23" s="106">
        <f>INDEX(ПланираниЗаМаркетинг[],MATCH(INDEX(РазликиЗаМаркетинг[],ROW()-ROW(РазликиЗаМаркетинг[[#Headers],[Авг]]),1),INDEX(ПланираниЗаМаркетинг[],,1),0),MATCH(РазликиЗаМаркетинг[[#Headers],[Авг]],ПланираниЗаМаркетинг[#Headers],0))-INDEX(ДействителниЗаМаркетинг[],MATCH(INDEX(РазликиЗаМаркетинг[],ROW()-ROW(РазликиЗаМаркетинг[[#Headers],[Авг]]),1),INDEX(ПланираниЗаМаркетинг[],,1),0),MATCH(РазликиЗаМаркетинг[[#Headers],[Авг]],ДействителниЗаМаркетинг[#Headers],0))</f>
        <v>200</v>
      </c>
      <c r="K23" s="106">
        <f>INDEX(ПланираниЗаМаркетинг[],MATCH(INDEX(РазликиЗаМаркетинг[],ROW()-ROW(РазликиЗаМаркетинг[[#Headers],[Сеп]]),1),INDEX(ПланираниЗаМаркетинг[],,1),0),MATCH(РазликиЗаМаркетинг[[#Headers],[Сеп]],ПланираниЗаМаркетинг[#Headers],0))-INDEX(ДействителниЗаМаркетинг[],MATCH(INDEX(РазликиЗаМаркетинг[],ROW()-ROW(РазликиЗаМаркетинг[[#Headers],[Сеп]]),1),INDEX(ПланираниЗаМаркетинг[],,1),0),MATCH(РазликиЗаМаркетинг[[#Headers],[Сеп]],ДействителниЗаМаркетинг[#Headers],0))</f>
        <v>200</v>
      </c>
      <c r="L23" s="106">
        <f>INDEX(ПланираниЗаМаркетинг[],MATCH(INDEX(РазликиЗаМаркетинг[],ROW()-ROW(РазликиЗаМаркетинг[[#Headers],[Окт]]),1),INDEX(ПланираниЗаМаркетинг[],,1),0),MATCH(РазликиЗаМаркетинг[[#Headers],[Окт]],ПланираниЗаМаркетинг[#Headers],0))-INDEX(ДействителниЗаМаркетинг[],MATCH(INDEX(РазликиЗаМаркетинг[],ROW()-ROW(РазликиЗаМаркетинг[[#Headers],[Окт]]),1),INDEX(ПланираниЗаМаркетинг[],,1),0),MATCH(РазликиЗаМаркетинг[[#Headers],[Окт]],ДействителниЗаМаркетинг[#Headers],0))</f>
        <v>200</v>
      </c>
      <c r="M23" s="106">
        <f>INDEX(ПланираниЗаМаркетинг[],MATCH(INDEX(РазликиЗаМаркетинг[],ROW()-ROW(РазликиЗаМаркетинг[[#Headers],[Ное]]),1),INDEX(ПланираниЗаМаркетинг[],,1),0),MATCH(РазликиЗаМаркетинг[[#Headers],[Ное]],ПланираниЗаМаркетинг[#Headers],0))-INDEX(ДействителниЗаМаркетинг[],MATCH(INDEX(РазликиЗаМаркетинг[],ROW()-ROW(РазликиЗаМаркетинг[[#Headers],[Ное]]),1),INDEX(ПланираниЗаМаркетинг[],,1),0),MATCH(РазликиЗаМаркетинг[[#Headers],[Ное]],ДействителниЗаМаркетинг[#Headers],0))</f>
        <v>200</v>
      </c>
      <c r="N23" s="106">
        <f>INDEX(ПланираниЗаМаркетинг[],MATCH(INDEX(РазликиЗаМаркетинг[],ROW()-ROW(РазликиЗаМаркетинг[[#Headers],[Дек]]),1),INDEX(ПланираниЗаМаркетинг[],,1),0),MATCH(РазликиЗаМаркетинг[[#Headers],[Дек]],ПланираниЗаМаркетинг[#Headers],0))-INDEX(ДействителниЗаМаркетинг[],MATCH(INDEX(РазликиЗаМаркетинг[],ROW()-ROW(РазликиЗаМаркетинг[[#Headers],[Дек]]),1),INDEX(ПланираниЗаМаркетинг[],,1),0),MATCH(РазликиЗаМаркетинг[[#Headers],[Дек]],ДействителниЗаМаркетинг[#Headers],0))</f>
        <v>1000</v>
      </c>
      <c r="O23" s="107">
        <f>SUM(РазликиЗаМаркетинг[[#This Row],[Янр]:[Дек]])</f>
        <v>1500</v>
      </c>
    </row>
    <row r="24" spans="1:15" ht="24.95" customHeight="1" thickBot="1" x14ac:dyDescent="0.35">
      <c r="A24" s="33"/>
      <c r="B24" s="64" t="s">
        <v>26</v>
      </c>
      <c r="C24" s="106">
        <f>INDEX(ПланираниЗаМаркетинг[],MATCH(INDEX(РазликиЗаМаркетинг[],ROW()-ROW(РазликиЗаМаркетинг[[#Headers],[Янр]]),1),INDEX(ПланираниЗаМаркетинг[],,1),0),MATCH(РазликиЗаМаркетинг[[#Headers],[Янр]],ПланираниЗаМаркетинг[#Headers],0))-INDEX(ДействителниЗаМаркетинг[],MATCH(INDEX(РазликиЗаМаркетинг[],ROW()-ROW(РазликиЗаМаркетинг[[#Headers],[Янр]]),1),INDEX(ПланираниЗаМаркетинг[],,1),0),MATCH(РазликиЗаМаркетинг[[#Headers],[Янр]],ДействителниЗаМаркетинг[#Headers],0))</f>
        <v>200</v>
      </c>
      <c r="D24" s="106">
        <f>INDEX(ПланираниЗаМаркетинг[],MATCH(INDEX(РазликиЗаМаркетинг[],ROW()-ROW(РазликиЗаМаркетинг[[#Headers],[Фев]]),1),INDEX(ПланираниЗаМаркетинг[],,1),0),MATCH(РазликиЗаМаркетинг[[#Headers],[Фев]],ПланираниЗаМаркетинг[#Headers],0))-INDEX(ДействителниЗаМаркетинг[],MATCH(INDEX(РазликиЗаМаркетинг[],ROW()-ROW(РазликиЗаМаркетинг[[#Headers],[Фев]]),1),INDEX(ПланираниЗаМаркетинг[],,1),0),MATCH(РазликиЗаМаркетинг[[#Headers],[Фев]],ДействителниЗаМаркетинг[#Headers],0))</f>
        <v>0</v>
      </c>
      <c r="E24" s="106">
        <f>INDEX(ПланираниЗаМаркетинг[],MATCH(INDEX(РазликиЗаМаркетинг[],ROW()-ROW(РазликиЗаМаркетинг[[#Headers],[Мар]]),1),INDEX(ПланираниЗаМаркетинг[],,1),0),MATCH(РазликиЗаМаркетинг[[#Headers],[Мар]],ПланираниЗаМаркетинг[#Headers],0))-INDEX(ДействителниЗаМаркетинг[],MATCH(INDEX(РазликиЗаМаркетинг[],ROW()-ROW(РазликиЗаМаркетинг[[#Headers],[Мар]]),1),INDEX(ПланираниЗаМаркетинг[],,1),0),MATCH(РазликиЗаМаркетинг[[#Headers],[Мар]],ДействителниЗаМаркетинг[#Headers],0))</f>
        <v>0</v>
      </c>
      <c r="F24" s="106">
        <f>INDEX(ПланираниЗаМаркетинг[],MATCH(INDEX(РазликиЗаМаркетинг[],ROW()-ROW(РазликиЗаМаркетинг[[#Headers],[Апр]]),1),INDEX(ПланираниЗаМаркетинг[],,1),0),MATCH(РазликиЗаМаркетинг[[#Headers],[Апр]],ПланираниЗаМаркетинг[#Headers],0))-INDEX(ДействителниЗаМаркетинг[],MATCH(INDEX(РазликиЗаМаркетинг[],ROW()-ROW(РазликиЗаМаркетинг[[#Headers],[Апр]]),1),INDEX(ПланираниЗаМаркетинг[],,1),0),MATCH(РазликиЗаМаркетинг[[#Headers],[Апр]],ДействителниЗаМаркетинг[#Headers],0))</f>
        <v>-500</v>
      </c>
      <c r="G24" s="106">
        <f>INDEX(ПланираниЗаМаркетинг[],MATCH(INDEX(РазликиЗаМаркетинг[],ROW()-ROW(РазликиЗаМаркетинг[[#Headers],[Май]]),1),INDEX(ПланираниЗаМаркетинг[],,1),0),MATCH(РазликиЗаМаркетинг[[#Headers],[Май]],ПланираниЗаМаркетинг[#Headers],0))-INDEX(ДействителниЗаМаркетинг[],MATCH(INDEX(РазликиЗаМаркетинг[],ROW()-ROW(РазликиЗаМаркетинг[[#Headers],[Май]]),1),INDEX(ПланираниЗаМаркетинг[],,1),0),MATCH(РазликиЗаМаркетинг[[#Headers],[Май]],ДействителниЗаМаркетинг[#Headers],0))</f>
        <v>0</v>
      </c>
      <c r="H24" s="106">
        <f>INDEX(ПланираниЗаМаркетинг[],MATCH(INDEX(РазликиЗаМаркетинг[],ROW()-ROW(РазликиЗаМаркетинг[[#Headers],[Юни]]),1),INDEX(ПланираниЗаМаркетинг[],,1),0),MATCH(РазликиЗаМаркетинг[[#Headers],[Юни]],ПланираниЗаМаркетинг[#Headers],0))-INDEX(ДействителниЗаМаркетинг[],MATCH(INDEX(РазликиЗаМаркетинг[],ROW()-ROW(РазликиЗаМаркетинг[[#Headers],[Юни]]),1),INDEX(ПланираниЗаМаркетинг[],,1),0),MATCH(РазликиЗаМаркетинг[[#Headers],[Юни]],ДействителниЗаМаркетинг[#Headers],0))</f>
        <v>0</v>
      </c>
      <c r="I24" s="106">
        <f>INDEX(ПланираниЗаМаркетинг[],MATCH(INDEX(РазликиЗаМаркетинг[],ROW()-ROW(РазликиЗаМаркетинг[[#Headers],[Юли]]),1),INDEX(ПланираниЗаМаркетинг[],,1),0),MATCH(РазликиЗаМаркетинг[[#Headers],[Юли]],ПланираниЗаМаркетинг[#Headers],0))-INDEX(ДействителниЗаМаркетинг[],MATCH(INDEX(РазликиЗаМаркетинг[],ROW()-ROW(РазликиЗаМаркетинг[[#Headers],[Юли]]),1),INDEX(ПланираниЗаМаркетинг[],,1),0),MATCH(РазликиЗаМаркетинг[[#Headers],[Юли]],ДействителниЗаМаркетинг[#Headers],0))</f>
        <v>5000</v>
      </c>
      <c r="J24" s="106">
        <f>INDEX(ПланираниЗаМаркетинг[],MATCH(INDEX(РазликиЗаМаркетинг[],ROW()-ROW(РазликиЗаМаркетинг[[#Headers],[Авг]]),1),INDEX(ПланираниЗаМаркетинг[],,1),0),MATCH(РазликиЗаМаркетинг[[#Headers],[Авг]],ПланираниЗаМаркетинг[#Headers],0))-INDEX(ДействителниЗаМаркетинг[],MATCH(INDEX(РазликиЗаМаркетинг[],ROW()-ROW(РазликиЗаМаркетинг[[#Headers],[Авг]]),1),INDEX(ПланираниЗаМаркетинг[],,1),0),MATCH(РазликиЗаМаркетинг[[#Headers],[Авг]],ДействителниЗаМаркетинг[#Headers],0))</f>
        <v>0</v>
      </c>
      <c r="K24" s="106">
        <f>INDEX(ПланираниЗаМаркетинг[],MATCH(INDEX(РазликиЗаМаркетинг[],ROW()-ROW(РазликиЗаМаркетинг[[#Headers],[Сеп]]),1),INDEX(ПланираниЗаМаркетинг[],,1),0),MATCH(РазликиЗаМаркетинг[[#Headers],[Сеп]],ПланираниЗаМаркетинг[#Headers],0))-INDEX(ДействителниЗаМаркетинг[],MATCH(INDEX(РазликиЗаМаркетинг[],ROW()-ROW(РазликиЗаМаркетинг[[#Headers],[Сеп]]),1),INDEX(ПланираниЗаМаркетинг[],,1),0),MATCH(РазликиЗаМаркетинг[[#Headers],[Сеп]],ДействителниЗаМаркетинг[#Headers],0))</f>
        <v>0</v>
      </c>
      <c r="L24" s="106">
        <f>INDEX(ПланираниЗаМаркетинг[],MATCH(INDEX(РазликиЗаМаркетинг[],ROW()-ROW(РазликиЗаМаркетинг[[#Headers],[Окт]]),1),INDEX(ПланираниЗаМаркетинг[],,1),0),MATCH(РазликиЗаМаркетинг[[#Headers],[Окт]],ПланираниЗаМаркетинг[#Headers],0))-INDEX(ДействителниЗаМаркетинг[],MATCH(INDEX(РазликиЗаМаркетинг[],ROW()-ROW(РазликиЗаМаркетинг[[#Headers],[Окт]]),1),INDEX(ПланираниЗаМаркетинг[],,1),0),MATCH(РазликиЗаМаркетинг[[#Headers],[Окт]],ДействителниЗаМаркетинг[#Headers],0))</f>
        <v>5000</v>
      </c>
      <c r="M24" s="106">
        <f>INDEX(ПланираниЗаМаркетинг[],MATCH(INDEX(РазликиЗаМаркетинг[],ROW()-ROW(РазликиЗаМаркетинг[[#Headers],[Ное]]),1),INDEX(ПланираниЗаМаркетинг[],,1),0),MATCH(РазликиЗаМаркетинг[[#Headers],[Ное]],ПланираниЗаМаркетинг[#Headers],0))-INDEX(ДействителниЗаМаркетинг[],MATCH(INDEX(РазликиЗаМаркетинг[],ROW()-ROW(РазликиЗаМаркетинг[[#Headers],[Ное]]),1),INDEX(ПланираниЗаМаркетинг[],,1),0),MATCH(РазликиЗаМаркетинг[[#Headers],[Ное]],ДействителниЗаМаркетинг[#Headers],0))</f>
        <v>0</v>
      </c>
      <c r="N24" s="106">
        <f>INDEX(ПланираниЗаМаркетинг[],MATCH(INDEX(РазликиЗаМаркетинг[],ROW()-ROW(РазликиЗаМаркетинг[[#Headers],[Дек]]),1),INDEX(ПланираниЗаМаркетинг[],,1),0),MATCH(РазликиЗаМаркетинг[[#Headers],[Дек]],ПланираниЗаМаркетинг[#Headers],0))-INDEX(ДействителниЗаМаркетинг[],MATCH(INDEX(РазликиЗаМаркетинг[],ROW()-ROW(РазликиЗаМаркетинг[[#Headers],[Дек]]),1),INDEX(ПланираниЗаМаркетинг[],,1),0),MATCH(РазликиЗаМаркетинг[[#Headers],[Дек]],ДействителниЗаМаркетинг[#Headers],0))</f>
        <v>0</v>
      </c>
      <c r="O24" s="107">
        <f>SUM(РазликиЗаМаркетинг[[#This Row],[Янр]:[Дек]])</f>
        <v>9700</v>
      </c>
    </row>
    <row r="25" spans="1:15" ht="24.95" customHeight="1" thickBot="1" x14ac:dyDescent="0.35">
      <c r="A25" s="33"/>
      <c r="B25" s="64" t="s">
        <v>27</v>
      </c>
      <c r="C25" s="106">
        <f>INDEX(ПланираниЗаМаркетинг[],MATCH(INDEX(РазликиЗаМаркетинг[],ROW()-ROW(РазликиЗаМаркетинг[[#Headers],[Янр]]),1),INDEX(ПланираниЗаМаркетинг[],,1),0),MATCH(РазликиЗаМаркетинг[[#Headers],[Янр]],ПланираниЗаМаркетинг[#Headers],0))-INDEX(ДействителниЗаМаркетинг[],MATCH(INDEX(РазликиЗаМаркетинг[],ROW()-ROW(РазликиЗаМаркетинг[[#Headers],[Янр]]),1),INDEX(ПланираниЗаМаркетинг[],,1),0),MATCH(РазликиЗаМаркетинг[[#Headers],[Янр]],ДействителниЗаМаркетинг[#Headers],0))</f>
        <v>100</v>
      </c>
      <c r="D25" s="106">
        <f>INDEX(ПланираниЗаМаркетинг[],MATCH(INDEX(РазликиЗаМаркетинг[],ROW()-ROW(РазликиЗаМаркетинг[[#Headers],[Фев]]),1),INDEX(ПланираниЗаМаркетинг[],,1),0),MATCH(РазликиЗаМаркетинг[[#Headers],[Фев]],ПланираниЗаМаркетинг[#Headers],0))-INDEX(ДействителниЗаМаркетинг[],MATCH(INDEX(РазликиЗаМаркетинг[],ROW()-ROW(РазликиЗаМаркетинг[[#Headers],[Фев]]),1),INDEX(ПланираниЗаМаркетинг[],,1),0),MATCH(РазликиЗаМаркетинг[[#Headers],[Фев]],ДействителниЗаМаркетинг[#Headers],0))</f>
        <v>-300</v>
      </c>
      <c r="E25" s="106">
        <f>INDEX(ПланираниЗаМаркетинг[],MATCH(INDEX(РазликиЗаМаркетинг[],ROW()-ROW(РазликиЗаМаркетинг[[#Headers],[Мар]]),1),INDEX(ПланираниЗаМаркетинг[],,1),0),MATCH(РазликиЗаМаркетинг[[#Headers],[Мар]],ПланираниЗаМаркетинг[#Headers],0))-INDEX(ДействителниЗаМаркетинг[],MATCH(INDEX(РазликиЗаМаркетинг[],ROW()-ROW(РазликиЗаМаркетинг[[#Headers],[Мар]]),1),INDEX(ПланираниЗаМаркетинг[],,1),0),MATCH(РазликиЗаМаркетинг[[#Headers],[Мар]],ДействителниЗаМаркетинг[#Headers],0))</f>
        <v>100</v>
      </c>
      <c r="F25" s="106">
        <f>INDEX(ПланираниЗаМаркетинг[],MATCH(INDEX(РазликиЗаМаркетинг[],ROW()-ROW(РазликиЗаМаркетинг[[#Headers],[Апр]]),1),INDEX(ПланираниЗаМаркетинг[],,1),0),MATCH(РазликиЗаМаркетинг[[#Headers],[Апр]],ПланираниЗаМаркетинг[#Headers],0))-INDEX(ДействителниЗаМаркетинг[],MATCH(INDEX(РазликиЗаМаркетинг[],ROW()-ROW(РазликиЗаМаркетинг[[#Headers],[Апр]]),1),INDEX(ПланираниЗаМаркетинг[],,1),0),MATCH(РазликиЗаМаркетинг[[#Headers],[Апр]],ДействителниЗаМаркетинг[#Headers],0))</f>
        <v>100</v>
      </c>
      <c r="G25" s="106">
        <f>INDEX(ПланираниЗаМаркетинг[],MATCH(INDEX(РазликиЗаМаркетинг[],ROW()-ROW(РазликиЗаМаркетинг[[#Headers],[Май]]),1),INDEX(ПланираниЗаМаркетинг[],,1),0),MATCH(РазликиЗаМаркетинг[[#Headers],[Май]],ПланираниЗаМаркетинг[#Headers],0))-INDEX(ДействителниЗаМаркетинг[],MATCH(INDEX(РазликиЗаМаркетинг[],ROW()-ROW(РазликиЗаМаркетинг[[#Headers],[Май]]),1),INDEX(ПланираниЗаМаркетинг[],,1),0),MATCH(РазликиЗаМаркетинг[[#Headers],[Май]],ДействителниЗаМаркетинг[#Headers],0))</f>
        <v>-400</v>
      </c>
      <c r="H25" s="106">
        <f>INDEX(ПланираниЗаМаркетинг[],MATCH(INDEX(РазликиЗаМаркетинг[],ROW()-ROW(РазликиЗаМаркетинг[[#Headers],[Юни]]),1),INDEX(ПланираниЗаМаркетинг[],,1),0),MATCH(РазликиЗаМаркетинг[[#Headers],[Юни]],ПланираниЗаМаркетинг[#Headers],0))-INDEX(ДействителниЗаМаркетинг[],MATCH(INDEX(РазликиЗаМаркетинг[],ROW()-ROW(РазликиЗаМаркетинг[[#Headers],[Юни]]),1),INDEX(ПланираниЗаМаркетинг[],,1),0),MATCH(РазликиЗаМаркетинг[[#Headers],[Юни]],ДействителниЗаМаркетинг[#Headers],0))</f>
        <v>20</v>
      </c>
      <c r="I25" s="106">
        <f>INDEX(ПланираниЗаМаркетинг[],MATCH(INDEX(РазликиЗаМаркетинг[],ROW()-ROW(РазликиЗаМаркетинг[[#Headers],[Юли]]),1),INDEX(ПланираниЗаМаркетинг[],,1),0),MATCH(РазликиЗаМаркетинг[[#Headers],[Юли]],ПланираниЗаМаркетинг[#Headers],0))-INDEX(ДействителниЗаМаркетинг[],MATCH(INDEX(РазликиЗаМаркетинг[],ROW()-ROW(РазликиЗаМаркетинг[[#Headers],[Юли]]),1),INDEX(ПланираниЗаМаркетинг[],,1),0),MATCH(РазликиЗаМаркетинг[[#Headers],[Юли]],ДействителниЗаМаркетинг[#Headers],0))</f>
        <v>200</v>
      </c>
      <c r="J25" s="106">
        <f>INDEX(ПланираниЗаМаркетинг[],MATCH(INDEX(РазликиЗаМаркетинг[],ROW()-ROW(РазликиЗаМаркетинг[[#Headers],[Авг]]),1),INDEX(ПланираниЗаМаркетинг[],,1),0),MATCH(РазликиЗаМаркетинг[[#Headers],[Авг]],ПланираниЗаМаркетинг[#Headers],0))-INDEX(ДействителниЗаМаркетинг[],MATCH(INDEX(РазликиЗаМаркетинг[],ROW()-ROW(РазликиЗаМаркетинг[[#Headers],[Авг]]),1),INDEX(ПланираниЗаМаркетинг[],,1),0),MATCH(РазликиЗаМаркетинг[[#Headers],[Авг]],ДействителниЗаМаркетинг[#Headers],0))</f>
        <v>200</v>
      </c>
      <c r="K25" s="106">
        <f>INDEX(ПланираниЗаМаркетинг[],MATCH(INDEX(РазликиЗаМаркетинг[],ROW()-ROW(РазликиЗаМаркетинг[[#Headers],[Сеп]]),1),INDEX(ПланираниЗаМаркетинг[],,1),0),MATCH(РазликиЗаМаркетинг[[#Headers],[Сеп]],ПланираниЗаМаркетинг[#Headers],0))-INDEX(ДействителниЗаМаркетинг[],MATCH(INDEX(РазликиЗаМаркетинг[],ROW()-ROW(РазликиЗаМаркетинг[[#Headers],[Сеп]]),1),INDEX(ПланираниЗаМаркетинг[],,1),0),MATCH(РазликиЗаМаркетинг[[#Headers],[Сеп]],ДействителниЗаМаркетинг[#Headers],0))</f>
        <v>200</v>
      </c>
      <c r="L25" s="106">
        <f>INDEX(ПланираниЗаМаркетинг[],MATCH(INDEX(РазликиЗаМаркетинг[],ROW()-ROW(РазликиЗаМаркетинг[[#Headers],[Окт]]),1),INDEX(ПланираниЗаМаркетинг[],,1),0),MATCH(РазликиЗаМаркетинг[[#Headers],[Окт]],ПланираниЗаМаркетинг[#Headers],0))-INDEX(ДействителниЗаМаркетинг[],MATCH(INDEX(РазликиЗаМаркетинг[],ROW()-ROW(РазликиЗаМаркетинг[[#Headers],[Окт]]),1),INDEX(ПланираниЗаМаркетинг[],,1),0),MATCH(РазликиЗаМаркетинг[[#Headers],[Окт]],ДействителниЗаМаркетинг[#Headers],0))</f>
        <v>200</v>
      </c>
      <c r="M25" s="106">
        <f>INDEX(ПланираниЗаМаркетинг[],MATCH(INDEX(РазликиЗаМаркетинг[],ROW()-ROW(РазликиЗаМаркетинг[[#Headers],[Ное]]),1),INDEX(ПланираниЗаМаркетинг[],,1),0),MATCH(РазликиЗаМаркетинг[[#Headers],[Ное]],ПланираниЗаМаркетинг[#Headers],0))-INDEX(ДействителниЗаМаркетинг[],MATCH(INDEX(РазликиЗаМаркетинг[],ROW()-ROW(РазликиЗаМаркетинг[[#Headers],[Ное]]),1),INDEX(ПланираниЗаМаркетинг[],,1),0),MATCH(РазликиЗаМаркетинг[[#Headers],[Ное]],ДействителниЗаМаркетинг[#Headers],0))</f>
        <v>200</v>
      </c>
      <c r="N25" s="106">
        <f>INDEX(ПланираниЗаМаркетинг[],MATCH(INDEX(РазликиЗаМаркетинг[],ROW()-ROW(РазликиЗаМаркетинг[[#Headers],[Дек]]),1),INDEX(ПланираниЗаМаркетинг[],,1),0),MATCH(РазликиЗаМаркетинг[[#Headers],[Дек]],ПланираниЗаМаркетинг[#Headers],0))-INDEX(ДействителниЗаМаркетинг[],MATCH(INDEX(РазликиЗаМаркетинг[],ROW()-ROW(РазликиЗаМаркетинг[[#Headers],[Дек]]),1),INDEX(ПланираниЗаМаркетинг[],,1),0),MATCH(РазликиЗаМаркетинг[[#Headers],[Дек]],ДействителниЗаМаркетинг[#Headers],0))</f>
        <v>200</v>
      </c>
      <c r="O25" s="107">
        <f>SUM(РазликиЗаМаркетинг[[#This Row],[Янр]:[Дек]])</f>
        <v>820</v>
      </c>
    </row>
    <row r="26" spans="1:15" ht="24.95" customHeight="1" thickBot="1" x14ac:dyDescent="0.35">
      <c r="A26" s="33"/>
      <c r="B26" s="64" t="s">
        <v>28</v>
      </c>
      <c r="C26" s="106">
        <f>INDEX(ПланираниЗаМаркетинг[],MATCH(INDEX(РазликиЗаМаркетинг[],ROW()-ROW(РазликиЗаМаркетинг[[#Headers],[Янр]]),1),INDEX(ПланираниЗаМаркетинг[],,1),0),MATCH(РазликиЗаМаркетинг[[#Headers],[Янр]],ПланираниЗаМаркетинг[#Headers],0))-INDEX(ДействителниЗаМаркетинг[],MATCH(INDEX(РазликиЗаМаркетинг[],ROW()-ROW(РазликиЗаМаркетинг[[#Headers],[Янр]]),1),INDEX(ПланираниЗаМаркетинг[],,1),0),MATCH(РазликиЗаМаркетинг[[#Headers],[Янр]],ДействителниЗаМаркетинг[#Headers],0))</f>
        <v>200</v>
      </c>
      <c r="D26" s="106">
        <f>INDEX(ПланираниЗаМаркетинг[],MATCH(INDEX(РазликиЗаМаркетинг[],ROW()-ROW(РазликиЗаМаркетинг[[#Headers],[Фев]]),1),INDEX(ПланираниЗаМаркетинг[],,1),0),MATCH(РазликиЗаМаркетинг[[#Headers],[Фев]],ПланираниЗаМаркетинг[#Headers],0))-INDEX(ДействителниЗаМаркетинг[],MATCH(INDEX(РазликиЗаМаркетинг[],ROW()-ROW(РазликиЗаМаркетинг[[#Headers],[Фев]]),1),INDEX(ПланираниЗаМаркетинг[],,1),0),MATCH(РазликиЗаМаркетинг[[#Headers],[Фев]],ДействителниЗаМаркетинг[#Headers],0))</f>
        <v>-200</v>
      </c>
      <c r="E26" s="106">
        <f>INDEX(ПланираниЗаМаркетинг[],MATCH(INDEX(РазликиЗаМаркетинг[],ROW()-ROW(РазликиЗаМаркетинг[[#Headers],[Мар]]),1),INDEX(ПланираниЗаМаркетинг[],,1),0),MATCH(РазликиЗаМаркетинг[[#Headers],[Мар]],ПланираниЗаМаркетинг[#Headers],0))-INDEX(ДействителниЗаМаркетинг[],MATCH(INDEX(РазликиЗаМаркетинг[],ROW()-ROW(РазликиЗаМаркетинг[[#Headers],[Мар]]),1),INDEX(ПланираниЗаМаркетинг[],,1),0),MATCH(РазликиЗаМаркетинг[[#Headers],[Мар]],ДействителниЗаМаркетинг[#Headers],0))</f>
        <v>-200</v>
      </c>
      <c r="F26" s="106">
        <f>INDEX(ПланираниЗаМаркетинг[],MATCH(INDEX(РазликиЗаМаркетинг[],ROW()-ROW(РазликиЗаМаркетинг[[#Headers],[Апр]]),1),INDEX(ПланираниЗаМаркетинг[],,1),0),MATCH(РазликиЗаМаркетинг[[#Headers],[Апр]],ПланираниЗаМаркетинг[#Headers],0))-INDEX(ДействителниЗаМаркетинг[],MATCH(INDEX(РазликиЗаМаркетинг[],ROW()-ROW(РазликиЗаМаркетинг[[#Headers],[Апр]]),1),INDEX(ПланираниЗаМаркетинг[],,1),0),MATCH(РазликиЗаМаркетинг[[#Headers],[Апр]],ДействителниЗаМаркетинг[#Headers],0))</f>
        <v>300</v>
      </c>
      <c r="G26" s="106">
        <f>INDEX(ПланираниЗаМаркетинг[],MATCH(INDEX(РазликиЗаМаркетинг[],ROW()-ROW(РазликиЗаМаркетинг[[#Headers],[Май]]),1),INDEX(ПланираниЗаМаркетинг[],,1),0),MATCH(РазликиЗаМаркетинг[[#Headers],[Май]],ПланираниЗаМаркетинг[#Headers],0))-INDEX(ДействителниЗаМаркетинг[],MATCH(INDEX(РазликиЗаМаркетинг[],ROW()-ROW(РазликиЗаМаркетинг[[#Headers],[Май]]),1),INDEX(ПланираниЗаМаркетинг[],,1),0),MATCH(РазликиЗаМаркетинг[[#Headers],[Май]],ДействителниЗаМаркетинг[#Headers],0))</f>
        <v>500</v>
      </c>
      <c r="H26" s="106">
        <f>INDEX(ПланираниЗаМаркетинг[],MATCH(INDEX(РазликиЗаМаркетинг[],ROW()-ROW(РазликиЗаМаркетинг[[#Headers],[Юни]]),1),INDEX(ПланираниЗаМаркетинг[],,1),0),MATCH(РазликиЗаМаркетинг[[#Headers],[Юни]],ПланираниЗаМаркетинг[#Headers],0))-INDEX(ДействителниЗаМаркетинг[],MATCH(INDEX(РазликиЗаМаркетинг[],ROW()-ROW(РазликиЗаМаркетинг[[#Headers],[Юни]]),1),INDEX(ПланираниЗаМаркетинг[],,1),0),MATCH(РазликиЗаМаркетинг[[#Headers],[Юни]],ДействителниЗаМаркетинг[#Headers],0))</f>
        <v>-300</v>
      </c>
      <c r="I26" s="106">
        <f>INDEX(ПланираниЗаМаркетинг[],MATCH(INDEX(РазликиЗаМаркетинг[],ROW()-ROW(РазликиЗаМаркетинг[[#Headers],[Юли]]),1),INDEX(ПланираниЗаМаркетинг[],,1),0),MATCH(РазликиЗаМаркетинг[[#Headers],[Юли]],ПланираниЗаМаркетинг[#Headers],0))-INDEX(ДействителниЗаМаркетинг[],MATCH(INDEX(РазликиЗаМаркетинг[],ROW()-ROW(РазликиЗаМаркетинг[[#Headers],[Юли]]),1),INDEX(ПланираниЗаМаркетинг[],,1),0),MATCH(РазликиЗаМаркетинг[[#Headers],[Юли]],ДействителниЗаМаркетинг[#Headers],0))</f>
        <v>2000</v>
      </c>
      <c r="J26" s="106">
        <f>INDEX(ПланираниЗаМаркетинг[],MATCH(INDEX(РазликиЗаМаркетинг[],ROW()-ROW(РазликиЗаМаркетинг[[#Headers],[Авг]]),1),INDEX(ПланираниЗаМаркетинг[],,1),0),MATCH(РазликиЗаМаркетинг[[#Headers],[Авг]],ПланираниЗаМаркетинг[#Headers],0))-INDEX(ДействителниЗаМаркетинг[],MATCH(INDEX(РазликиЗаМаркетинг[],ROW()-ROW(РазликиЗаМаркетинг[[#Headers],[Авг]]),1),INDEX(ПланираниЗаМаркетинг[],,1),0),MATCH(РазликиЗаМаркетинг[[#Headers],[Авг]],ДействителниЗаМаркетинг[#Headers],0))</f>
        <v>5000</v>
      </c>
      <c r="K26" s="106">
        <f>INDEX(ПланираниЗаМаркетинг[],MATCH(INDEX(РазликиЗаМаркетинг[],ROW()-ROW(РазликиЗаМаркетинг[[#Headers],[Сеп]]),1),INDEX(ПланираниЗаМаркетинг[],,1),0),MATCH(РазликиЗаМаркетинг[[#Headers],[Сеп]],ПланираниЗаМаркетинг[#Headers],0))-INDEX(ДействителниЗаМаркетинг[],MATCH(INDEX(РазликиЗаМаркетинг[],ROW()-ROW(РазликиЗаМаркетинг[[#Headers],[Сеп]]),1),INDEX(ПланираниЗаМаркетинг[],,1),0),MATCH(РазликиЗаМаркетинг[[#Headers],[Сеп]],ДействителниЗаМаркетинг[#Headers],0))</f>
        <v>2000</v>
      </c>
      <c r="L26" s="106">
        <f>INDEX(ПланираниЗаМаркетинг[],MATCH(INDEX(РазликиЗаМаркетинг[],ROW()-ROW(РазликиЗаМаркетинг[[#Headers],[Окт]]),1),INDEX(ПланираниЗаМаркетинг[],,1),0),MATCH(РазликиЗаМаркетинг[[#Headers],[Окт]],ПланираниЗаМаркетинг[#Headers],0))-INDEX(ДействителниЗаМаркетинг[],MATCH(INDEX(РазликиЗаМаркетинг[],ROW()-ROW(РазликиЗаМаркетинг[[#Headers],[Окт]]),1),INDEX(ПланираниЗаМаркетинг[],,1),0),MATCH(РазликиЗаМаркетинг[[#Headers],[Окт]],ДействителниЗаМаркетинг[#Headers],0))</f>
        <v>2000</v>
      </c>
      <c r="M26" s="106">
        <f>INDEX(ПланираниЗаМаркетинг[],MATCH(INDEX(РазликиЗаМаркетинг[],ROW()-ROW(РазликиЗаМаркетинг[[#Headers],[Ное]]),1),INDEX(ПланираниЗаМаркетинг[],,1),0),MATCH(РазликиЗаМаркетинг[[#Headers],[Ное]],ПланираниЗаМаркетинг[#Headers],0))-INDEX(ДействителниЗаМаркетинг[],MATCH(INDEX(РазликиЗаМаркетинг[],ROW()-ROW(РазликиЗаМаркетинг[[#Headers],[Ное]]),1),INDEX(ПланираниЗаМаркетинг[],,1),0),MATCH(РазликиЗаМаркетинг[[#Headers],[Ное]],ДействителниЗаМаркетинг[#Headers],0))</f>
        <v>2000</v>
      </c>
      <c r="N26" s="106">
        <f>INDEX(ПланираниЗаМаркетинг[],MATCH(INDEX(РазликиЗаМаркетинг[],ROW()-ROW(РазликиЗаМаркетинг[[#Headers],[Дек]]),1),INDEX(ПланираниЗаМаркетинг[],,1),0),MATCH(РазликиЗаМаркетинг[[#Headers],[Дек]],ПланираниЗаМаркетинг[#Headers],0))-INDEX(ДействителниЗаМаркетинг[],MATCH(INDEX(РазликиЗаМаркетинг[],ROW()-ROW(РазликиЗаМаркетинг[[#Headers],[Дек]]),1),INDEX(ПланираниЗаМаркетинг[],,1),0),MATCH(РазликиЗаМаркетинг[[#Headers],[Дек]],ДействителниЗаМаркетинг[#Headers],0))</f>
        <v>5000</v>
      </c>
      <c r="O26" s="107">
        <f>SUM(РазликиЗаМаркетинг[[#This Row],[Янр]:[Дек]])</f>
        <v>18300</v>
      </c>
    </row>
    <row r="27" spans="1:15" ht="24.95" customHeight="1" thickBot="1" x14ac:dyDescent="0.35">
      <c r="A27" s="33"/>
      <c r="B27" s="64" t="s">
        <v>29</v>
      </c>
      <c r="C27" s="106">
        <f>INDEX(ПланираниЗаМаркетинг[],MATCH(INDEX(РазликиЗаМаркетинг[],ROW()-ROW(РазликиЗаМаркетинг[[#Headers],[Янр]]),1),INDEX(ПланираниЗаМаркетинг[],,1),0),MATCH(РазликиЗаМаркетинг[[#Headers],[Янр]],ПланираниЗаМаркетинг[#Headers],0))-INDEX(ДействителниЗаМаркетинг[],MATCH(INDEX(РазликиЗаМаркетинг[],ROW()-ROW(РазликиЗаМаркетинг[[#Headers],[Янр]]),1),INDEX(ПланираниЗаМаркетинг[],,1),0),MATCH(РазликиЗаМаркетинг[[#Headers],[Янр]],ДействителниЗаМаркетинг[#Headers],0))</f>
        <v>55</v>
      </c>
      <c r="D27" s="106">
        <f>INDEX(ПланираниЗаМаркетинг[],MATCH(INDEX(РазликиЗаМаркетинг[],ROW()-ROW(РазликиЗаМаркетинг[[#Headers],[Фев]]),1),INDEX(ПланираниЗаМаркетинг[],,1),0),MATCH(РазликиЗаМаркетинг[[#Headers],[Фев]],ПланираниЗаМаркетинг[#Headers],0))-INDEX(ДействителниЗаМаркетинг[],MATCH(INDEX(РазликиЗаМаркетинг[],ROW()-ROW(РазликиЗаМаркетинг[[#Headers],[Фев]]),1),INDEX(ПланираниЗаМаркетинг[],,1),0),MATCH(РазликиЗаМаркетинг[[#Headers],[Фев]],ДействителниЗаМаркетинг[#Headers],0))</f>
        <v>44</v>
      </c>
      <c r="E27" s="106">
        <f>INDEX(ПланираниЗаМаркетинг[],MATCH(INDEX(РазликиЗаМаркетинг[],ROW()-ROW(РазликиЗаМаркетинг[[#Headers],[Мар]]),1),INDEX(ПланираниЗаМаркетинг[],,1),0),MATCH(РазликиЗаМаркетинг[[#Headers],[Мар]],ПланираниЗаМаркетинг[#Headers],0))-INDEX(ДействителниЗаМаркетинг[],MATCH(INDEX(РазликиЗаМаркетинг[],ROW()-ROW(РазликиЗаМаркетинг[[#Headers],[Мар]]),1),INDEX(ПланираниЗаМаркетинг[],,1),0),MATCH(РазликиЗаМаркетинг[[#Headers],[Мар]],ДействителниЗаМаркетинг[#Headers],0))</f>
        <v>77</v>
      </c>
      <c r="F27" s="106">
        <f>INDEX(ПланираниЗаМаркетинг[],MATCH(INDEX(РазликиЗаМаркетинг[],ROW()-ROW(РазликиЗаМаркетинг[[#Headers],[Апр]]),1),INDEX(ПланираниЗаМаркетинг[],,1),0),MATCH(РазликиЗаМаркетинг[[#Headers],[Апр]],ПланираниЗаМаркетинг[#Headers],0))-INDEX(ДействителниЗаМаркетинг[],MATCH(INDEX(РазликиЗаМаркетинг[],ROW()-ROW(РазликиЗаМаркетинг[[#Headers],[Апр]]),1),INDEX(ПланираниЗаМаркетинг[],,1),0),MATCH(РазликиЗаМаркетинг[[#Headers],[Апр]],ДействителниЗаМаркетинг[#Headers],0))</f>
        <v>-23</v>
      </c>
      <c r="G27" s="106">
        <f>INDEX(ПланираниЗаМаркетинг[],MATCH(INDEX(РазликиЗаМаркетинг[],ROW()-ROW(РазликиЗаМаркетинг[[#Headers],[Май]]),1),INDEX(ПланираниЗаМаркетинг[],,1),0),MATCH(РазликиЗаМаркетинг[[#Headers],[Май]],ПланираниЗаМаркетинг[#Headers],0))-INDEX(ДействителниЗаМаркетинг[],MATCH(INDEX(РазликиЗаМаркетинг[],ROW()-ROW(РазликиЗаМаркетинг[[#Headers],[Май]]),1),INDEX(ПланираниЗаМаркетинг[],,1),0),MATCH(РазликиЗаМаркетинг[[#Headers],[Май]],ДействителниЗаМаркетинг[#Headers],0))</f>
        <v>13</v>
      </c>
      <c r="H27" s="106">
        <f>INDEX(ПланираниЗаМаркетинг[],MATCH(INDEX(РазликиЗаМаркетинг[],ROW()-ROW(РазликиЗаМаркетинг[[#Headers],[Юни]]),1),INDEX(ПланираниЗаМаркетинг[],,1),0),MATCH(РазликиЗаМаркетинг[[#Headers],[Юни]],ПланираниЗаМаркетинг[#Headers],0))-INDEX(ДействителниЗаМаркетинг[],MATCH(INDEX(РазликиЗаМаркетинг[],ROW()-ROW(РазликиЗаМаркетинг[[#Headers],[Юни]]),1),INDEX(ПланираниЗаМаркетинг[],,1),0),MATCH(РазликиЗаМаркетинг[[#Headers],[Юни]],ДействителниЗаМаркетинг[#Headers],0))</f>
        <v>-45</v>
      </c>
      <c r="I27" s="106">
        <f>INDEX(ПланираниЗаМаркетинг[],MATCH(INDEX(РазликиЗаМаркетинг[],ROW()-ROW(РазликиЗаМаркетинг[[#Headers],[Юли]]),1),INDEX(ПланираниЗаМаркетинг[],,1),0),MATCH(РазликиЗаМаркетинг[[#Headers],[Юли]],ПланираниЗаМаркетинг[#Headers],0))-INDEX(ДействителниЗаМаркетинг[],MATCH(INDEX(РазликиЗаМаркетинг[],ROW()-ROW(РазликиЗаМаркетинг[[#Headers],[Юли]]),1),INDEX(ПланираниЗаМаркетинг[],,1),0),MATCH(РазликиЗаМаркетинг[[#Headers],[Юли]],ДействителниЗаМаркетинг[#Headers],0))</f>
        <v>200</v>
      </c>
      <c r="J27" s="106">
        <f>INDEX(ПланираниЗаМаркетинг[],MATCH(INDEX(РазликиЗаМаркетинг[],ROW()-ROW(РазликиЗаМаркетинг[[#Headers],[Авг]]),1),INDEX(ПланираниЗаМаркетинг[],,1),0),MATCH(РазликиЗаМаркетинг[[#Headers],[Авг]],ПланираниЗаМаркетинг[#Headers],0))-INDEX(ДействителниЗаМаркетинг[],MATCH(INDEX(РазликиЗаМаркетинг[],ROW()-ROW(РазликиЗаМаркетинг[[#Headers],[Авг]]),1),INDEX(ПланираниЗаМаркетинг[],,1),0),MATCH(РазликиЗаМаркетинг[[#Headers],[Авг]],ДействителниЗаМаркетинг[#Headers],0))</f>
        <v>200</v>
      </c>
      <c r="K27" s="106">
        <f>INDEX(ПланираниЗаМаркетинг[],MATCH(INDEX(РазликиЗаМаркетинг[],ROW()-ROW(РазликиЗаМаркетинг[[#Headers],[Сеп]]),1),INDEX(ПланираниЗаМаркетинг[],,1),0),MATCH(РазликиЗаМаркетинг[[#Headers],[Сеп]],ПланираниЗаМаркетинг[#Headers],0))-INDEX(ДействителниЗаМаркетинг[],MATCH(INDEX(РазликиЗаМаркетинг[],ROW()-ROW(РазликиЗаМаркетинг[[#Headers],[Сеп]]),1),INDEX(ПланираниЗаМаркетинг[],,1),0),MATCH(РазликиЗаМаркетинг[[#Headers],[Сеп]],ДействителниЗаМаркетинг[#Headers],0))</f>
        <v>200</v>
      </c>
      <c r="L27" s="106">
        <f>INDEX(ПланираниЗаМаркетинг[],MATCH(INDEX(РазликиЗаМаркетинг[],ROW()-ROW(РазликиЗаМаркетинг[[#Headers],[Окт]]),1),INDEX(ПланираниЗаМаркетинг[],,1),0),MATCH(РазликиЗаМаркетинг[[#Headers],[Окт]],ПланираниЗаМаркетинг[#Headers],0))-INDEX(ДействителниЗаМаркетинг[],MATCH(INDEX(РазликиЗаМаркетинг[],ROW()-ROW(РазликиЗаМаркетинг[[#Headers],[Окт]]),1),INDEX(ПланираниЗаМаркетинг[],,1),0),MATCH(РазликиЗаМаркетинг[[#Headers],[Окт]],ДействителниЗаМаркетинг[#Headers],0))</f>
        <v>200</v>
      </c>
      <c r="M27" s="106">
        <f>INDEX(ПланираниЗаМаркетинг[],MATCH(INDEX(РазликиЗаМаркетинг[],ROW()-ROW(РазликиЗаМаркетинг[[#Headers],[Ное]]),1),INDEX(ПланираниЗаМаркетинг[],,1),0),MATCH(РазликиЗаМаркетинг[[#Headers],[Ное]],ПланираниЗаМаркетинг[#Headers],0))-INDEX(ДействителниЗаМаркетинг[],MATCH(INDEX(РазликиЗаМаркетинг[],ROW()-ROW(РазликиЗаМаркетинг[[#Headers],[Ное]]),1),INDEX(ПланираниЗаМаркетинг[],,1),0),MATCH(РазликиЗаМаркетинг[[#Headers],[Ное]],ДействителниЗаМаркетинг[#Headers],0))</f>
        <v>200</v>
      </c>
      <c r="N27" s="106">
        <f>INDEX(ПланираниЗаМаркетинг[],MATCH(INDEX(РазликиЗаМаркетинг[],ROW()-ROW(РазликиЗаМаркетинг[[#Headers],[Дек]]),1),INDEX(ПланираниЗаМаркетинг[],,1),0),MATCH(РазликиЗаМаркетинг[[#Headers],[Дек]],ПланираниЗаМаркетинг[#Headers],0))-INDEX(ДействителниЗаМаркетинг[],MATCH(INDEX(РазликиЗаМаркетинг[],ROW()-ROW(РазликиЗаМаркетинг[[#Headers],[Дек]]),1),INDEX(ПланираниЗаМаркетинг[],,1),0),MATCH(РазликиЗаМаркетинг[[#Headers],[Дек]],ДействителниЗаМаркетинг[#Headers],0))</f>
        <v>200</v>
      </c>
      <c r="O27" s="107">
        <f>SUM(РазликиЗаМаркетинг[[#This Row],[Янр]:[Дек]])</f>
        <v>1321</v>
      </c>
    </row>
    <row r="28" spans="1:15" ht="24.95" customHeight="1" x14ac:dyDescent="0.3">
      <c r="A28" s="33"/>
      <c r="B28" s="75" t="s">
        <v>13</v>
      </c>
      <c r="C28" s="114">
        <f>SUBTOTAL(109,РазликиЗаМаркетинг[Янр])</f>
        <v>555</v>
      </c>
      <c r="D28" s="114">
        <f>SUBTOTAL(109,РазликиЗаМаркетинг[Фев])</f>
        <v>-456</v>
      </c>
      <c r="E28" s="114">
        <f>SUBTOTAL(109,РазликиЗаМаркетинг[Мар])</f>
        <v>-23</v>
      </c>
      <c r="F28" s="114">
        <f>SUBTOTAL(109,РазликиЗаМаркетинг[Апр])</f>
        <v>-123</v>
      </c>
      <c r="G28" s="114">
        <f>SUBTOTAL(109,РазликиЗаМаркетинг[Май])</f>
        <v>113</v>
      </c>
      <c r="H28" s="114">
        <f>SUBTOTAL(109,РазликиЗаМаркетинг[Юни])</f>
        <v>-825</v>
      </c>
      <c r="I28" s="114">
        <f>SUBTOTAL(109,РазликиЗаМаркетинг[Юли])</f>
        <v>8100</v>
      </c>
      <c r="J28" s="114">
        <f>SUBTOTAL(109,РазликиЗаМаркетинг[Авг])</f>
        <v>6100</v>
      </c>
      <c r="K28" s="114">
        <f>SUBTOTAL(109,РазликиЗаМаркетинг[Сеп])</f>
        <v>3100</v>
      </c>
      <c r="L28" s="114">
        <f>SUBTOTAL(109,РазликиЗаМаркетинг[Окт])</f>
        <v>8100</v>
      </c>
      <c r="M28" s="114">
        <f>SUBTOTAL(109,РазликиЗаМаркетинг[Ное])</f>
        <v>3100</v>
      </c>
      <c r="N28" s="114">
        <f>SUBTOTAL(109,РазликиЗаМаркетинг[Дек])</f>
        <v>6900</v>
      </c>
      <c r="O28" s="115">
        <f>SUBTOTAL(109,РазликиЗаМаркетинг[ГОДИНА])</f>
        <v>34641</v>
      </c>
    </row>
    <row r="29" spans="1:15" ht="21" customHeight="1" x14ac:dyDescent="0.3">
      <c r="A29" s="33"/>
      <c r="B29" s="83"/>
      <c r="C29" s="8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</row>
    <row r="30" spans="1:15" ht="24.95" customHeight="1" thickBot="1" x14ac:dyDescent="0.35">
      <c r="A30" s="33"/>
      <c r="B30" s="58" t="s">
        <v>30</v>
      </c>
      <c r="C30" s="50" t="s">
        <v>37</v>
      </c>
      <c r="D30" s="50" t="s">
        <v>39</v>
      </c>
      <c r="E30" s="93" t="s">
        <v>41</v>
      </c>
      <c r="F30" s="50" t="s">
        <v>43</v>
      </c>
      <c r="G30" s="50" t="s">
        <v>45</v>
      </c>
      <c r="H30" s="50" t="s">
        <v>47</v>
      </c>
      <c r="I30" s="50" t="s">
        <v>49</v>
      </c>
      <c r="J30" s="50" t="s">
        <v>51</v>
      </c>
      <c r="K30" s="50" t="s">
        <v>55</v>
      </c>
      <c r="L30" s="50" t="s">
        <v>57</v>
      </c>
      <c r="M30" s="50" t="s">
        <v>59</v>
      </c>
      <c r="N30" s="50" t="s">
        <v>61</v>
      </c>
      <c r="O30" s="51" t="s">
        <v>62</v>
      </c>
    </row>
    <row r="31" spans="1:15" ht="24.95" customHeight="1" thickBot="1" x14ac:dyDescent="0.35">
      <c r="A31" s="33"/>
      <c r="B31" s="64" t="s">
        <v>31</v>
      </c>
      <c r="C31" s="106">
        <f>INDEX(ПланираниЗаОбученияИПътувания[],MATCH(INDEX(РазликиЗаОбученияИПътувания[],ROW()-ROW(РазликиЗаОбученияИПътувания[[#Headers],[Янр]]),1),INDEX(ПланираниЗаОбученияИПътувания[],,1),0),MATCH(РазликиЗаОбученияИПътувания[[#Headers],[Янр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Янр]]),1),INDEX(ПланираниЗаОбученияИПътувания[],,1),0),MATCH(РазликиЗаОбученияИПътувания[[#Headers],[Янр]],ДействителниЗаОбученияИПътувания[#Headers],0))</f>
        <v>400</v>
      </c>
      <c r="D31" s="106">
        <f>INDEX(ПланираниЗаОбученияИПътувания[],MATCH(INDEX(РазликиЗаОбученияИПътувания[],ROW()-ROW(РазликиЗаОбученияИПътувания[[#Headers],[Фев]]),1),INDEX(ПланираниЗаОбученияИПътувания[],,1),0),MATCH(РазликиЗаОбученияИПътувания[[#Headers],[Фев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Фев]]),1),INDEX(ПланираниЗаОбученияИПътувания[],,1),0),MATCH(РазликиЗаОбученияИПътувания[[#Headers],[Фев]],ДействителниЗаОбученияИПътувания[#Headers],0))</f>
        <v>-400</v>
      </c>
      <c r="E31" s="106">
        <f>INDEX(ПланираниЗаОбученияИПътувания[],MATCH(INDEX(РазликиЗаОбученияИПътувания[],ROW()-ROW(РазликиЗаОбученияИПътувания[[#Headers],[Мар]]),1),INDEX(ПланираниЗаОбученияИПътувания[],,1),0),MATCH(РазликиЗаОбученияИПътувания[[#Headers],[Мар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Мар]]),1),INDEX(ПланираниЗаОбученияИПътувания[],,1),0),MATCH(РазликиЗаОбученияИПътувания[[#Headers],[Мар]],ДействителниЗаОбученияИПътувания[#Headers],0))</f>
        <v>600</v>
      </c>
      <c r="F31" s="106">
        <f>INDEX(ПланираниЗаОбученияИПътувания[],MATCH(INDEX(РазликиЗаОбученияИПътувания[],ROW()-ROW(РазликиЗаОбученияИПътувания[[#Headers],[Апр]]),1),INDEX(ПланираниЗаОбученияИПътувания[],,1),0),MATCH(РазликиЗаОбученияИПътувания[[#Headers],[Апр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Апр]]),1),INDEX(ПланираниЗаОбученияИПътувания[],,1),0),MATCH(РазликиЗаОбученияИПътувания[[#Headers],[Апр]],ДействителниЗаОбученияИПътувания[#Headers],0))</f>
        <v>400</v>
      </c>
      <c r="G31" s="106">
        <f>INDEX(ПланираниЗаОбученияИПътувания[],MATCH(INDEX(РазликиЗаОбученияИПътувания[],ROW()-ROW(РазликиЗаОбученияИПътувания[[#Headers],[Май]]),1),INDEX(ПланираниЗаОбученияИПътувания[],,1),0),MATCH(РазликиЗаОбученияИПътувания[[#Headers],[Май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Май]]),1),INDEX(ПланираниЗаОбученияИПътувания[],,1),0),MATCH(РазликиЗаОбученияИПътувания[[#Headers],[Май]],ДействителниЗаОбученияИПътувания[#Headers],0))</f>
        <v>800</v>
      </c>
      <c r="H31" s="106">
        <f>INDEX(ПланираниЗаОбученияИПътувания[],MATCH(INDEX(РазликиЗаОбученияИПътувания[],ROW()-ROW(РазликиЗаОбученияИПътувания[[#Headers],[Юни]]),1),INDEX(ПланираниЗаОбученияИПътувания[],,1),0),MATCH(РазликиЗаОбученияИПътувания[[#Headers],[Юни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Юни]]),1),INDEX(ПланираниЗаОбученияИПътувания[],,1),0),MATCH(РазликиЗаОбученияИПътувания[[#Headers],[Юни]],ДействителниЗаОбученияИПътувания[#Headers],0))</f>
        <v>-800</v>
      </c>
      <c r="I31" s="106">
        <f>INDEX(ПланираниЗаОбученияИПътувания[],MATCH(INDEX(РазликиЗаОбученияИПътувания[],ROW()-ROW(РазликиЗаОбученияИПътувания[[#Headers],[Юли]]),1),INDEX(ПланираниЗаОбученияИПътувания[],,1),0),MATCH(РазликиЗаОбученияИПътувания[[#Headers],[Юли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Юли]]),1),INDEX(ПланираниЗаОбученияИПътувания[],,1),0),MATCH(РазликиЗаОбученияИПътувания[[#Headers],[Юли]],ДействителниЗаОбученияИПътувания[#Headers],0))</f>
        <v>2000</v>
      </c>
      <c r="J31" s="106">
        <f>INDEX(ПланираниЗаОбученияИПътувания[],MATCH(INDEX(РазликиЗаОбученияИПътувания[],ROW()-ROW(РазликиЗаОбученияИПътувания[[#Headers],[Авг]]),1),INDEX(ПланираниЗаОбученияИПътувания[],,1),0),MATCH(РазликиЗаОбученияИПътувания[[#Headers],[Авг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Авг]]),1),INDEX(ПланираниЗаОбученияИПътувания[],,1),0),MATCH(РазликиЗаОбученияИПътувания[[#Headers],[Авг]],ДействителниЗаОбученияИПътувания[#Headers],0))</f>
        <v>2000</v>
      </c>
      <c r="K31" s="106">
        <f>INDEX(ПланираниЗаОбученияИПътувания[],MATCH(INDEX(РазликиЗаОбученияИПътувания[],ROW()-ROW(РазликиЗаОбученияИПътувания[[#Headers],[Сеп]]),1),INDEX(ПланираниЗаОбученияИПътувания[],,1),0),MATCH(РазликиЗаОбученияИПътувания[[#Headers],[Сеп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Сеп]]),1),INDEX(ПланираниЗаОбученияИПътувания[],,1),0),MATCH(РазликиЗаОбученияИПътувания[[#Headers],[Сеп]],ДействителниЗаОбученияИПътувания[#Headers],0))</f>
        <v>2000</v>
      </c>
      <c r="L31" s="106">
        <f>INDEX(ПланираниЗаОбученияИПътувания[],MATCH(INDEX(РазликиЗаОбученияИПътувания[],ROW()-ROW(РазликиЗаОбученияИПътувания[[#Headers],[Окт]]),1),INDEX(ПланираниЗаОбученияИПътувания[],,1),0),MATCH(РазликиЗаОбученияИПътувания[[#Headers],[Окт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Окт]]),1),INDEX(ПланираниЗаОбученияИПътувания[],,1),0),MATCH(РазликиЗаОбученияИПътувания[[#Headers],[Окт]],ДействителниЗаОбученияИПътувания[#Headers],0))</f>
        <v>2000</v>
      </c>
      <c r="M31" s="106">
        <f>INDEX(ПланираниЗаОбученияИПътувания[],MATCH(INDEX(РазликиЗаОбученияИПътувания[],ROW()-ROW(РазликиЗаОбученияИПътувания[[#Headers],[Ное]]),1),INDEX(ПланираниЗаОбученияИПътувания[],,1),0),MATCH(РазликиЗаОбученияИПътувания[[#Headers],[Ное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Ное]]),1),INDEX(ПланираниЗаОбученияИПътувания[],,1),0),MATCH(РазликиЗаОбученияИПътувания[[#Headers],[Ное]],ДействителниЗаОбученияИПътувания[#Headers],0))</f>
        <v>2000</v>
      </c>
      <c r="N31" s="106">
        <f>INDEX(ПланираниЗаОбученияИПътувания[],MATCH(INDEX(РазликиЗаОбученияИПътувания[],ROW()-ROW(РазликиЗаОбученияИПътувания[[#Headers],[Дек]]),1),INDEX(ПланираниЗаОбученияИПътувания[],,1),0),MATCH(РазликиЗаОбученияИПътувания[[#Headers],[Дек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Дек]]),1),INDEX(ПланираниЗаОбученияИПътувания[],,1),0),MATCH(РазликиЗаОбученияИПътувания[[#Headers],[Дек]],ДействителниЗаОбученияИПътувания[#Headers],0))</f>
        <v>2000</v>
      </c>
      <c r="O31" s="107">
        <f>SUM(РазликиЗаОбученияИПътувания[[#This Row],[Янр]:[Дек]])</f>
        <v>13000</v>
      </c>
    </row>
    <row r="32" spans="1:15" ht="24.95" customHeight="1" thickBot="1" x14ac:dyDescent="0.35">
      <c r="A32" s="33"/>
      <c r="B32" s="64" t="s">
        <v>32</v>
      </c>
      <c r="C32" s="106">
        <f>INDEX(ПланираниЗаОбученияИПътувания[],MATCH(INDEX(РазликиЗаОбученияИПътувания[],ROW()-ROW(РазликиЗаОбученияИПътувания[[#Headers],[Янр]]),1),INDEX(ПланираниЗаОбученияИПътувания[],,1),0),MATCH(РазликиЗаОбученияИПътувания[[#Headers],[Янр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Янр]]),1),INDEX(ПланираниЗаОбученияИПътувания[],,1),0),MATCH(РазликиЗаОбученияИПътувания[[#Headers],[Янр]],ДействителниЗаОбученияИПътувания[#Headers],0))</f>
        <v>800</v>
      </c>
      <c r="D32" s="106">
        <f>INDEX(ПланираниЗаОбученияИПътувания[],MATCH(INDEX(РазликиЗаОбученияИПътувания[],ROW()-ROW(РазликиЗаОбученияИПътувания[[#Headers],[Фев]]),1),INDEX(ПланираниЗаОбученияИПътувания[],,1),0),MATCH(РазликиЗаОбученияИПътувания[[#Headers],[Фев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Фев]]),1),INDEX(ПланираниЗаОбученияИПътувания[],,1),0),MATCH(РазликиЗаОбученияИПътувания[[#Headers],[Фев]],ДействителниЗаОбученияИПътувания[#Headers],0))</f>
        <v>-200</v>
      </c>
      <c r="E32" s="106">
        <f>INDEX(ПланираниЗаОбученияИПътувания[],MATCH(INDEX(РазликиЗаОбученияИПътувания[],ROW()-ROW(РазликиЗаОбученияИПътувания[[#Headers],[Мар]]),1),INDEX(ПланираниЗаОбученияИПътувания[],,1),0),MATCH(РазликиЗаОбученияИПътувания[[#Headers],[Мар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Мар]]),1),INDEX(ПланираниЗаОбученияИПътувания[],,1),0),MATCH(РазликиЗаОбученияИПътувания[[#Headers],[Мар]],ДействителниЗаОбученияИПътувания[#Headers],0))</f>
        <v>600</v>
      </c>
      <c r="F32" s="106">
        <f>INDEX(ПланираниЗаОбученияИПътувания[],MATCH(INDEX(РазликиЗаОбученияИПътувания[],ROW()-ROW(РазликиЗаОбученияИПътувания[[#Headers],[Апр]]),1),INDEX(ПланираниЗаОбученияИПътувания[],,1),0),MATCH(РазликиЗаОбученияИПътувания[[#Headers],[Апр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Апр]]),1),INDEX(ПланираниЗаОбученияИПътувания[],,1),0),MATCH(РазликиЗаОбученияИПътувания[[#Headers],[Апр]],ДействителниЗаОбученияИПътувания[#Headers],0))</f>
        <v>800</v>
      </c>
      <c r="G32" s="106">
        <f>INDEX(ПланираниЗаОбученияИПътувания[],MATCH(INDEX(РазликиЗаОбученияИПътувания[],ROW()-ROW(РазликиЗаОбученияИПътувания[[#Headers],[Май]]),1),INDEX(ПланираниЗаОбученияИПътувания[],,1),0),MATCH(РазликиЗаОбученияИПътувания[[#Headers],[Май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Май]]),1),INDEX(ПланираниЗаОбученияИПътувания[],,1),0),MATCH(РазликиЗаОбученияИПътувания[[#Headers],[Май]],ДействителниЗаОбученияИПътувания[#Headers],0))</f>
        <v>1200</v>
      </c>
      <c r="H32" s="106">
        <f>INDEX(ПланираниЗаОбученияИПътувания[],MATCH(INDEX(РазликиЗаОбученияИПътувания[],ROW()-ROW(РазликиЗаОбученияИПътувания[[#Headers],[Юни]]),1),INDEX(ПланираниЗаОбученияИПътувания[],,1),0),MATCH(РазликиЗаОбученияИПътувания[[#Headers],[Юни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Юни]]),1),INDEX(ПланираниЗаОбученияИПътувания[],,1),0),MATCH(РазликиЗаОбученияИПътувания[[#Headers],[Юни]],ДействителниЗаОбученияИПътувания[#Headers],0))</f>
        <v>-1500</v>
      </c>
      <c r="I32" s="106">
        <f>INDEX(ПланираниЗаОбученияИПътувания[],MATCH(INDEX(РазликиЗаОбученияИПътувания[],ROW()-ROW(РазликиЗаОбученияИПътувания[[#Headers],[Юли]]),1),INDEX(ПланираниЗаОбученияИПътувания[],,1),0),MATCH(РазликиЗаОбученияИПътувания[[#Headers],[Юли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Юли]]),1),INDEX(ПланираниЗаОбученияИПътувания[],,1),0),MATCH(РазликиЗаОбученияИПътувания[[#Headers],[Юли]],ДействителниЗаОбученияИПътувания[#Headers],0))</f>
        <v>2000</v>
      </c>
      <c r="J32" s="106">
        <f>INDEX(ПланираниЗаОбученияИПътувания[],MATCH(INDEX(РазликиЗаОбученияИПътувания[],ROW()-ROW(РазликиЗаОбученияИПътувания[[#Headers],[Авг]]),1),INDEX(ПланираниЗаОбученияИПътувания[],,1),0),MATCH(РазликиЗаОбученияИПътувания[[#Headers],[Авг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Авг]]),1),INDEX(ПланираниЗаОбученияИПътувания[],,1),0),MATCH(РазликиЗаОбученияИПътувания[[#Headers],[Авг]],ДействителниЗаОбученияИПътувания[#Headers],0))</f>
        <v>2000</v>
      </c>
      <c r="K32" s="106">
        <f>INDEX(ПланираниЗаОбученияИПътувания[],MATCH(INDEX(РазликиЗаОбученияИПътувания[],ROW()-ROW(РазликиЗаОбученияИПътувания[[#Headers],[Сеп]]),1),INDEX(ПланираниЗаОбученияИПътувания[],,1),0),MATCH(РазликиЗаОбученияИПътувания[[#Headers],[Сеп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Сеп]]),1),INDEX(ПланираниЗаОбученияИПътувания[],,1),0),MATCH(РазликиЗаОбученияИПътувания[[#Headers],[Сеп]],ДействителниЗаОбученияИПътувания[#Headers],0))</f>
        <v>2000</v>
      </c>
      <c r="L32" s="106">
        <f>INDEX(ПланираниЗаОбученияИПътувания[],MATCH(INDEX(РазликиЗаОбученияИПътувания[],ROW()-ROW(РазликиЗаОбученияИПътувания[[#Headers],[Окт]]),1),INDEX(ПланираниЗаОбученияИПътувания[],,1),0),MATCH(РазликиЗаОбученияИПътувания[[#Headers],[Окт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Окт]]),1),INDEX(ПланираниЗаОбученияИПътувания[],,1),0),MATCH(РазликиЗаОбученияИПътувания[[#Headers],[Окт]],ДействителниЗаОбученияИПътувания[#Headers],0))</f>
        <v>2000</v>
      </c>
      <c r="M32" s="106">
        <f>INDEX(ПланираниЗаОбученияИПътувания[],MATCH(INDEX(РазликиЗаОбученияИПътувания[],ROW()-ROW(РазликиЗаОбученияИПътувания[[#Headers],[Ное]]),1),INDEX(ПланираниЗаОбученияИПътувания[],,1),0),MATCH(РазликиЗаОбученияИПътувания[[#Headers],[Ное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Ное]]),1),INDEX(ПланираниЗаОбученияИПътувания[],,1),0),MATCH(РазликиЗаОбученияИПътувания[[#Headers],[Ное]],ДействителниЗаОбученияИПътувания[#Headers],0))</f>
        <v>2000</v>
      </c>
      <c r="N32" s="106">
        <f>INDEX(ПланираниЗаОбученияИПътувания[],MATCH(INDEX(РазликиЗаОбученияИПътувания[],ROW()-ROW(РазликиЗаОбученияИПътувания[[#Headers],[Дек]]),1),INDEX(ПланираниЗаОбученияИПътувания[],,1),0),MATCH(РазликиЗаОбученияИПътувания[[#Headers],[Дек]],ПланираниЗаОбученияИПътувания[#Headers],0))-INDEX(ДействителниЗаОбученияИПътувания[],MATCH(INDEX(РазликиЗаОбученияИПътувания[],ROW()-ROW(РазликиЗаОбученияИПътувания[[#Headers],[Дек]]),1),INDEX(ПланираниЗаОбученияИПътувания[],,1),0),MATCH(РазликиЗаОбученияИПътувания[[#Headers],[Дек]],ДействителниЗаОбученияИПътувания[#Headers],0))</f>
        <v>2000</v>
      </c>
      <c r="O32" s="107">
        <f>SUM(РазликиЗаОбученияИПътувания[[#This Row],[Янр]:[Дек]])</f>
        <v>13700</v>
      </c>
    </row>
    <row r="33" spans="1:15" ht="24.95" customHeight="1" x14ac:dyDescent="0.3">
      <c r="A33" s="33"/>
      <c r="B33" s="77" t="s">
        <v>13</v>
      </c>
      <c r="C33" s="114">
        <f>SUBTOTAL(109,РазликиЗаОбученияИПътувания[Янр])</f>
        <v>1200</v>
      </c>
      <c r="D33" s="114">
        <f>SUBTOTAL(109,РазликиЗаОбученияИПътувания[Фев])</f>
        <v>-600</v>
      </c>
      <c r="E33" s="114">
        <f>SUBTOTAL(109,РазликиЗаОбученияИПътувания[Мар])</f>
        <v>1200</v>
      </c>
      <c r="F33" s="114">
        <f>SUBTOTAL(109,РазликиЗаОбученияИПътувания[Апр])</f>
        <v>1200</v>
      </c>
      <c r="G33" s="114">
        <f>SUBTOTAL(109,РазликиЗаОбученияИПътувания[Май])</f>
        <v>2000</v>
      </c>
      <c r="H33" s="114">
        <f>SUBTOTAL(109,РазликиЗаОбученияИПътувания[Юни])</f>
        <v>-2300</v>
      </c>
      <c r="I33" s="114">
        <f>SUBTOTAL(109,РазликиЗаОбученияИПътувания[Юли])</f>
        <v>4000</v>
      </c>
      <c r="J33" s="114">
        <f>SUBTOTAL(109,РазликиЗаОбученияИПътувания[Авг])</f>
        <v>4000</v>
      </c>
      <c r="K33" s="114">
        <f>SUBTOTAL(109,РазликиЗаОбученияИПътувания[Сеп])</f>
        <v>4000</v>
      </c>
      <c r="L33" s="114">
        <f>SUBTOTAL(109,РазликиЗаОбученияИПътувания[Окт])</f>
        <v>4000</v>
      </c>
      <c r="M33" s="114">
        <f>SUBTOTAL(109,РазликиЗаОбученияИПътувания[Ное])</f>
        <v>4000</v>
      </c>
      <c r="N33" s="114">
        <f>SUBTOTAL(109,РазликиЗаОбученияИПътувания[Дек])</f>
        <v>4000</v>
      </c>
      <c r="O33" s="115">
        <f>SUBTOTAL(109,РазликиЗаОбученияИПътувания[ГОДИНА])</f>
        <v>26700</v>
      </c>
    </row>
    <row r="34" spans="1:15" ht="21" customHeight="1" x14ac:dyDescent="0.3">
      <c r="A34" s="33"/>
      <c r="B34" s="83"/>
      <c r="C34" s="8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4.95" customHeight="1" thickBot="1" x14ac:dyDescent="0.35">
      <c r="A35" s="41"/>
      <c r="B35" s="12" t="s">
        <v>33</v>
      </c>
      <c r="C35" s="29" t="s">
        <v>37</v>
      </c>
      <c r="D35" s="29" t="s">
        <v>39</v>
      </c>
      <c r="E35" s="29" t="s">
        <v>41</v>
      </c>
      <c r="F35" s="29" t="s">
        <v>43</v>
      </c>
      <c r="G35" s="29" t="s">
        <v>45</v>
      </c>
      <c r="H35" s="29" t="s">
        <v>47</v>
      </c>
      <c r="I35" s="29" t="s">
        <v>49</v>
      </c>
      <c r="J35" s="29" t="s">
        <v>51</v>
      </c>
      <c r="K35" s="29" t="s">
        <v>55</v>
      </c>
      <c r="L35" s="29" t="s">
        <v>57</v>
      </c>
      <c r="M35" s="29" t="s">
        <v>59</v>
      </c>
      <c r="N35" s="29" t="s">
        <v>61</v>
      </c>
      <c r="O35" s="29" t="s">
        <v>63</v>
      </c>
    </row>
    <row r="36" spans="1:15" ht="24.95" customHeight="1" thickBot="1" x14ac:dyDescent="0.35">
      <c r="A36" s="33"/>
      <c r="B36" s="13" t="s">
        <v>66</v>
      </c>
      <c r="C36" s="123">
        <f>РазликиЗаОбученияИПътувания[[#Totals],[Янр]]+РазликиЗаМаркетинг[[#Totals],[Янр]]+РазликиЗаОфис[[#Totals],[Янр]]+РазликиЗаСлужители[[#Totals],[Янр]]</f>
        <v>1738</v>
      </c>
      <c r="D36" s="123">
        <f>РазликиЗаОбученияИПътувания[[#Totals],[Фев]]+РазликиЗаМаркетинг[[#Totals],[Фев]]+РазликиЗаОфис[[#Totals],[Фев]]+РазликиЗаСлужители[[#Totals],[Фев]]</f>
        <v>-984</v>
      </c>
      <c r="E36" s="123">
        <f>РазликиЗаОбученияИПътувания[[#Totals],[Мар]]+РазликиЗаМаркетинг[[#Totals],[Мар]]+РазликиЗаОфис[[#Totals],[Мар]]+РазликиЗаСлужители[[#Totals],[Мар]]</f>
        <v>1255</v>
      </c>
      <c r="F36" s="123">
        <f>РазликиЗаОбученияИПътувания[[#Totals],[Апр]]+РазликиЗаМаркетинг[[#Totals],[Апр]]+РазликиЗаОфис[[#Totals],[Апр]]+РазликиЗаСлужители[[#Totals],[Апр]]</f>
        <v>301</v>
      </c>
      <c r="G36" s="123">
        <f>РазликиЗаОбученияИПътувания[[#Totals],[Май]]+РазликиЗаМаркетинг[[#Totals],[Май]]+РазликиЗаОфис[[#Totals],[Май]]+РазликиЗаСлужители[[#Totals],[Май]]</f>
        <v>1440</v>
      </c>
      <c r="H36" s="123">
        <f>РазликиЗаОбученияИПътувания[[#Totals],[Юни]]+РазликиЗаМаркетинг[[#Totals],[Юни]]+РазликиЗаОфис[[#Totals],[Юни]]+РазликиЗаСлужители[[#Totals],[Юни]]</f>
        <v>-3744</v>
      </c>
      <c r="I36" s="123">
        <f>РазликиЗаОбученияИПътувания[[#Totals],[Юли]]+РазликиЗаМаркетинг[[#Totals],[Юли]]+РазликиЗаОфис[[#Totals],[Юли]]+РазликиЗаСлужители[[#Totals],[Юли]]</f>
        <v>134695</v>
      </c>
      <c r="J36" s="123">
        <f>РазликиЗаОбученияИПътувания[[#Totals],[Авг]]+РазликиЗаМаркетинг[[#Totals],[Авг]]+РазликиЗаОфис[[#Totals],[Авг]]+РазликиЗаСлужители[[#Totals],[Авг]]</f>
        <v>138918</v>
      </c>
      <c r="K36" s="123">
        <f>РазликиЗаОбученияИПътувания[[#Totals],[Сеп]]+РазликиЗаМаркетинг[[#Totals],[Сеп]]+РазликиЗаОфис[[#Totals],[Сеп]]+РазликиЗаСлужители[[#Totals],[Сеп]]</f>
        <v>135918</v>
      </c>
      <c r="L36" s="123">
        <f>РазликиЗаОбученияИПътувания[[#Totals],[Окт]]+РазликиЗаМаркетинг[[#Totals],[Окт]]+РазликиЗаОфис[[#Totals],[Окт]]+РазликиЗаСлужители[[#Totals],[Окт]]</f>
        <v>140918</v>
      </c>
      <c r="M36" s="123">
        <f>РазликиЗаОбученияИПътувания[[#Totals],[Ное]]+РазликиЗаМаркетинг[[#Totals],[Ное]]+РазликиЗаОфис[[#Totals],[Ное]]+РазликиЗаСлужители[[#Totals],[Ное]]</f>
        <v>136218</v>
      </c>
      <c r="N36" s="123">
        <f>РазликиЗаОбученияИПътувания[[#Totals],[Дек]]+РазликиЗаМаркетинг[[#Totals],[Дек]]+РазликиЗаОфис[[#Totals],[Дек]]+РазликиЗаСлужители[[#Totals],[Дек]]</f>
        <v>140018</v>
      </c>
      <c r="O36" s="123">
        <f>РазликиЗаОбученияИПътувания[[#Totals],[ГОДИНА]]+РазликиЗаМаркетинг[[#Totals],[ГОДИНА]]+РазликиЗаОфис[[#Totals],[ГОДИНА]]+РазликиЗаСлужители[[#Totals],[ГОДИНА]]</f>
        <v>826691</v>
      </c>
    </row>
    <row r="37" spans="1:15" ht="24.95" customHeight="1" thickBot="1" x14ac:dyDescent="0.35">
      <c r="A37" s="33"/>
      <c r="B37" s="13" t="s">
        <v>67</v>
      </c>
      <c r="C37" s="124">
        <f>SUM($C$36:C36)</f>
        <v>1738</v>
      </c>
      <c r="D37" s="124">
        <f>SUM($C$36:D36)</f>
        <v>754</v>
      </c>
      <c r="E37" s="124">
        <f>SUM($C$36:E36)</f>
        <v>2009</v>
      </c>
      <c r="F37" s="124">
        <f>SUM($C$36:F36)</f>
        <v>2310</v>
      </c>
      <c r="G37" s="124">
        <f>SUM($C$36:G36)</f>
        <v>3750</v>
      </c>
      <c r="H37" s="124">
        <f>SUM($C$36:H36)</f>
        <v>6</v>
      </c>
      <c r="I37" s="124">
        <f>SUM($C$36:I36)</f>
        <v>134701</v>
      </c>
      <c r="J37" s="124">
        <f>SUM($C$36:J36)</f>
        <v>273619</v>
      </c>
      <c r="K37" s="124">
        <f>SUM($C$36:K36)</f>
        <v>409537</v>
      </c>
      <c r="L37" s="124">
        <f>SUM($C$36:L36)</f>
        <v>550455</v>
      </c>
      <c r="M37" s="124">
        <f>SUM($C$36:M36)</f>
        <v>686673</v>
      </c>
      <c r="N37" s="124">
        <f>SUM($C$36:N36)</f>
        <v>826691</v>
      </c>
      <c r="O37" s="124"/>
    </row>
    <row r="38" spans="1:15" ht="21" customHeight="1" x14ac:dyDescent="0.3">
      <c r="A38" s="33"/>
      <c r="D38" s="14"/>
    </row>
  </sheetData>
  <mergeCells count="2">
    <mergeCell ref="K2:M2"/>
    <mergeCell ref="K3:M3"/>
  </mergeCells>
  <conditionalFormatting sqref="C6:O8">
    <cfRule type="cellIs" dxfId="160" priority="5" operator="lessThan">
      <formula>0</formula>
    </cfRule>
  </conditionalFormatting>
  <conditionalFormatting sqref="C11:O19">
    <cfRule type="cellIs" dxfId="159" priority="4" operator="lessThan">
      <formula>0</formula>
    </cfRule>
  </conditionalFormatting>
  <conditionalFormatting sqref="C22:O28">
    <cfRule type="cellIs" dxfId="158" priority="3" operator="lessThan">
      <formula>0</formula>
    </cfRule>
  </conditionalFormatting>
  <conditionalFormatting sqref="C31:O33">
    <cfRule type="cellIs" dxfId="157" priority="2" operator="lessThan">
      <formula>0</formula>
    </cfRule>
  </conditionalFormatting>
  <conditionalFormatting sqref="C36:O37">
    <cfRule type="cellIs" dxfId="156" priority="1" operator="lessThan">
      <formula>0</formula>
    </cfRule>
  </conditionalFormatting>
  <dataValidations count="10">
    <dataValidation allowBlank="1" showInputMessage="1" showErrorMessage="1" prompt="Контейнерът за емблемата е в тази клетка." sqref="N2" xr:uid="{37781601-5DCB-461E-AE37-039617AC3765}"/>
    <dataValidation allowBlank="1" showInputMessage="1" showErrorMessage="1" prompt="Етикетът &quot;Разлики в разходите&quot; е в клетката отдясно, месеците – в клетки от C4 до N4, а етикетът &quot;Година&quot; – в O4." sqref="A4" xr:uid="{30EF6476-989C-4E19-8BDE-66AFC1B5F398}"/>
    <dataValidation allowBlank="1" showInputMessage="1" showErrorMessage="1" prompt="Дисперсията в &quot;Разходи за служители&quot; се изчислява автоматично в таблицата &quot;Дисперсии на служители&quot;, започвайки от клетката вдясно. Следващата инструкция е в клетка A10." sqref="A5" xr:uid="{839F8F2D-41ED-4FCE-836B-A98A823A57CC}"/>
    <dataValidation allowBlank="1" showInputMessage="1" showErrorMessage="1" prompt="Дисперсията в &quot;Разходи за офис&quot; се изчислява автоматично в таблицата с дисперсии на офис, започвайки от клетката вдясно. Следващата инструкция е в клетка A21." sqref="A10" xr:uid="{27073073-4E55-44AA-82CF-0E84E7DE56D1}"/>
    <dataValidation allowBlank="1" showInputMessage="1" showErrorMessage="1" prompt="Дисперсията в маркетинговите разходи се изчислява автоматично в таблицата &quot;Пазарни дисперсии&quot;, започвайки от клетка вдясно. Следващата инструкция е в клетка A30." sqref="A21" xr:uid="{DE322E29-78F0-4CAC-A794-538FBE82A952}"/>
    <dataValidation allowBlank="1" showInputMessage="1" showErrorMessage="1" prompt="Дисперсията в разходите за обучение или пътуване се изчислява автоматично в таблицата &quot;Дисперсии на обучение и пътувания&quot;, започвайки от клетка вдясно. Следващата инструкция е в клетка A35." sqref="A30" xr:uid="{E7DC2698-49F1-46FA-BC02-81CE67BF794B}"/>
    <dataValidation allowBlank="1" showInputMessage="1" showErrorMessage="1" prompt="Разликите в разходите се изчисляват автоматично в таблицата &quot;Обща разлика&quot;, започваща от клетката вдясно." sqref="A35" xr:uid="{96167FAC-0878-4372-B9C2-FE529C7ABF6D}"/>
    <dataValidation allowBlank="1" showInputMessage="1" showErrorMessage="1" prompt="Въведете &quot;Планирани разходи за служители&quot;, &quot;Разходи за офис&quot;, &quot;Маркетингови разходи&quot; и &quot;Обучение&quot; или &quot;Пътни разходи&quot; в съотв. табл. в този лист. Общ. суми се изч. автом. Инстр. как да използвате раб. лист са в кл. в тази колона. Стрелка надолу за нач." sqref="A1" xr:uid="{C935014E-97FD-4DC5-8990-FFCC7A693081}"/>
    <dataValidation allowBlank="1" showInputMessage="1" showErrorMessage="1" prompt="Името на фирмата се актуализира автоматично в клетката вдясно. Заглавието на този работен лист е в клетка K2. Въведете емблема в клетка N2." sqref="A2" xr:uid="{ACC2090E-7A1F-4581-8E9B-5F88818E0C50}"/>
    <dataValidation allowBlank="1" showInputMessage="1" showErrorMessage="1" prompt="Пояснението е в клетка K3." sqref="A3" xr:uid="{6033F748-E9D5-4DE6-B824-555D5C6CA4CF}"/>
  </dataValidations>
  <pageMargins left="0.7" right="0.7" top="0.75" bottom="0.75" header="0.3" footer="0.3"/>
  <pageSetup paperSize="9" fitToHeight="0" orientation="portrait" r:id="rId1"/>
  <ignoredErrors>
    <ignoredError sqref="B2" emptyCellReference="1"/>
    <ignoredError sqref="C36:O37" calculatedColumn="1"/>
  </ignoredErrors>
  <drawing r:id="rId2"/>
  <tableParts count="5">
    <tablePart r:id="rId3"/>
    <tablePart r:id="rId4"/>
    <tablePart r:id="rId5"/>
    <tablePart r:id="rId6"/>
    <tablePart r:id="rId7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8"/>
    <pageSetUpPr autoPageBreaks="0"/>
  </sheetPr>
  <dimension ref="A1:P39"/>
  <sheetViews>
    <sheetView showGridLines="0" zoomScaleNormal="100" workbookViewId="0"/>
  </sheetViews>
  <sheetFormatPr defaultColWidth="9.140625" defaultRowHeight="18.75" x14ac:dyDescent="0.3"/>
  <cols>
    <col min="1" max="1" width="4.7109375" style="38" customWidth="1"/>
    <col min="2" max="2" width="26.28515625" style="2" customWidth="1"/>
    <col min="3" max="6" width="25.7109375" style="2" customWidth="1"/>
    <col min="7" max="7" width="4.7109375" style="1" customWidth="1"/>
    <col min="8" max="8" width="9" customWidth="1"/>
    <col min="9" max="16384" width="9.140625" style="2"/>
  </cols>
  <sheetData>
    <row r="1" spans="1:16" s="1" customFormat="1" ht="24" customHeight="1" x14ac:dyDescent="0.3">
      <c r="A1" s="35"/>
      <c r="B1" s="10"/>
      <c r="C1" s="10"/>
      <c r="D1" s="10"/>
      <c r="E1" s="7"/>
      <c r="F1" s="7"/>
      <c r="G1" s="63" t="s">
        <v>64</v>
      </c>
      <c r="I1"/>
      <c r="J1"/>
      <c r="K1"/>
      <c r="L1"/>
      <c r="M1"/>
      <c r="N1"/>
      <c r="O1"/>
      <c r="P1" t="s">
        <v>64</v>
      </c>
    </row>
    <row r="2" spans="1:16" s="1" customFormat="1" ht="45" customHeight="1" x14ac:dyDescent="0.35">
      <c r="A2" s="35"/>
      <c r="B2" s="85" t="str">
        <f>'ПЛАНИРАНИ РАЗХОДИ'!B2:D3</f>
        <v>Име на фирма</v>
      </c>
      <c r="C2" s="85"/>
      <c r="D2" s="85"/>
      <c r="E2" s="15"/>
      <c r="F2" s="87"/>
      <c r="G2" s="87"/>
      <c r="I2"/>
      <c r="J2"/>
      <c r="K2"/>
      <c r="L2"/>
      <c r="M2"/>
      <c r="N2"/>
      <c r="O2"/>
      <c r="P2"/>
    </row>
    <row r="3" spans="1:16" s="1" customFormat="1" ht="30" customHeight="1" x14ac:dyDescent="0.3">
      <c r="A3" s="35"/>
      <c r="B3" s="85"/>
      <c r="C3" s="85"/>
      <c r="D3" s="85"/>
      <c r="E3" s="132" t="str">
        <f>заглавие_работен_лист</f>
        <v>Подробни прогнози за разходите</v>
      </c>
      <c r="F3" s="132"/>
      <c r="G3" s="132"/>
      <c r="I3"/>
      <c r="J3"/>
      <c r="K3"/>
      <c r="L3"/>
      <c r="M3"/>
      <c r="N3"/>
      <c r="O3"/>
      <c r="P3"/>
    </row>
    <row r="4" spans="1:16" customFormat="1" ht="18.75" customHeight="1" x14ac:dyDescent="0.2">
      <c r="A4" s="27"/>
    </row>
    <row r="5" spans="1:16" ht="24.95" customHeight="1" thickBot="1" x14ac:dyDescent="0.35">
      <c r="A5" s="36"/>
      <c r="B5" s="16" t="s">
        <v>69</v>
      </c>
      <c r="C5" s="17" t="s">
        <v>70</v>
      </c>
      <c r="D5" s="18" t="s">
        <v>71</v>
      </c>
      <c r="E5" s="16" t="s">
        <v>72</v>
      </c>
      <c r="F5" s="19" t="s">
        <v>73</v>
      </c>
      <c r="G5" s="11"/>
      <c r="I5"/>
      <c r="J5"/>
      <c r="K5"/>
      <c r="L5"/>
      <c r="M5"/>
      <c r="N5"/>
      <c r="O5"/>
      <c r="P5"/>
    </row>
    <row r="6" spans="1:16" ht="24.95" customHeight="1" thickBot="1" x14ac:dyDescent="0.35">
      <c r="A6" s="37"/>
      <c r="B6" s="78" t="s">
        <v>10</v>
      </c>
      <c r="C6" s="125">
        <f>ПланираниЗаСлужители[[#Totals],[ГОДИНА]]</f>
        <v>1355090</v>
      </c>
      <c r="D6" s="125">
        <f>ДействителниЗаСлужители[[#Totals],[ГОДИНА]]</f>
        <v>659130</v>
      </c>
      <c r="E6" s="125">
        <f>C6-D6</f>
        <v>695960</v>
      </c>
      <c r="F6" s="21">
        <f>E6/C6</f>
        <v>0.5135895032802249</v>
      </c>
    </row>
    <row r="7" spans="1:16" ht="24.95" customHeight="1" thickBot="1" x14ac:dyDescent="0.35">
      <c r="A7" s="36"/>
      <c r="B7" s="78" t="str">
        <f>'ПЛАНИРАНИ РАЗХОДИ'!B10</f>
        <v>Разходи за офис</v>
      </c>
      <c r="C7" s="125">
        <f>ПланираниЗаОфис[[#Totals],[ГОДИНА]]</f>
        <v>138740</v>
      </c>
      <c r="D7" s="125">
        <f>ДействителиЗаОфис[[#Totals],[ГОДИНА]]</f>
        <v>69350</v>
      </c>
      <c r="E7" s="125">
        <f>C7-D7</f>
        <v>69390</v>
      </c>
      <c r="F7" s="21">
        <f>E7/C7</f>
        <v>0.50014415453366012</v>
      </c>
    </row>
    <row r="8" spans="1:16" ht="24.95" customHeight="1" thickBot="1" x14ac:dyDescent="0.35">
      <c r="A8" s="36"/>
      <c r="B8" s="20" t="str">
        <f>'ПЛАНИРАНИ РАЗХОДИ'!B21</f>
        <v>Разходи за маркетинг</v>
      </c>
      <c r="C8" s="125">
        <f>ПланираниЗаМаркетинг[[#Totals],[ГОДИНА]]</f>
        <v>67800</v>
      </c>
      <c r="D8" s="125">
        <f>ДействителниЗаМаркетинг[[#Totals],[ГОДИНА]]</f>
        <v>33159</v>
      </c>
      <c r="E8" s="125">
        <f>C8-D8</f>
        <v>34641</v>
      </c>
      <c r="F8" s="21">
        <f>E8/C8</f>
        <v>0.51092920353982296</v>
      </c>
    </row>
    <row r="9" spans="1:16" ht="24.95" customHeight="1" thickBot="1" x14ac:dyDescent="0.35">
      <c r="A9" s="36"/>
      <c r="B9" s="20" t="str">
        <f>'ПЛАНИРАНИ РАЗХОДИ'!B30</f>
        <v>Обучения/пътувания</v>
      </c>
      <c r="C9" s="125">
        <f>ПланираниЗаОбученияИПътувания[[#Totals],[ГОДИНА]]</f>
        <v>48000</v>
      </c>
      <c r="D9" s="125">
        <f>ДействителниЗаОбученияИПътувания[[#Totals],[ГОДИНА]]</f>
        <v>21300</v>
      </c>
      <c r="E9" s="125">
        <f>C9-D9</f>
        <v>26700</v>
      </c>
      <c r="F9" s="21">
        <f>E9/C9</f>
        <v>0.55625000000000002</v>
      </c>
    </row>
    <row r="10" spans="1:16" ht="24.95" customHeight="1" x14ac:dyDescent="0.3">
      <c r="A10" s="36"/>
      <c r="B10" s="39" t="str">
        <f>'ПЛАНИРАНИ РАЗХОДИ'!B35</f>
        <v>ОБЩИ СУМИ</v>
      </c>
      <c r="C10" s="126">
        <f>'ПЛАНИРАНИ РАЗХОДИ'!O36</f>
        <v>1609630</v>
      </c>
      <c r="D10" s="126">
        <f>'ДЕЙСТВИТЕЛНИ РАЗХОДИ'!O36</f>
        <v>782939</v>
      </c>
      <c r="E10" s="126">
        <f>C10-D10</f>
        <v>826691</v>
      </c>
      <c r="F10" s="40">
        <f>E10/C10</f>
        <v>0.51359070096854553</v>
      </c>
    </row>
    <row r="11" spans="1:16" x14ac:dyDescent="0.3">
      <c r="A11" s="36"/>
      <c r="B11" s="80"/>
      <c r="C11" s="95"/>
      <c r="D11" s="95"/>
      <c r="E11" s="95"/>
      <c r="F11" s="6"/>
    </row>
    <row r="12" spans="1:16" ht="300" customHeight="1" x14ac:dyDescent="0.3">
      <c r="A12" s="36"/>
      <c r="B12" s="133"/>
      <c r="C12" s="133"/>
      <c r="D12" s="133"/>
      <c r="E12" s="133"/>
      <c r="F12" s="133"/>
      <c r="G12"/>
    </row>
    <row r="13" spans="1:16" ht="18.75" customHeight="1" x14ac:dyDescent="0.3">
      <c r="A13" s="36"/>
      <c r="B13" s="81"/>
    </row>
    <row r="14" spans="1:16" x14ac:dyDescent="0.3">
      <c r="A14" s="36"/>
      <c r="B14" s="81"/>
      <c r="C14" s="84"/>
      <c r="D14" s="84"/>
      <c r="E14" s="84"/>
      <c r="F14" s="84"/>
    </row>
    <row r="15" spans="1:16" x14ac:dyDescent="0.3">
      <c r="A15" s="36"/>
      <c r="B15" s="81"/>
      <c r="C15" s="84"/>
      <c r="D15" s="84"/>
      <c r="E15" s="84"/>
      <c r="F15" s="84"/>
    </row>
    <row r="16" spans="1:16" x14ac:dyDescent="0.3">
      <c r="A16" s="36"/>
      <c r="B16" s="81"/>
      <c r="C16" s="84"/>
      <c r="D16" s="84"/>
      <c r="E16" s="84"/>
      <c r="F16" s="84"/>
    </row>
    <row r="17" spans="1:6" x14ac:dyDescent="0.3">
      <c r="A17" s="36"/>
      <c r="B17" s="81"/>
      <c r="C17" s="84"/>
      <c r="D17" s="84"/>
      <c r="E17" s="84"/>
      <c r="F17" s="84"/>
    </row>
    <row r="18" spans="1:6" x14ac:dyDescent="0.3">
      <c r="A18" s="36"/>
      <c r="B18" s="81"/>
      <c r="C18" s="84"/>
      <c r="D18" s="84"/>
      <c r="E18" s="84"/>
      <c r="F18" s="84"/>
    </row>
    <row r="19" spans="1:6" x14ac:dyDescent="0.3">
      <c r="A19" s="36"/>
      <c r="B19" s="84"/>
      <c r="C19" s="84"/>
      <c r="D19" s="84"/>
      <c r="E19" s="84"/>
      <c r="F19" s="84"/>
    </row>
    <row r="20" spans="1:6" x14ac:dyDescent="0.3">
      <c r="A20" s="36"/>
      <c r="B20" s="84"/>
      <c r="C20" s="84"/>
      <c r="D20" s="84"/>
      <c r="E20" s="84"/>
      <c r="F20" s="84"/>
    </row>
    <row r="21" spans="1:6" x14ac:dyDescent="0.3">
      <c r="A21" s="36"/>
      <c r="B21" s="84"/>
      <c r="C21" s="84"/>
      <c r="D21" s="84"/>
      <c r="E21" s="84"/>
      <c r="F21" s="84"/>
    </row>
    <row r="22" spans="1:6" x14ac:dyDescent="0.3">
      <c r="A22" s="36"/>
      <c r="B22" s="81"/>
      <c r="C22" s="84"/>
      <c r="D22" s="84"/>
      <c r="E22" s="84"/>
      <c r="F22" s="84"/>
    </row>
    <row r="23" spans="1:6" x14ac:dyDescent="0.3">
      <c r="A23" s="36"/>
      <c r="B23" s="81"/>
      <c r="C23" s="84"/>
      <c r="D23" s="84"/>
      <c r="E23" s="84"/>
      <c r="F23" s="84"/>
    </row>
    <row r="24" spans="1:6" x14ac:dyDescent="0.3">
      <c r="A24" s="36"/>
      <c r="B24" s="81"/>
      <c r="C24" s="84"/>
      <c r="D24" s="84"/>
      <c r="E24" s="84"/>
      <c r="F24" s="84"/>
    </row>
    <row r="25" spans="1:6" x14ac:dyDescent="0.3">
      <c r="A25" s="36"/>
      <c r="B25" s="81"/>
      <c r="C25" s="84"/>
      <c r="D25" s="84"/>
      <c r="E25" s="84"/>
      <c r="F25" s="84"/>
    </row>
    <row r="26" spans="1:6" x14ac:dyDescent="0.3">
      <c r="A26" s="36"/>
      <c r="B26" s="81"/>
      <c r="C26" s="84"/>
      <c r="D26" s="84"/>
      <c r="E26" s="84"/>
      <c r="F26" s="84"/>
    </row>
    <row r="27" spans="1:6" x14ac:dyDescent="0.3">
      <c r="A27" s="36"/>
      <c r="B27" s="81"/>
      <c r="C27" s="84"/>
      <c r="D27" s="84"/>
      <c r="E27" s="84"/>
      <c r="F27" s="84"/>
    </row>
    <row r="28" spans="1:6" x14ac:dyDescent="0.3">
      <c r="A28" s="36"/>
      <c r="B28" s="84"/>
      <c r="C28" s="84"/>
      <c r="D28" s="84"/>
      <c r="E28" s="84"/>
      <c r="F28" s="84"/>
    </row>
    <row r="29" spans="1:6" x14ac:dyDescent="0.3">
      <c r="A29" s="36"/>
      <c r="B29" s="84"/>
      <c r="C29" s="84"/>
      <c r="D29" s="84"/>
      <c r="E29" s="84"/>
      <c r="F29" s="84"/>
    </row>
    <row r="30" spans="1:6" x14ac:dyDescent="0.3">
      <c r="A30" s="36"/>
      <c r="B30" s="84"/>
      <c r="C30" s="84"/>
      <c r="D30" s="84"/>
      <c r="E30" s="84"/>
      <c r="F30" s="84"/>
    </row>
    <row r="31" spans="1:6" x14ac:dyDescent="0.3">
      <c r="A31" s="36"/>
      <c r="B31" s="81"/>
      <c r="C31" s="84"/>
      <c r="D31" s="84"/>
      <c r="E31" s="84"/>
      <c r="F31" s="84"/>
    </row>
    <row r="32" spans="1:6" x14ac:dyDescent="0.3">
      <c r="A32" s="36"/>
      <c r="B32" s="81"/>
      <c r="C32" s="84"/>
      <c r="D32" s="84"/>
      <c r="E32" s="84"/>
      <c r="F32" s="84"/>
    </row>
    <row r="33" spans="1:6" x14ac:dyDescent="0.3">
      <c r="A33" s="36"/>
      <c r="B33" s="84"/>
      <c r="C33" s="84"/>
      <c r="D33" s="84"/>
      <c r="E33" s="84"/>
      <c r="F33" s="84"/>
    </row>
    <row r="34" spans="1:6" x14ac:dyDescent="0.3">
      <c r="A34" s="36"/>
      <c r="B34" s="84"/>
      <c r="C34" s="84"/>
      <c r="D34" s="84"/>
      <c r="E34" s="84"/>
      <c r="F34" s="84"/>
    </row>
    <row r="35" spans="1:6" x14ac:dyDescent="0.3">
      <c r="A35" s="36"/>
      <c r="B35" s="84"/>
      <c r="C35" s="84"/>
      <c r="D35" s="84"/>
      <c r="E35" s="84"/>
      <c r="F35" s="84"/>
    </row>
    <row r="36" spans="1:6" x14ac:dyDescent="0.3">
      <c r="A36" s="36"/>
      <c r="B36" s="86"/>
      <c r="C36" s="84"/>
      <c r="D36" s="84"/>
      <c r="E36" s="84"/>
      <c r="F36" s="84"/>
    </row>
    <row r="37" spans="1:6" x14ac:dyDescent="0.3">
      <c r="A37" s="36"/>
      <c r="B37" s="86"/>
      <c r="C37" s="84"/>
      <c r="D37" s="84"/>
      <c r="E37" s="84"/>
      <c r="F37" s="84"/>
    </row>
    <row r="38" spans="1:6" x14ac:dyDescent="0.3">
      <c r="A38" s="36"/>
    </row>
    <row r="39" spans="1:6" x14ac:dyDescent="0.3">
      <c r="A39" s="36"/>
    </row>
  </sheetData>
  <mergeCells count="2">
    <mergeCell ref="E3:G3"/>
    <mergeCell ref="B12:F12"/>
  </mergeCells>
  <dataValidations count="8">
    <dataValidation allowBlank="1" showInputMessage="1" showErrorMessage="1" prompt="Кръговата диаграма, показваща планираните разходи в различни категории, е в тази клетка." sqref="B12:F12" xr:uid="{B2131E0D-FC0E-41E0-A823-1146E5092945}"/>
    <dataValidation allowBlank="1" showInputMessage="1" showErrorMessage="1" prompt="Год. планирани и действ. разходи, дисперсиите на разходите и процентът на дисперсията се актуализират автоматично за вс. категория разходи в този раб. лист. Полезни инстр. как да използвате този раб. лист са в кл. в тази колона. Стрелка надолу за начало." sqref="A1" xr:uid="{2B6B986C-CF09-4535-B287-5D9961D543F9}"/>
    <dataValidation allowBlank="1" showInputMessage="1" showErrorMessage="1" prompt="Името на фирмата се актуализира автоматично в клетката вдясно. Въведете емблема в клетка F2." sqref="A2" xr:uid="{54F690A8-E3B2-49FE-B037-4CB57E2B08A1}"/>
    <dataValidation allowBlank="1" showInputMessage="1" showErrorMessage="1" prompt="Заглавието на този работен лист е в клетка E3. Следващата инструкция е в клетка A5." sqref="A3" xr:uid="{FED07153-5704-491F-BD0F-28D4A0F15619}"/>
    <dataValidation allowBlank="1" showInputMessage="1" showErrorMessage="1" prompt="Планираните разходи, действителните разходи, дисперсия на разходите и процентът на дисперсията се изчисляват автоматично в таблицата за анализ, започвайки от клетка вдясно. Следващата инструкция е в клетка A12." sqref="A5" xr:uid="{17A4F301-0551-4056-B357-1FCC3532C5BE}"/>
    <dataValidation allowBlank="1" showInputMessage="1" showErrorMessage="1" prompt="Кръговата диаграма на планираните разходи е в клетка вдясно, а кръговата диаграма &quot;Действителни разходи&quot; в клетка D12. Следващата инструкция е в клетка A14." sqref="A12" xr:uid="{FE13E92D-A1BA-4BB9-9C16-0CDEB5285C6E}"/>
    <dataValidation allowBlank="1" showInputMessage="1" showErrorMessage="1" prompt="Диаграмата, показваща планираните разходи, действителните разходи и разликата между месечните разходи, е в клетката отдясно." sqref="A14" xr:uid="{A5F374DB-643C-44A4-B534-F79A39786B80}"/>
    <dataValidation allowBlank="1" showInputMessage="1" showErrorMessage="1" prompt="Контейнерът за емблемата е в тази клетка." sqref="F2:G2" xr:uid="{831A4984-168B-4337-BAEA-80B7246F2962}"/>
  </dataValidations>
  <pageMargins left="0.7" right="0.7" top="0.75" bottom="0.75" header="0.3" footer="0.3"/>
  <pageSetup paperSize="9" orientation="portrait" r:id="rId1"/>
  <ignoredErrors>
    <ignoredError sqref="B2" emptyCellReference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69CB1A22-CE44-4532-A0DB-84194B783BC7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7C5DBCFF-B01D-443B-958D-5BBBD3E2EA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153F0F1A-F818-48F9-BE67-B9DBEFF91A6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TM04035489</ap:Template>
  <ap:DocSecurity>0</ap:DocSecurity>
  <ap:ScaleCrop>false</ap:ScaleCrop>
  <ap:HeadingPairs>
    <vt:vector baseType="variant" size="4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ap:HeadingPairs>
  <ap:TitlesOfParts>
    <vt:vector baseType="lpstr" size="6">
      <vt:lpstr>НАЧАЛО</vt:lpstr>
      <vt:lpstr>ПЛАНИРАНИ РАЗХОДИ</vt:lpstr>
      <vt:lpstr>ДЕЙСТВИТЕЛНИ РАЗХОДИ</vt:lpstr>
      <vt:lpstr>РАЗЛИКИ В РАЗХОДИТЕ</vt:lpstr>
      <vt:lpstr>АНАЛИЗ НА РАЗХОДИТЕ</vt:lpstr>
      <vt:lpstr>заглавие_работен_лист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2022-02-14T06:36:37Z</dcterms:created>
  <dcterms:modified xsi:type="dcterms:W3CDTF">2022-05-27T02:02:30Z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