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P:\MS-IW-OFFICE-UA\Office_Online\Projects\Templates_Gemini_G1\Phases\65_Calendar_template_Customization_2016\07_FinalPostProcessing\BGR\"/>
    </mc:Choice>
  </mc:AlternateContent>
  <bookViews>
    <workbookView xWindow="0" yWindow="900" windowWidth="27780" windowHeight="12720" tabRatio="741"/>
  </bookViews>
  <sheets>
    <sheet name="Янр" sheetId="1" r:id="rId1"/>
    <sheet name="Фев" sheetId="6" r:id="rId2"/>
    <sheet name="Мар" sheetId="7" r:id="rId3"/>
    <sheet name="Апр" sheetId="8" r:id="rId4"/>
    <sheet name="Май" sheetId="9" r:id="rId5"/>
    <sheet name="Юни" sheetId="10" r:id="rId6"/>
    <sheet name="Юли" sheetId="11" r:id="rId7"/>
    <sheet name="Авг" sheetId="12" r:id="rId8"/>
    <sheet name="Сеп" sheetId="13" r:id="rId9"/>
    <sheet name="Окт" sheetId="14" r:id="rId10"/>
    <sheet name="Ное" sheetId="15" r:id="rId11"/>
    <sheet name="Дек" sheetId="16" r:id="rId12"/>
  </sheets>
  <definedNames>
    <definedName name="_xlnm.Print_Area" localSheetId="7">Авг!$A$1:$N$33</definedName>
    <definedName name="_xlnm.Print_Area" localSheetId="3">Апр!$A$1:$N$33</definedName>
    <definedName name="_xlnm.Print_Area" localSheetId="11">Дек!$A$1:$N$33</definedName>
    <definedName name="_xlnm.Print_Area" localSheetId="4">Май!$A$1:$N$33</definedName>
    <definedName name="_xlnm.Print_Area" localSheetId="2">Мар!$A$1:$N$33</definedName>
    <definedName name="_xlnm.Print_Area" localSheetId="10">Ное!$A$1:$N$33</definedName>
    <definedName name="_xlnm.Print_Area" localSheetId="9">Окт!$A$1:$N$33</definedName>
    <definedName name="_xlnm.Print_Area" localSheetId="8">Сеп!$A$1:$N$33</definedName>
    <definedName name="_xlnm.Print_Area" localSheetId="1">Фев!$A$1:$N$33</definedName>
    <definedName name="_xlnm.Print_Area" localSheetId="6">Юли!$A$1:$N$33</definedName>
    <definedName name="_xlnm.Print_Area" localSheetId="5">Юни!$A$1:$N$33</definedName>
    <definedName name="_xlnm.Print_Area" localSheetId="0">Янр!$A$1:$N$33</definedName>
    <definedName name="АвгНед1">DATE(КалендарнаГодина,8,1)-WEEKDAY(DATE(КалендарнаГодина,8,1))+1</definedName>
    <definedName name="АпрНед1">DATE(КалендарнаГодина,4,1)-WEEKDAY(DATE(КалендарнаГодина,4,1))+1</definedName>
    <definedName name="ДекНед1">DATE(КалендарнаГодина,12,1)-WEEKDAY(DATE(КалендарнаГодина,12,1))+1</definedName>
    <definedName name="ДниЗадача" localSheetId="7">Авг!$L$4:$L$33</definedName>
    <definedName name="ДниЗадача" localSheetId="3">Апр!$L$4:$L$33</definedName>
    <definedName name="ДниЗадача" localSheetId="11">Дек!$L$4:$L$33</definedName>
    <definedName name="ДниЗадача" localSheetId="4">Май!$L$4:$L$33</definedName>
    <definedName name="ДниЗадача" localSheetId="2">Мар!$L$4:$L$33</definedName>
    <definedName name="ДниЗадача" localSheetId="10">Ное!$L$4:$L$33</definedName>
    <definedName name="ДниЗадача" localSheetId="9">Окт!$L$4:$L$33</definedName>
    <definedName name="ДниЗадача" localSheetId="8">Сеп!$L$4:$L$33</definedName>
    <definedName name="ДниЗадача" localSheetId="1">Фев!$L$4:$L$33</definedName>
    <definedName name="ДниЗадача" localSheetId="6">Юли!$L$4:$L$33</definedName>
    <definedName name="ДниЗадача" localSheetId="5">Юни!$L$4:$L$33</definedName>
    <definedName name="ДниЗадача">Янр!$L$4:$L$33</definedName>
    <definedName name="КалендарнаГодина">Янр!$N$2</definedName>
    <definedName name="МайНед1">DATE(КалендарнаГодина,5,1)-WEEKDAY(DATE(КалендарнаГодина,5,1))+1</definedName>
    <definedName name="МарНед1">DATE(КалендарнаГодина,3,1)-WEEKDAY(DATE(КалендарнаГодина,3,1))+1</definedName>
    <definedName name="НоеНед1">DATE(КалендарнаГодина,11,1)-WEEKDAY(DATE(КалендарнаГодина,11,1))+1</definedName>
    <definedName name="ОктНед1">DATE(КалендарнаГодина,10,1)-WEEKDAY(DATE(КалендарнаГодина,10,1))+1</definedName>
    <definedName name="СепНед1">DATE(КалендарнаГодина,9,1)-WEEKDAY(DATE(КалендарнаГодина,9,1))+1</definedName>
    <definedName name="ТаблцаВажниДати" localSheetId="7">Авг!$L$4:$M$8</definedName>
    <definedName name="ТаблцаВажниДати" localSheetId="3">Апр!$L$4:$M$8</definedName>
    <definedName name="ТаблцаВажниДати" localSheetId="11">Дек!$L$4:$M$8</definedName>
    <definedName name="ТаблцаВажниДати" localSheetId="4">Май!$L$4:$M$8</definedName>
    <definedName name="ТаблцаВажниДати" localSheetId="2">Мар!$L$4:$M$8</definedName>
    <definedName name="ТаблцаВажниДати" localSheetId="10">Ное!$L$4:$M$8</definedName>
    <definedName name="ТаблцаВажниДати" localSheetId="9">Окт!$L$4:$M$8</definedName>
    <definedName name="ТаблцаВажниДати" localSheetId="8">Сеп!$L$4:$M$8</definedName>
    <definedName name="ТаблцаВажниДати" localSheetId="1">Фев!$L$4:$M$8</definedName>
    <definedName name="ТаблцаВажниДати" localSheetId="6">Юли!$L$4:$M$8</definedName>
    <definedName name="ТаблцаВажниДати" localSheetId="5">Юни!$L$4:$M$8</definedName>
    <definedName name="ТаблцаВажниДати">Янр!$L$4:$M$8</definedName>
    <definedName name="ФевНед1">DATE(КалендарнаГодина,2,1)-WEEKDAY(DATE(КалендарнаГодина,2,1))+1</definedName>
    <definedName name="ЮлиНед1">DATE(КалендарнаГодина,7,1)-WEEKDAY(DATE(КалендарнаГодина,7,1))+1</definedName>
    <definedName name="ЮниНед1">DATE(КалендарнаГодина,6,1)-WEEKDAY(DATE(КалендарнаГодина,6,1))+1</definedName>
    <definedName name="ЯнуНед1">DATE(КалендарнаГодина,1,1)-WEEKDAY(DATE(КалендарнаГодина,1,1))+1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6" l="1"/>
  <c r="N2" i="15"/>
  <c r="N2" i="14"/>
  <c r="N2" i="13"/>
  <c r="N2" i="12"/>
  <c r="N2" i="11"/>
  <c r="N2" i="10"/>
  <c r="N2" i="9"/>
  <c r="N2" i="8"/>
  <c r="N2" i="7"/>
  <c r="N2" i="6"/>
  <c r="C4" i="1" l="1"/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<sst xmlns="http://schemas.openxmlformats.org/spreadsheetml/2006/main" count="555" uniqueCount="40">
  <si>
    <t>ЯНР</t>
  </si>
  <si>
    <t>СЕДМИЧНА ПРОГРАМА</t>
  </si>
  <si>
    <t>ПОН</t>
  </si>
  <si>
    <t>8:00</t>
  </si>
  <si>
    <t>Френски</t>
  </si>
  <si>
    <t>10:00</t>
  </si>
  <si>
    <t>Математика</t>
  </si>
  <si>
    <t>14:00</t>
  </si>
  <si>
    <t>Английски</t>
  </si>
  <si>
    <t>ВТОР</t>
  </si>
  <si>
    <t>9:00</t>
  </si>
  <si>
    <t>История на изкуството</t>
  </si>
  <si>
    <t>16:00</t>
  </si>
  <si>
    <t>Програмиране</t>
  </si>
  <si>
    <t>СРЯ</t>
  </si>
  <si>
    <t>ЧЕТ</t>
  </si>
  <si>
    <t>ПЕТ</t>
  </si>
  <si>
    <t>ЗАДАЧИ</t>
  </si>
  <si>
    <t>ВТО</t>
  </si>
  <si>
    <t>Френски: Срок за първа чернова на доклада</t>
  </si>
  <si>
    <t>История на изкуството: Тест</t>
  </si>
  <si>
    <t>&lt; Въведете календарната година в N2.</t>
  </si>
  <si>
    <t>ОКТ</t>
  </si>
  <si>
    <t>НОЕ</t>
  </si>
  <si>
    <t>ДЕК</t>
  </si>
  <si>
    <t>ФЕВ</t>
  </si>
  <si>
    <t>МАР</t>
  </si>
  <si>
    <t>АПР</t>
  </si>
  <si>
    <t>МАЙ</t>
  </si>
  <si>
    <t>ЮНИ</t>
  </si>
  <si>
    <t>ЮЛИ</t>
  </si>
  <si>
    <t>АВГ</t>
  </si>
  <si>
    <t>СЕП</t>
  </si>
  <si>
    <t>ПН</t>
  </si>
  <si>
    <t>ВТ</t>
  </si>
  <si>
    <t>СР</t>
  </si>
  <si>
    <t>ЧТ</t>
  </si>
  <si>
    <t>ПТ</t>
  </si>
  <si>
    <t>СБ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</si>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</sst>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1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Font="1" applyBorder="1"/>
    <xf numFmtId="0" fontId="0" fillId="0" borderId="15" xfId="0" applyFont="1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164" fontId="10" fillId="3" borderId="11" xfId="0" applyNumberFormat="1" applyFont="1" applyFill="1" applyBorder="1" applyAlignment="1">
      <alignment horizontal="left" vertical="top" indent="1"/>
    </xf>
    <xf numFmtId="164" fontId="10" fillId="3" borderId="14" xfId="0" applyNumberFormat="1" applyFont="1" applyFill="1" applyBorder="1" applyAlignment="1">
      <alignment horizontal="left" vertical="top" indent="1"/>
    </xf>
    <xf numFmtId="164" fontId="10" fillId="3" borderId="21" xfId="0" applyNumberFormat="1" applyFont="1" applyFill="1" applyBorder="1" applyAlignment="1">
      <alignment horizontal="left" vertical="top" indent="1"/>
    </xf>
    <xf numFmtId="164" fontId="10" fillId="3" borderId="26" xfId="0" applyNumberFormat="1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/>
    </xf>
    <xf numFmtId="0" fontId="16" fillId="0" borderId="33" xfId="3" applyBorder="1" applyAlignment="1">
      <alignment horizontal="left" vertical="center"/>
    </xf>
    <xf numFmtId="0" fontId="16" fillId="0" borderId="29" xfId="3" applyBorder="1" applyAlignment="1">
      <alignment horizontal="left" vertical="center"/>
    </xf>
    <xf numFmtId="0" fontId="16" fillId="0" borderId="30" xfId="3" applyBorder="1" applyAlignment="1">
      <alignment horizontal="left" vertical="center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8.7109375" customWidth="1"/>
    <col min="17" max="16384" width="8.7109375" style="1"/>
  </cols>
  <sheetData>
    <row r="1" spans="1:16" ht="11.25" customHeight="1" x14ac:dyDescent="0.2"/>
    <row r="2" spans="1:16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7">
        <v>2016</v>
      </c>
      <c r="P2" s="32" t="s">
        <v>21</v>
      </c>
    </row>
    <row r="3" spans="1:16" ht="21" customHeight="1" x14ac:dyDescent="0.2">
      <c r="A3" s="4"/>
      <c r="B3" s="31" t="s">
        <v>0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78"/>
      <c r="P3" s="32"/>
    </row>
    <row r="4" spans="1:16" ht="18" customHeight="1" x14ac:dyDescent="0.2">
      <c r="A4" s="4"/>
      <c r="B4" s="31"/>
      <c r="C4" s="10">
        <f>IF(DAY(ЯнуНед1)=1,ЯнуНед1-6,ЯнуНед1+1)</f>
        <v>42366</v>
      </c>
      <c r="D4" s="10">
        <f>IF(DAY(ЯнуНед1)=1,ЯнуНед1-5,ЯнуНед1+2)</f>
        <v>42367</v>
      </c>
      <c r="E4" s="10">
        <f>IF(DAY(ЯнуНед1)=1,ЯнуНед1-4,ЯнуНед1+3)</f>
        <v>42368</v>
      </c>
      <c r="F4" s="10">
        <f>IF(DAY(ЯнуНед1)=1,ЯнуНед1-3,ЯнуНед1+4)</f>
        <v>42369</v>
      </c>
      <c r="G4" s="10">
        <f>IF(DAY(ЯнуНед1)=1,ЯнуНед1-2,ЯнуНед1+5)</f>
        <v>42370</v>
      </c>
      <c r="H4" s="10">
        <f>IF(DAY(ЯнуНед1)=1,ЯнуНед1-1,ЯнуНед1+6)</f>
        <v>42371</v>
      </c>
      <c r="I4" s="10">
        <f>IF(DAY(ЯнуНед1)=1,ЯнуНед1,ЯнуНед1+7)</f>
        <v>42372</v>
      </c>
      <c r="J4" s="5"/>
      <c r="K4" s="74" t="s">
        <v>2</v>
      </c>
      <c r="L4" s="16">
        <v>5</v>
      </c>
      <c r="M4" s="75" t="s">
        <v>19</v>
      </c>
      <c r="N4" s="76"/>
      <c r="P4" s="25"/>
    </row>
    <row r="5" spans="1:16" ht="18" customHeight="1" x14ac:dyDescent="0.2">
      <c r="A5" s="4"/>
      <c r="B5" s="26"/>
      <c r="C5" s="10">
        <f>IF(DAY(ЯнуНед1)=1,ЯнуНед1+1,ЯнуНед1+8)</f>
        <v>42373</v>
      </c>
      <c r="D5" s="10">
        <f>IF(DAY(ЯнуНед1)=1,ЯнуНед1+2,ЯнуНед1+9)</f>
        <v>42374</v>
      </c>
      <c r="E5" s="10">
        <f>IF(DAY(ЯнуНед1)=1,ЯнуНед1+3,ЯнуНед1+10)</f>
        <v>42375</v>
      </c>
      <c r="F5" s="10">
        <f>IF(DAY(ЯнуНед1)=1,ЯнуНед1+4,ЯнуНед1+11)</f>
        <v>42376</v>
      </c>
      <c r="G5" s="10">
        <f>IF(DAY(ЯнуНед1)=1,ЯнуНед1+5,ЯнуНед1+12)</f>
        <v>42377</v>
      </c>
      <c r="H5" s="10">
        <f>IF(DAY(ЯнуНед1)=1,ЯнуНед1+6,ЯнуНед1+13)</f>
        <v>42378</v>
      </c>
      <c r="I5" s="10">
        <f>IF(DAY(ЯнуНед1)=1,ЯнуНед1+7,ЯнуНед1+14)</f>
        <v>42379</v>
      </c>
      <c r="J5" s="5"/>
      <c r="K5" s="66"/>
      <c r="L5" s="17"/>
      <c r="M5" s="36"/>
      <c r="N5" s="37"/>
      <c r="P5" s="25"/>
    </row>
    <row r="6" spans="1:16" ht="18" customHeight="1" x14ac:dyDescent="0.2">
      <c r="A6" s="4"/>
      <c r="B6" s="26"/>
      <c r="C6" s="10">
        <f>IF(DAY(ЯнуНед1)=1,ЯнуНед1+8,ЯнуНед1+15)</f>
        <v>42380</v>
      </c>
      <c r="D6" s="10">
        <f>IF(DAY(ЯнуНед1)=1,ЯнуНед1+9,ЯнуНед1+16)</f>
        <v>42381</v>
      </c>
      <c r="E6" s="10">
        <f>IF(DAY(ЯнуНед1)=1,ЯнуНед1+10,ЯнуНед1+17)</f>
        <v>42382</v>
      </c>
      <c r="F6" s="10">
        <f>IF(DAY(ЯнуНед1)=1,ЯнуНед1+11,ЯнуНед1+18)</f>
        <v>42383</v>
      </c>
      <c r="G6" s="10">
        <f>IF(DAY(ЯнуНед1)=1,ЯнуНед1+12,ЯнуНед1+19)</f>
        <v>42384</v>
      </c>
      <c r="H6" s="10">
        <f>IF(DAY(ЯнуНед1)=1,ЯнуНед1+13,ЯнуНед1+20)</f>
        <v>42385</v>
      </c>
      <c r="I6" s="10">
        <f>IF(DAY(ЯнуНед1)=1,ЯнуНед1+14,ЯнуНед1+21)</f>
        <v>42386</v>
      </c>
      <c r="J6" s="5"/>
      <c r="K6" s="66"/>
      <c r="L6" s="17"/>
      <c r="M6" s="36"/>
      <c r="N6" s="37"/>
    </row>
    <row r="7" spans="1:16" ht="18" customHeight="1" x14ac:dyDescent="0.2">
      <c r="A7" s="4"/>
      <c r="B7" s="26"/>
      <c r="C7" s="10">
        <f>IF(DAY(ЯнуНед1)=1,ЯнуНед1+15,ЯнуНед1+22)</f>
        <v>42387</v>
      </c>
      <c r="D7" s="10">
        <f>IF(DAY(ЯнуНед1)=1,ЯнуНед1+16,ЯнуНед1+23)</f>
        <v>42388</v>
      </c>
      <c r="E7" s="10">
        <f>IF(DAY(ЯнуНед1)=1,ЯнуНед1+17,ЯнуНед1+24)</f>
        <v>42389</v>
      </c>
      <c r="F7" s="10">
        <f>IF(DAY(ЯнуНед1)=1,ЯнуНед1+18,ЯнуНед1+25)</f>
        <v>42390</v>
      </c>
      <c r="G7" s="10">
        <f>IF(DAY(ЯнуНед1)=1,ЯнуНед1+19,ЯнуНед1+26)</f>
        <v>42391</v>
      </c>
      <c r="H7" s="10">
        <f>IF(DAY(ЯнуНед1)=1,ЯнуНед1+20,ЯнуНед1+27)</f>
        <v>42392</v>
      </c>
      <c r="I7" s="10">
        <f>IF(DAY(ЯнуНед1)=1,ЯнуНед1+21,ЯнуНед1+28)</f>
        <v>42393</v>
      </c>
      <c r="J7" s="5"/>
      <c r="K7" s="11"/>
      <c r="L7" s="17"/>
      <c r="M7" s="36"/>
      <c r="N7" s="37"/>
    </row>
    <row r="8" spans="1:16" ht="18.75" customHeight="1" x14ac:dyDescent="0.2">
      <c r="A8" s="4"/>
      <c r="B8" s="26"/>
      <c r="C8" s="10">
        <f>IF(DAY(ЯнуНед1)=1,ЯнуНед1+22,ЯнуНед1+29)</f>
        <v>42394</v>
      </c>
      <c r="D8" s="10">
        <f>IF(DAY(ЯнуНед1)=1,ЯнуНед1+23,ЯнуНед1+30)</f>
        <v>42395</v>
      </c>
      <c r="E8" s="10">
        <f>IF(DAY(ЯнуНед1)=1,ЯнуНед1+24,ЯнуНед1+31)</f>
        <v>42396</v>
      </c>
      <c r="F8" s="10">
        <f>IF(DAY(ЯнуНед1)=1,ЯнуНед1+25,ЯнуНед1+32)</f>
        <v>42397</v>
      </c>
      <c r="G8" s="10">
        <f>IF(DAY(ЯнуНед1)=1,ЯнуНед1+26,ЯнуНед1+33)</f>
        <v>42398</v>
      </c>
      <c r="H8" s="10">
        <f>IF(DAY(ЯнуНед1)=1,ЯнуНед1+27,ЯнуНед1+34)</f>
        <v>42399</v>
      </c>
      <c r="I8" s="10">
        <f>IF(DAY(ЯнуНед1)=1,ЯнуНед1+28,ЯнуНед1+35)</f>
        <v>42400</v>
      </c>
      <c r="J8" s="5"/>
      <c r="K8" s="11"/>
      <c r="L8" s="17"/>
      <c r="M8" s="36"/>
      <c r="N8" s="37"/>
    </row>
    <row r="9" spans="1:16" ht="18" customHeight="1" x14ac:dyDescent="0.2">
      <c r="A9" s="4"/>
      <c r="B9" s="26"/>
      <c r="C9" s="10">
        <f>IF(DAY(ЯнуНед1)=1,ЯнуНед1+29,ЯнуНед1+36)</f>
        <v>42401</v>
      </c>
      <c r="D9" s="10">
        <f>IF(DAY(ЯнуНед1)=1,ЯнуНед1+30,ЯнуНед1+37)</f>
        <v>42402</v>
      </c>
      <c r="E9" s="10">
        <f>IF(DAY(ЯнуНед1)=1,ЯнуНед1+31,ЯнуНед1+38)</f>
        <v>42403</v>
      </c>
      <c r="F9" s="10">
        <f>IF(DAY(ЯнуНед1)=1,ЯнуНед1+32,ЯнуНед1+39)</f>
        <v>42404</v>
      </c>
      <c r="G9" s="10">
        <f>IF(DAY(ЯнуНед1)=1,ЯнуНед1+33,ЯнуНед1+40)</f>
        <v>42405</v>
      </c>
      <c r="H9" s="10">
        <f>IF(DAY(ЯнуНед1)=1,ЯнуНед1+34,ЯнуНед1+41)</f>
        <v>42406</v>
      </c>
      <c r="I9" s="10">
        <f>IF(DAY(ЯнуНед1)=1,ЯнуНед1+35,ЯнуНед1+42)</f>
        <v>42407</v>
      </c>
      <c r="J9" s="5"/>
      <c r="K9" s="12"/>
      <c r="L9" s="18"/>
      <c r="M9" s="40"/>
      <c r="N9" s="41"/>
    </row>
    <row r="10" spans="1:16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>
        <v>20</v>
      </c>
      <c r="M10" s="42" t="s">
        <v>20</v>
      </c>
      <c r="N10" s="43"/>
    </row>
    <row r="11" spans="1:16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6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6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6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6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6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VLOOKUP(DAY(C4),ДниЗадача,1,FALSE)=DAY(C4)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paperSize="9"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22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IF(DAY(ОктНед1)=1,ОктНед1-6,ОктНед1+1)</f>
        <v>42639</v>
      </c>
      <c r="D4" s="10">
        <f>IF(DAY(ОктНед1)=1,ОктНед1-5,ОктНед1+2)</f>
        <v>42640</v>
      </c>
      <c r="E4" s="10">
        <f>IF(DAY(ОктНед1)=1,ОктНед1-4,ОктНед1+3)</f>
        <v>42641</v>
      </c>
      <c r="F4" s="10">
        <f>IF(DAY(ОктНед1)=1,ОктНед1-3,ОктНед1+4)</f>
        <v>42642</v>
      </c>
      <c r="G4" s="10">
        <f>IF(DAY(ОктНед1)=1,ОктНед1-2,ОктНед1+5)</f>
        <v>42643</v>
      </c>
      <c r="H4" s="10">
        <f>IF(DAY(ОктНед1)=1,ОктНед1-1,ОктНед1+6)</f>
        <v>42644</v>
      </c>
      <c r="I4" s="10">
        <f>IF(DAY(ОктНед1)=1,ОктНед1,ОктНед1+7)</f>
        <v>42645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IF(DAY(ОктНед1)=1,ОктНед1+1,ОктНед1+8)</f>
        <v>42646</v>
      </c>
      <c r="D5" s="10">
        <f>IF(DAY(ОктНед1)=1,ОктНед1+2,ОктНед1+9)</f>
        <v>42647</v>
      </c>
      <c r="E5" s="10">
        <f>IF(DAY(ОктНед1)=1,ОктНед1+3,ОктНед1+10)</f>
        <v>42648</v>
      </c>
      <c r="F5" s="10">
        <f>IF(DAY(ОктНед1)=1,ОктНед1+4,ОктНед1+11)</f>
        <v>42649</v>
      </c>
      <c r="G5" s="10">
        <f>IF(DAY(ОктНед1)=1,ОктНед1+5,ОктНед1+12)</f>
        <v>42650</v>
      </c>
      <c r="H5" s="10">
        <f>IF(DAY(ОктНед1)=1,ОктНед1+6,ОктНед1+13)</f>
        <v>42651</v>
      </c>
      <c r="I5" s="10">
        <f>IF(DAY(ОктНед1)=1,ОктНед1+7,ОктНед1+14)</f>
        <v>42652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IF(DAY(ОктНед1)=1,ОктНед1+8,ОктНед1+15)</f>
        <v>42653</v>
      </c>
      <c r="D6" s="10">
        <f>IF(DAY(ОктНед1)=1,ОктНед1+9,ОктНед1+16)</f>
        <v>42654</v>
      </c>
      <c r="E6" s="10">
        <f>IF(DAY(ОктНед1)=1,ОктНед1+10,ОктНед1+17)</f>
        <v>42655</v>
      </c>
      <c r="F6" s="10">
        <f>IF(DAY(ОктНед1)=1,ОктНед1+11,ОктНед1+18)</f>
        <v>42656</v>
      </c>
      <c r="G6" s="10">
        <f>IF(DAY(ОктНед1)=1,ОктНед1+12,ОктНед1+19)</f>
        <v>42657</v>
      </c>
      <c r="H6" s="10">
        <f>IF(DAY(ОктНед1)=1,ОктНед1+13,ОктНед1+20)</f>
        <v>42658</v>
      </c>
      <c r="I6" s="10">
        <f>IF(DAY(ОктНед1)=1,ОктНед1+14,ОктНед1+21)</f>
        <v>42659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IF(DAY(ОктНед1)=1,ОктНед1+15,ОктНед1+22)</f>
        <v>42660</v>
      </c>
      <c r="D7" s="10">
        <f>IF(DAY(ОктНед1)=1,ОктНед1+16,ОктНед1+23)</f>
        <v>42661</v>
      </c>
      <c r="E7" s="10">
        <f>IF(DAY(ОктНед1)=1,ОктНед1+17,ОктНед1+24)</f>
        <v>42662</v>
      </c>
      <c r="F7" s="10">
        <f>IF(DAY(ОктНед1)=1,ОктНед1+18,ОктНед1+25)</f>
        <v>42663</v>
      </c>
      <c r="G7" s="10">
        <f>IF(DAY(ОктНед1)=1,ОктНед1+19,ОктНед1+26)</f>
        <v>42664</v>
      </c>
      <c r="H7" s="10">
        <f>IF(DAY(ОктНед1)=1,ОктНед1+20,ОктНед1+27)</f>
        <v>42665</v>
      </c>
      <c r="I7" s="10">
        <f>IF(DAY(ОктНед1)=1,ОктНед1+21,ОктНед1+28)</f>
        <v>42666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IF(DAY(ОктНед1)=1,ОктНед1+22,ОктНед1+29)</f>
        <v>42667</v>
      </c>
      <c r="D8" s="10">
        <f>IF(DAY(ОктНед1)=1,ОктНед1+23,ОктНед1+30)</f>
        <v>42668</v>
      </c>
      <c r="E8" s="10">
        <f>IF(DAY(ОктНед1)=1,ОктНед1+24,ОктНед1+31)</f>
        <v>42669</v>
      </c>
      <c r="F8" s="10">
        <f>IF(DAY(ОктНед1)=1,ОктНед1+25,ОктНед1+32)</f>
        <v>42670</v>
      </c>
      <c r="G8" s="10">
        <f>IF(DAY(ОктНед1)=1,ОктНед1+26,ОктНед1+33)</f>
        <v>42671</v>
      </c>
      <c r="H8" s="10">
        <f>IF(DAY(ОктНед1)=1,ОктНед1+27,ОктНед1+34)</f>
        <v>42672</v>
      </c>
      <c r="I8" s="10">
        <f>IF(DAY(ОктНед1)=1,ОктНед1+28,ОктНед1+35)</f>
        <v>42673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IF(DAY(ОктНед1)=1,ОктНед1+29,ОктНед1+36)</f>
        <v>42674</v>
      </c>
      <c r="D9" s="10">
        <f>IF(DAY(ОктНед1)=1,ОктНед1+30,ОктНед1+37)</f>
        <v>42675</v>
      </c>
      <c r="E9" s="10">
        <f>IF(DAY(ОктНед1)=1,ОктНед1+31,ОктНед1+38)</f>
        <v>42676</v>
      </c>
      <c r="F9" s="10">
        <f>IF(DAY(ОктНед1)=1,ОктНед1+32,ОктНед1+39)</f>
        <v>42677</v>
      </c>
      <c r="G9" s="10">
        <f>IF(DAY(ОктНед1)=1,ОктНед1+33,ОктНед1+40)</f>
        <v>42678</v>
      </c>
      <c r="H9" s="10">
        <f>IF(DAY(ОктНед1)=1,ОктНед1+34,ОктНед1+41)</f>
        <v>42679</v>
      </c>
      <c r="I9" s="10">
        <f>IF(DAY(ОктНед1)=1,ОктНед1+35,ОктНед1+42)</f>
        <v>42680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VLOOKUP(DAY(C4),ДниЗадача,1,FALSE)=DAY(C4)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23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IF(DAY(НоеНед1)=1,НоеНед1-6,НоеНед1+1)</f>
        <v>42674</v>
      </c>
      <c r="D4" s="10">
        <f>IF(DAY(НоеНед1)=1,НоеНед1-5,НоеНед1+2)</f>
        <v>42675</v>
      </c>
      <c r="E4" s="10">
        <f>IF(DAY(НоеНед1)=1,НоеНед1-4,НоеНед1+3)</f>
        <v>42676</v>
      </c>
      <c r="F4" s="10">
        <f>IF(DAY(НоеНед1)=1,НоеНед1-3,НоеНед1+4)</f>
        <v>42677</v>
      </c>
      <c r="G4" s="10">
        <f>IF(DAY(НоеНед1)=1,НоеНед1-2,НоеНед1+5)</f>
        <v>42678</v>
      </c>
      <c r="H4" s="10">
        <f>IF(DAY(НоеНед1)=1,НоеНед1-1,НоеНед1+6)</f>
        <v>42679</v>
      </c>
      <c r="I4" s="10">
        <f>IF(DAY(НоеНед1)=1,НоеНед1,НоеНед1+7)</f>
        <v>42680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IF(DAY(НоеНед1)=1,НоеНед1+1,НоеНед1+8)</f>
        <v>42681</v>
      </c>
      <c r="D5" s="10">
        <f>IF(DAY(НоеНед1)=1,НоеНед1+2,НоеНед1+9)</f>
        <v>42682</v>
      </c>
      <c r="E5" s="10">
        <f>IF(DAY(НоеНед1)=1,НоеНед1+3,НоеНед1+10)</f>
        <v>42683</v>
      </c>
      <c r="F5" s="10">
        <f>IF(DAY(НоеНед1)=1,НоеНед1+4,НоеНед1+11)</f>
        <v>42684</v>
      </c>
      <c r="G5" s="10">
        <f>IF(DAY(НоеНед1)=1,НоеНед1+5,НоеНед1+12)</f>
        <v>42685</v>
      </c>
      <c r="H5" s="10">
        <f>IF(DAY(НоеНед1)=1,НоеНед1+6,НоеНед1+13)</f>
        <v>42686</v>
      </c>
      <c r="I5" s="10">
        <f>IF(DAY(НоеНед1)=1,НоеНед1+7,НоеНед1+14)</f>
        <v>42687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IF(DAY(НоеНед1)=1,НоеНед1+8,НоеНед1+15)</f>
        <v>42688</v>
      </c>
      <c r="D6" s="10">
        <f>IF(DAY(НоеНед1)=1,НоеНед1+9,НоеНед1+16)</f>
        <v>42689</v>
      </c>
      <c r="E6" s="10">
        <f>IF(DAY(НоеНед1)=1,НоеНед1+10,НоеНед1+17)</f>
        <v>42690</v>
      </c>
      <c r="F6" s="10">
        <f>IF(DAY(НоеНед1)=1,НоеНед1+11,НоеНед1+18)</f>
        <v>42691</v>
      </c>
      <c r="G6" s="10">
        <f>IF(DAY(НоеНед1)=1,НоеНед1+12,НоеНед1+19)</f>
        <v>42692</v>
      </c>
      <c r="H6" s="10">
        <f>IF(DAY(НоеНед1)=1,НоеНед1+13,НоеНед1+20)</f>
        <v>42693</v>
      </c>
      <c r="I6" s="10">
        <f>IF(DAY(НоеНед1)=1,НоеНед1+14,НоеНед1+21)</f>
        <v>42694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IF(DAY(НоеНед1)=1,НоеНед1+15,НоеНед1+22)</f>
        <v>42695</v>
      </c>
      <c r="D7" s="10">
        <f>IF(DAY(НоеНед1)=1,НоеНед1+16,НоеНед1+23)</f>
        <v>42696</v>
      </c>
      <c r="E7" s="10">
        <f>IF(DAY(НоеНед1)=1,НоеНед1+17,НоеНед1+24)</f>
        <v>42697</v>
      </c>
      <c r="F7" s="10">
        <f>IF(DAY(НоеНед1)=1,НоеНед1+18,НоеНед1+25)</f>
        <v>42698</v>
      </c>
      <c r="G7" s="10">
        <f>IF(DAY(НоеНед1)=1,НоеНед1+19,НоеНед1+26)</f>
        <v>42699</v>
      </c>
      <c r="H7" s="10">
        <f>IF(DAY(НоеНед1)=1,НоеНед1+20,НоеНед1+27)</f>
        <v>42700</v>
      </c>
      <c r="I7" s="10">
        <f>IF(DAY(НоеНед1)=1,НоеНед1+21,НоеНед1+28)</f>
        <v>42701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IF(DAY(НоеНед1)=1,НоеНед1+22,НоеНед1+29)</f>
        <v>42702</v>
      </c>
      <c r="D8" s="10">
        <f>IF(DAY(НоеНед1)=1,НоеНед1+23,НоеНед1+30)</f>
        <v>42703</v>
      </c>
      <c r="E8" s="10">
        <f>IF(DAY(НоеНед1)=1,НоеНед1+24,НоеНед1+31)</f>
        <v>42704</v>
      </c>
      <c r="F8" s="10">
        <f>IF(DAY(НоеНед1)=1,НоеНед1+25,НоеНед1+32)</f>
        <v>42705</v>
      </c>
      <c r="G8" s="10">
        <f>IF(DAY(НоеНед1)=1,НоеНед1+26,НоеНед1+33)</f>
        <v>42706</v>
      </c>
      <c r="H8" s="10">
        <f>IF(DAY(НоеНед1)=1,НоеНед1+27,НоеНед1+34)</f>
        <v>42707</v>
      </c>
      <c r="I8" s="10">
        <f>IF(DAY(НоеНед1)=1,НоеНед1+28,НоеНед1+35)</f>
        <v>42708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IF(DAY(НоеНед1)=1,НоеНед1+29,НоеНед1+36)</f>
        <v>42709</v>
      </c>
      <c r="D9" s="10">
        <f>IF(DAY(НоеНед1)=1,НоеНед1+30,НоеНед1+37)</f>
        <v>42710</v>
      </c>
      <c r="E9" s="10">
        <f>IF(DAY(НоеНед1)=1,НоеНед1+31,НоеНед1+38)</f>
        <v>42711</v>
      </c>
      <c r="F9" s="10">
        <f>IF(DAY(НоеНед1)=1,НоеНед1+32,НоеНед1+39)</f>
        <v>42712</v>
      </c>
      <c r="G9" s="10">
        <f>IF(DAY(НоеНед1)=1,НоеНед1+33,НоеНед1+40)</f>
        <v>42713</v>
      </c>
      <c r="H9" s="10">
        <f>IF(DAY(НоеНед1)=1,НоеНед1+34,НоеНед1+41)</f>
        <v>42714</v>
      </c>
      <c r="I9" s="10">
        <f>IF(DAY(НоеНед1)=1,НоеНед1+35,НоеНед1+42)</f>
        <v>42715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VLOOKUP(DAY(C4),ДниЗадача,1,FALSE)=DAY(C4)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24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IF(DAY(ДекНед1)=1,ДекНед1-6,ДекНед1+1)</f>
        <v>42702</v>
      </c>
      <c r="D4" s="10">
        <f>IF(DAY(ДекНед1)=1,ДекНед1-5,ДекНед1+2)</f>
        <v>42703</v>
      </c>
      <c r="E4" s="10">
        <f>IF(DAY(ДекНед1)=1,ДекНед1-4,ДекНед1+3)</f>
        <v>42704</v>
      </c>
      <c r="F4" s="10">
        <f>IF(DAY(ДекНед1)=1,ДекНед1-3,ДекНед1+4)</f>
        <v>42705</v>
      </c>
      <c r="G4" s="10">
        <f>IF(DAY(ДекНед1)=1,ДекНед1-2,ДекНед1+5)</f>
        <v>42706</v>
      </c>
      <c r="H4" s="10">
        <f>IF(DAY(ДекНед1)=1,ДекНед1-1,ДекНед1+6)</f>
        <v>42707</v>
      </c>
      <c r="I4" s="10">
        <f>IF(DAY(ДекНед1)=1,ДекНед1,ДекНед1+7)</f>
        <v>42708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IF(DAY(ДекНед1)=1,ДекНед1+1,ДекНед1+8)</f>
        <v>42709</v>
      </c>
      <c r="D5" s="10">
        <f>IF(DAY(ДекНед1)=1,ДекНед1+2,ДекНед1+9)</f>
        <v>42710</v>
      </c>
      <c r="E5" s="10">
        <f>IF(DAY(ДекНед1)=1,ДекНед1+3,ДекНед1+10)</f>
        <v>42711</v>
      </c>
      <c r="F5" s="10">
        <f>IF(DAY(ДекНед1)=1,ДекНед1+4,ДекНед1+11)</f>
        <v>42712</v>
      </c>
      <c r="G5" s="10">
        <f>IF(DAY(ДекНед1)=1,ДекНед1+5,ДекНед1+12)</f>
        <v>42713</v>
      </c>
      <c r="H5" s="10">
        <f>IF(DAY(ДекНед1)=1,ДекНед1+6,ДекНед1+13)</f>
        <v>42714</v>
      </c>
      <c r="I5" s="10">
        <f>IF(DAY(ДекНед1)=1,ДекНед1+7,ДекНед1+14)</f>
        <v>42715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IF(DAY(ДекНед1)=1,ДекНед1+8,ДекНед1+15)</f>
        <v>42716</v>
      </c>
      <c r="D6" s="10">
        <f>IF(DAY(ДекНед1)=1,ДекНед1+9,ДекНед1+16)</f>
        <v>42717</v>
      </c>
      <c r="E6" s="10">
        <f>IF(DAY(ДекНед1)=1,ДекНед1+10,ДекНед1+17)</f>
        <v>42718</v>
      </c>
      <c r="F6" s="10">
        <f>IF(DAY(ДекНед1)=1,ДекНед1+11,ДекНед1+18)</f>
        <v>42719</v>
      </c>
      <c r="G6" s="10">
        <f>IF(DAY(ДекНед1)=1,ДекНед1+12,ДекНед1+19)</f>
        <v>42720</v>
      </c>
      <c r="H6" s="10">
        <f>IF(DAY(ДекНед1)=1,ДекНед1+13,ДекНед1+20)</f>
        <v>42721</v>
      </c>
      <c r="I6" s="10">
        <f>IF(DAY(ДекНед1)=1,ДекНед1+14,ДекНед1+21)</f>
        <v>42722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IF(DAY(ДекНед1)=1,ДекНед1+15,ДекНед1+22)</f>
        <v>42723</v>
      </c>
      <c r="D7" s="10">
        <f>IF(DAY(ДекНед1)=1,ДекНед1+16,ДекНед1+23)</f>
        <v>42724</v>
      </c>
      <c r="E7" s="10">
        <f>IF(DAY(ДекНед1)=1,ДекНед1+17,ДекНед1+24)</f>
        <v>42725</v>
      </c>
      <c r="F7" s="10">
        <f>IF(DAY(ДекНед1)=1,ДекНед1+18,ДекНед1+25)</f>
        <v>42726</v>
      </c>
      <c r="G7" s="10">
        <f>IF(DAY(ДекНед1)=1,ДекНед1+19,ДекНед1+26)</f>
        <v>42727</v>
      </c>
      <c r="H7" s="10">
        <f>IF(DAY(ДекНед1)=1,ДекНед1+20,ДекНед1+27)</f>
        <v>42728</v>
      </c>
      <c r="I7" s="10">
        <f>IF(DAY(ДекНед1)=1,ДекНед1+21,ДекНед1+28)</f>
        <v>42729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IF(DAY(ДекНед1)=1,ДекНед1+22,ДекНед1+29)</f>
        <v>42730</v>
      </c>
      <c r="D8" s="10">
        <f>IF(DAY(ДекНед1)=1,ДекНед1+23,ДекНед1+30)</f>
        <v>42731</v>
      </c>
      <c r="E8" s="10">
        <f>IF(DAY(ДекНед1)=1,ДекНед1+24,ДекНед1+31)</f>
        <v>42732</v>
      </c>
      <c r="F8" s="10">
        <f>IF(DAY(ДекНед1)=1,ДекНед1+25,ДекНед1+32)</f>
        <v>42733</v>
      </c>
      <c r="G8" s="10">
        <f>IF(DAY(ДекНед1)=1,ДекНед1+26,ДекНед1+33)</f>
        <v>42734</v>
      </c>
      <c r="H8" s="10">
        <f>IF(DAY(ДекНед1)=1,ДекНед1+27,ДекНед1+34)</f>
        <v>42735</v>
      </c>
      <c r="I8" s="10">
        <f>IF(DAY(ДекНед1)=1,ДекНед1+28,ДекНед1+35)</f>
        <v>42736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IF(DAY(ДекНед1)=1,ДекНед1+29,ДекНед1+36)</f>
        <v>42737</v>
      </c>
      <c r="D9" s="10">
        <f>IF(DAY(ДекНед1)=1,ДекНед1+30,ДекНед1+37)</f>
        <v>42738</v>
      </c>
      <c r="E9" s="10">
        <f>IF(DAY(ДекНед1)=1,ДекНед1+31,ДекНед1+38)</f>
        <v>42739</v>
      </c>
      <c r="F9" s="10">
        <f>IF(DAY(ДекНед1)=1,ДекНед1+32,ДекНед1+39)</f>
        <v>42740</v>
      </c>
      <c r="G9" s="10">
        <f>IF(DAY(ДекНед1)=1,ДекНед1+33,ДекНед1+40)</f>
        <v>42741</v>
      </c>
      <c r="H9" s="10">
        <f>IF(DAY(ДекНед1)=1,ДекНед1+34,ДекНед1+41)</f>
        <v>42742</v>
      </c>
      <c r="I9" s="10">
        <f>IF(DAY(ДекНед1)=1,ДекНед1+35,ДекНед1+42)</f>
        <v>42743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VLOOKUP(DAY(C4),ДниЗадача,1,FALSE)=DAY(C4)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25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IF(DAY(ФевНед1)=1,ФевНед1-6,ФевНед1+1)</f>
        <v>42401</v>
      </c>
      <c r="D4" s="10">
        <f>IF(DAY(ФевНед1)=1,ФевНед1-5,ФевНед1+2)</f>
        <v>42402</v>
      </c>
      <c r="E4" s="10">
        <f>IF(DAY(ФевНед1)=1,ФевНед1-4,ФевНед1+3)</f>
        <v>42403</v>
      </c>
      <c r="F4" s="10">
        <f>IF(DAY(ФевНед1)=1,ФевНед1-3,ФевНед1+4)</f>
        <v>42404</v>
      </c>
      <c r="G4" s="10">
        <f>IF(DAY(ФевНед1)=1,ФевНед1-2,ФевНед1+5)</f>
        <v>42405</v>
      </c>
      <c r="H4" s="10">
        <f>IF(DAY(ФевНед1)=1,ФевНед1-1,ФевНед1+6)</f>
        <v>42406</v>
      </c>
      <c r="I4" s="10">
        <f>IF(DAY(ФевНед1)=1,ФевНед1,ФевНед1+7)</f>
        <v>42407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IF(DAY(ФевНед1)=1,ФевНед1+1,ФевНед1+8)</f>
        <v>42408</v>
      </c>
      <c r="D5" s="10">
        <f>IF(DAY(ФевНед1)=1,ФевНед1+2,ФевНед1+9)</f>
        <v>42409</v>
      </c>
      <c r="E5" s="10">
        <f>IF(DAY(ФевНед1)=1,ФевНед1+3,ФевНед1+10)</f>
        <v>42410</v>
      </c>
      <c r="F5" s="10">
        <f>IF(DAY(ФевНед1)=1,ФевНед1+4,ФевНед1+11)</f>
        <v>42411</v>
      </c>
      <c r="G5" s="10">
        <f>IF(DAY(ФевНед1)=1,ФевНед1+5,ФевНед1+12)</f>
        <v>42412</v>
      </c>
      <c r="H5" s="10">
        <f>IF(DAY(ФевНед1)=1,ФевНед1+6,ФевНед1+13)</f>
        <v>42413</v>
      </c>
      <c r="I5" s="10">
        <f>IF(DAY(ФевНед1)=1,ФевНед1+7,ФевНед1+14)</f>
        <v>42414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IF(DAY(ФевНед1)=1,ФевНед1+8,ФевНед1+15)</f>
        <v>42415</v>
      </c>
      <c r="D6" s="10">
        <f>IF(DAY(ФевНед1)=1,ФевНед1+9,ФевНед1+16)</f>
        <v>42416</v>
      </c>
      <c r="E6" s="10">
        <f>IF(DAY(ФевНед1)=1,ФевНед1+10,ФевНед1+17)</f>
        <v>42417</v>
      </c>
      <c r="F6" s="10">
        <f>IF(DAY(ФевНед1)=1,ФевНед1+11,ФевНед1+18)</f>
        <v>42418</v>
      </c>
      <c r="G6" s="10">
        <f>IF(DAY(ФевНед1)=1,ФевНед1+12,ФевНед1+19)</f>
        <v>42419</v>
      </c>
      <c r="H6" s="10">
        <f>IF(DAY(ФевНед1)=1,ФевНед1+13,ФевНед1+20)</f>
        <v>42420</v>
      </c>
      <c r="I6" s="10">
        <f>IF(DAY(ФевНед1)=1,ФевНед1+14,ФевНед1+21)</f>
        <v>42421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IF(DAY(ФевНед1)=1,ФевНед1+15,ФевНед1+22)</f>
        <v>42422</v>
      </c>
      <c r="D7" s="10">
        <f>IF(DAY(ФевНед1)=1,ФевНед1+16,ФевНед1+23)</f>
        <v>42423</v>
      </c>
      <c r="E7" s="10">
        <f>IF(DAY(ФевНед1)=1,ФевНед1+17,ФевНед1+24)</f>
        <v>42424</v>
      </c>
      <c r="F7" s="10">
        <f>IF(DAY(ФевНед1)=1,ФевНед1+18,ФевНед1+25)</f>
        <v>42425</v>
      </c>
      <c r="G7" s="10">
        <f>IF(DAY(ФевНед1)=1,ФевНед1+19,ФевНед1+26)</f>
        <v>42426</v>
      </c>
      <c r="H7" s="10">
        <f>IF(DAY(ФевНед1)=1,ФевНед1+20,ФевНед1+27)</f>
        <v>42427</v>
      </c>
      <c r="I7" s="10">
        <f>IF(DAY(ФевНед1)=1,ФевНед1+21,ФевНед1+28)</f>
        <v>42428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IF(DAY(ФевНед1)=1,ФевНед1+22,ФевНед1+29)</f>
        <v>42429</v>
      </c>
      <c r="D8" s="10">
        <f>IF(DAY(ФевНед1)=1,ФевНед1+23,ФевНед1+30)</f>
        <v>42430</v>
      </c>
      <c r="E8" s="10">
        <f>IF(DAY(ФевНед1)=1,ФевНед1+24,ФевНед1+31)</f>
        <v>42431</v>
      </c>
      <c r="F8" s="10">
        <f>IF(DAY(ФевНед1)=1,ФевНед1+25,ФевНед1+32)</f>
        <v>42432</v>
      </c>
      <c r="G8" s="10">
        <f>IF(DAY(ФевНед1)=1,ФевНед1+26,ФевНед1+33)</f>
        <v>42433</v>
      </c>
      <c r="H8" s="10">
        <f>IF(DAY(ФевНед1)=1,ФевНед1+27,ФевНед1+34)</f>
        <v>42434</v>
      </c>
      <c r="I8" s="10">
        <f>IF(DAY(ФевНед1)=1,ФевНед1+28,ФевНед1+35)</f>
        <v>42435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IF(DAY(ФевНед1)=1,ФевНед1+29,ФевНед1+36)</f>
        <v>42436</v>
      </c>
      <c r="D9" s="10">
        <f>IF(DAY(ФевНед1)=1,ФевНед1+30,ФевНед1+37)</f>
        <v>42437</v>
      </c>
      <c r="E9" s="10">
        <f>IF(DAY(ФевНед1)=1,ФевНед1+31,ФевНед1+38)</f>
        <v>42438</v>
      </c>
      <c r="F9" s="10">
        <f>IF(DAY(ФевНед1)=1,ФевНед1+32,ФевНед1+39)</f>
        <v>42439</v>
      </c>
      <c r="G9" s="10">
        <f>IF(DAY(ФевНед1)=1,ФевНед1+33,ФевНед1+40)</f>
        <v>42440</v>
      </c>
      <c r="H9" s="10">
        <f>IF(DAY(ФевНед1)=1,ФевНед1+34,ФевНед1+41)</f>
        <v>42441</v>
      </c>
      <c r="I9" s="10">
        <f>IF(DAY(ФевНед1)=1,ФевНед1+35,ФевНед1+42)</f>
        <v>42442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VLOOKUP(DAY(C4),ДниЗадача,1,FALSE)=DAY(C4)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26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IF(DAY(МарНед1)=1,МарНед1-6,МарНед1+1)</f>
        <v>42429</v>
      </c>
      <c r="D4" s="10">
        <f>IF(DAY(МарНед1)=1,МарНед1-5,МарНед1+2)</f>
        <v>42430</v>
      </c>
      <c r="E4" s="10">
        <f>IF(DAY(МарНед1)=1,МарНед1-4,МарНед1+3)</f>
        <v>42431</v>
      </c>
      <c r="F4" s="10">
        <f>IF(DAY(МарНед1)=1,МарНед1-3,МарНед1+4)</f>
        <v>42432</v>
      </c>
      <c r="G4" s="10">
        <f>IF(DAY(МарНед1)=1,МарНед1-2,МарНед1+5)</f>
        <v>42433</v>
      </c>
      <c r="H4" s="10">
        <f>IF(DAY(МарНед1)=1,МарНед1-1,МарНед1+6)</f>
        <v>42434</v>
      </c>
      <c r="I4" s="10">
        <f>IF(DAY(МарНед1)=1,МарНед1,МарНед1+7)</f>
        <v>42435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IF(DAY(МарНед1)=1,МарНед1+1,МарНед1+8)</f>
        <v>42436</v>
      </c>
      <c r="D5" s="10">
        <f>IF(DAY(МарНед1)=1,МарНед1+2,МарНед1+9)</f>
        <v>42437</v>
      </c>
      <c r="E5" s="10">
        <f>IF(DAY(МарНед1)=1,МарНед1+3,МарНед1+10)</f>
        <v>42438</v>
      </c>
      <c r="F5" s="10">
        <f>IF(DAY(МарНед1)=1,МарНед1+4,МарНед1+11)</f>
        <v>42439</v>
      </c>
      <c r="G5" s="10">
        <f>IF(DAY(МарНед1)=1,МарНед1+5,МарНед1+12)</f>
        <v>42440</v>
      </c>
      <c r="H5" s="10">
        <f>IF(DAY(МарНед1)=1,МарНед1+6,МарНед1+13)</f>
        <v>42441</v>
      </c>
      <c r="I5" s="10">
        <f>IF(DAY(МарНед1)=1,МарНед1+7,МарНед1+14)</f>
        <v>42442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IF(DAY(МарНед1)=1,МарНед1+8,МарНед1+15)</f>
        <v>42443</v>
      </c>
      <c r="D6" s="10">
        <f>IF(DAY(МарНед1)=1,МарНед1+9,МарНед1+16)</f>
        <v>42444</v>
      </c>
      <c r="E6" s="10">
        <f>IF(DAY(МарНед1)=1,МарНед1+10,МарНед1+17)</f>
        <v>42445</v>
      </c>
      <c r="F6" s="10">
        <f>IF(DAY(МарНед1)=1,МарНед1+11,МарНед1+18)</f>
        <v>42446</v>
      </c>
      <c r="G6" s="10">
        <f>IF(DAY(МарНед1)=1,МарНед1+12,МарНед1+19)</f>
        <v>42447</v>
      </c>
      <c r="H6" s="10">
        <f>IF(DAY(МарНед1)=1,МарНед1+13,МарНед1+20)</f>
        <v>42448</v>
      </c>
      <c r="I6" s="10">
        <f>IF(DAY(МарНед1)=1,МарНед1+14,МарНед1+21)</f>
        <v>42449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IF(DAY(МарНед1)=1,МарНед1+15,МарНед1+22)</f>
        <v>42450</v>
      </c>
      <c r="D7" s="10">
        <f>IF(DAY(МарНед1)=1,МарНед1+16,МарНед1+23)</f>
        <v>42451</v>
      </c>
      <c r="E7" s="10">
        <f>IF(DAY(МарНед1)=1,МарНед1+17,МарНед1+24)</f>
        <v>42452</v>
      </c>
      <c r="F7" s="10">
        <f>IF(DAY(МарНед1)=1,МарНед1+18,МарНед1+25)</f>
        <v>42453</v>
      </c>
      <c r="G7" s="10">
        <f>IF(DAY(МарНед1)=1,МарНед1+19,МарНед1+26)</f>
        <v>42454</v>
      </c>
      <c r="H7" s="10">
        <f>IF(DAY(МарНед1)=1,МарНед1+20,МарНед1+27)</f>
        <v>42455</v>
      </c>
      <c r="I7" s="10">
        <f>IF(DAY(МарНед1)=1,МарНед1+21,МарНед1+28)</f>
        <v>42456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IF(DAY(МарНед1)=1,МарНед1+22,МарНед1+29)</f>
        <v>42457</v>
      </c>
      <c r="D8" s="10">
        <f>IF(DAY(МарНед1)=1,МарНед1+23,МарНед1+30)</f>
        <v>42458</v>
      </c>
      <c r="E8" s="10">
        <f>IF(DAY(МарНед1)=1,МарНед1+24,МарНед1+31)</f>
        <v>42459</v>
      </c>
      <c r="F8" s="10">
        <f>IF(DAY(МарНед1)=1,МарНед1+25,МарНед1+32)</f>
        <v>42460</v>
      </c>
      <c r="G8" s="10">
        <f>IF(DAY(МарНед1)=1,МарНед1+26,МарНед1+33)</f>
        <v>42461</v>
      </c>
      <c r="H8" s="10">
        <f>IF(DAY(МарНед1)=1,МарНед1+27,МарНед1+34)</f>
        <v>42462</v>
      </c>
      <c r="I8" s="10">
        <f>IF(DAY(МарНед1)=1,МарНед1+28,МарНед1+35)</f>
        <v>42463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IF(DAY(МарНед1)=1,МарНед1+29,МарНед1+36)</f>
        <v>42464</v>
      </c>
      <c r="D9" s="10">
        <f>IF(DAY(МарНед1)=1,МарНед1+30,МарНед1+37)</f>
        <v>42465</v>
      </c>
      <c r="E9" s="10">
        <f>IF(DAY(МарНед1)=1,МарНед1+31,МарНед1+38)</f>
        <v>42466</v>
      </c>
      <c r="F9" s="10">
        <f>IF(DAY(МарНед1)=1,МарНед1+32,МарНед1+39)</f>
        <v>42467</v>
      </c>
      <c r="G9" s="10">
        <f>IF(DAY(МарНед1)=1,МарНед1+33,МарНед1+40)</f>
        <v>42468</v>
      </c>
      <c r="H9" s="10">
        <f>IF(DAY(МарНед1)=1,МарНед1+34,МарНед1+41)</f>
        <v>42469</v>
      </c>
      <c r="I9" s="10">
        <f>IF(DAY(МарНед1)=1,МарНед1+35,МарНед1+42)</f>
        <v>42470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VLOOKUP(DAY(C4),ДниЗадача,1,FALSE)=DAY(C4)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27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IF(DAY(АпрНед1)=1,АпрНед1-6,АпрНед1+1)</f>
        <v>42457</v>
      </c>
      <c r="D4" s="10">
        <f>IF(DAY(АпрНед1)=1,АпрНед1-5,АпрНед1+2)</f>
        <v>42458</v>
      </c>
      <c r="E4" s="10">
        <f>IF(DAY(АпрНед1)=1,АпрНед1-4,АпрНед1+3)</f>
        <v>42459</v>
      </c>
      <c r="F4" s="10">
        <f>IF(DAY(АпрНед1)=1,АпрНед1-3,АпрНед1+4)</f>
        <v>42460</v>
      </c>
      <c r="G4" s="10">
        <f>IF(DAY(АпрНед1)=1,АпрНед1-2,АпрНед1+5)</f>
        <v>42461</v>
      </c>
      <c r="H4" s="10">
        <f>IF(DAY(АпрНед1)=1,АпрНед1-1,АпрНед1+6)</f>
        <v>42462</v>
      </c>
      <c r="I4" s="10">
        <f>IF(DAY(АпрНед1)=1,АпрНед1,АпрНед1+7)</f>
        <v>42463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IF(DAY(АпрНед1)=1,АпрНед1+1,АпрНед1+8)</f>
        <v>42464</v>
      </c>
      <c r="D5" s="10">
        <f>IF(DAY(АпрНед1)=1,АпрНед1+2,АпрНед1+9)</f>
        <v>42465</v>
      </c>
      <c r="E5" s="10">
        <f>IF(DAY(АпрНед1)=1,АпрНед1+3,АпрНед1+10)</f>
        <v>42466</v>
      </c>
      <c r="F5" s="10">
        <f>IF(DAY(АпрНед1)=1,АпрНед1+4,АпрНед1+11)</f>
        <v>42467</v>
      </c>
      <c r="G5" s="10">
        <f>IF(DAY(АпрНед1)=1,АпрНед1+5,АпрНед1+12)</f>
        <v>42468</v>
      </c>
      <c r="H5" s="10">
        <f>IF(DAY(АпрНед1)=1,АпрНед1+6,АпрНед1+13)</f>
        <v>42469</v>
      </c>
      <c r="I5" s="10">
        <f>IF(DAY(АпрНед1)=1,АпрНед1+7,АпрНед1+14)</f>
        <v>42470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IF(DAY(АпрНед1)=1,АпрНед1+8,АпрНед1+15)</f>
        <v>42471</v>
      </c>
      <c r="D6" s="10">
        <f>IF(DAY(АпрНед1)=1,АпрНед1+9,АпрНед1+16)</f>
        <v>42472</v>
      </c>
      <c r="E6" s="10">
        <f>IF(DAY(АпрНед1)=1,АпрНед1+10,АпрНед1+17)</f>
        <v>42473</v>
      </c>
      <c r="F6" s="10">
        <f>IF(DAY(АпрНед1)=1,АпрНед1+11,АпрНед1+18)</f>
        <v>42474</v>
      </c>
      <c r="G6" s="10">
        <f>IF(DAY(АпрНед1)=1,АпрНед1+12,АпрНед1+19)</f>
        <v>42475</v>
      </c>
      <c r="H6" s="10">
        <f>IF(DAY(АпрНед1)=1,АпрНед1+13,АпрНед1+20)</f>
        <v>42476</v>
      </c>
      <c r="I6" s="10">
        <f>IF(DAY(АпрНед1)=1,АпрНед1+14,АпрНед1+21)</f>
        <v>42477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IF(DAY(АпрНед1)=1,АпрНед1+15,АпрНед1+22)</f>
        <v>42478</v>
      </c>
      <c r="D7" s="10">
        <f>IF(DAY(АпрНед1)=1,АпрНед1+16,АпрНед1+23)</f>
        <v>42479</v>
      </c>
      <c r="E7" s="10">
        <f>IF(DAY(АпрНед1)=1,АпрНед1+17,АпрНед1+24)</f>
        <v>42480</v>
      </c>
      <c r="F7" s="10">
        <f>IF(DAY(АпрНед1)=1,АпрНед1+18,АпрНед1+25)</f>
        <v>42481</v>
      </c>
      <c r="G7" s="10">
        <f>IF(DAY(АпрНед1)=1,АпрНед1+19,АпрНед1+26)</f>
        <v>42482</v>
      </c>
      <c r="H7" s="10">
        <f>IF(DAY(АпрНед1)=1,АпрНед1+20,АпрНед1+27)</f>
        <v>42483</v>
      </c>
      <c r="I7" s="10">
        <f>IF(DAY(АпрНед1)=1,АпрНед1+21,АпрНед1+28)</f>
        <v>42484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IF(DAY(АпрНед1)=1,АпрНед1+22,АпрНед1+29)</f>
        <v>42485</v>
      </c>
      <c r="D8" s="10">
        <f>IF(DAY(АпрНед1)=1,АпрНед1+23,АпрНед1+30)</f>
        <v>42486</v>
      </c>
      <c r="E8" s="10">
        <f>IF(DAY(АпрНед1)=1,АпрНед1+24,АпрНед1+31)</f>
        <v>42487</v>
      </c>
      <c r="F8" s="10">
        <f>IF(DAY(АпрНед1)=1,АпрНед1+25,АпрНед1+32)</f>
        <v>42488</v>
      </c>
      <c r="G8" s="10">
        <f>IF(DAY(АпрНед1)=1,АпрНед1+26,АпрНед1+33)</f>
        <v>42489</v>
      </c>
      <c r="H8" s="10">
        <f>IF(DAY(АпрНед1)=1,АпрНед1+27,АпрНед1+34)</f>
        <v>42490</v>
      </c>
      <c r="I8" s="10">
        <f>IF(DAY(АпрНед1)=1,АпрНед1+28,АпрНед1+35)</f>
        <v>42491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IF(DAY(АпрНед1)=1,АпрНед1+29,АпрНед1+36)</f>
        <v>42492</v>
      </c>
      <c r="D9" s="10">
        <f>IF(DAY(АпрНед1)=1,АпрНед1+30,АпрНед1+37)</f>
        <v>42493</v>
      </c>
      <c r="E9" s="10">
        <f>IF(DAY(АпрНед1)=1,АпрНед1+31,АпрНед1+38)</f>
        <v>42494</v>
      </c>
      <c r="F9" s="10">
        <f>IF(DAY(АпрНед1)=1,АпрНед1+32,АпрНед1+39)</f>
        <v>42495</v>
      </c>
      <c r="G9" s="10">
        <f>IF(DAY(АпрНед1)=1,АпрНед1+33,АпрНед1+40)</f>
        <v>42496</v>
      </c>
      <c r="H9" s="10">
        <f>IF(DAY(АпрНед1)=1,АпрНед1+34,АпрНед1+41)</f>
        <v>42497</v>
      </c>
      <c r="I9" s="10">
        <f>IF(DAY(АпрНед1)=1,АпрНед1+35,АпрНед1+42)</f>
        <v>42498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VLOOKUP(DAY(C4),ДниЗадача,1,FALSE)=DAY(C4)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28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IF(DAY(МайНед1)=1,МайНед1-6,МайНед1+1)</f>
        <v>42485</v>
      </c>
      <c r="D4" s="10">
        <f>IF(DAY(МайНед1)=1,МайНед1-5,МайНед1+2)</f>
        <v>42486</v>
      </c>
      <c r="E4" s="10">
        <f>IF(DAY(МайНед1)=1,МайНед1-4,МайНед1+3)</f>
        <v>42487</v>
      </c>
      <c r="F4" s="10">
        <f>IF(DAY(МайНед1)=1,МайНед1-3,МайНед1+4)</f>
        <v>42488</v>
      </c>
      <c r="G4" s="10">
        <f>IF(DAY(МайНед1)=1,МайНед1-2,МайНед1+5)</f>
        <v>42489</v>
      </c>
      <c r="H4" s="10">
        <f>IF(DAY(МайНед1)=1,МайНед1-1,МайНед1+6)</f>
        <v>42490</v>
      </c>
      <c r="I4" s="10">
        <f>IF(DAY(МайНед1)=1,МайНед1,МайНед1+7)</f>
        <v>42491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IF(DAY(МайНед1)=1,МайНед1+1,МайНед1+8)</f>
        <v>42492</v>
      </c>
      <c r="D5" s="10">
        <f>IF(DAY(МайНед1)=1,МайНед1+2,МайНед1+9)</f>
        <v>42493</v>
      </c>
      <c r="E5" s="10">
        <f>IF(DAY(МайНед1)=1,МайНед1+3,МайНед1+10)</f>
        <v>42494</v>
      </c>
      <c r="F5" s="10">
        <f>IF(DAY(МайНед1)=1,МайНед1+4,МайНед1+11)</f>
        <v>42495</v>
      </c>
      <c r="G5" s="10">
        <f>IF(DAY(МайНед1)=1,МайНед1+5,МайНед1+12)</f>
        <v>42496</v>
      </c>
      <c r="H5" s="10">
        <f>IF(DAY(МайНед1)=1,МайНед1+6,МайНед1+13)</f>
        <v>42497</v>
      </c>
      <c r="I5" s="10">
        <f>IF(DAY(МайНед1)=1,МайНед1+7,МайНед1+14)</f>
        <v>42498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IF(DAY(МайНед1)=1,МайНед1+8,МайНед1+15)</f>
        <v>42499</v>
      </c>
      <c r="D6" s="10">
        <f>IF(DAY(МайНед1)=1,МайНед1+9,МайНед1+16)</f>
        <v>42500</v>
      </c>
      <c r="E6" s="10">
        <f>IF(DAY(МайНед1)=1,МайНед1+10,МайНед1+17)</f>
        <v>42501</v>
      </c>
      <c r="F6" s="10">
        <f>IF(DAY(МайНед1)=1,МайНед1+11,МайНед1+18)</f>
        <v>42502</v>
      </c>
      <c r="G6" s="10">
        <f>IF(DAY(МайНед1)=1,МайНед1+12,МайНед1+19)</f>
        <v>42503</v>
      </c>
      <c r="H6" s="10">
        <f>IF(DAY(МайНед1)=1,МайНед1+13,МайНед1+20)</f>
        <v>42504</v>
      </c>
      <c r="I6" s="10">
        <f>IF(DAY(МайНед1)=1,МайНед1+14,МайНед1+21)</f>
        <v>42505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IF(DAY(МайНед1)=1,МайНед1+15,МайНед1+22)</f>
        <v>42506</v>
      </c>
      <c r="D7" s="10">
        <f>IF(DAY(МайНед1)=1,МайНед1+16,МайНед1+23)</f>
        <v>42507</v>
      </c>
      <c r="E7" s="10">
        <f>IF(DAY(МайНед1)=1,МайНед1+17,МайНед1+24)</f>
        <v>42508</v>
      </c>
      <c r="F7" s="10">
        <f>IF(DAY(МайНед1)=1,МайНед1+18,МайНед1+25)</f>
        <v>42509</v>
      </c>
      <c r="G7" s="10">
        <f>IF(DAY(МайНед1)=1,МайНед1+19,МайНед1+26)</f>
        <v>42510</v>
      </c>
      <c r="H7" s="10">
        <f>IF(DAY(МайНед1)=1,МайНед1+20,МайНед1+27)</f>
        <v>42511</v>
      </c>
      <c r="I7" s="10">
        <f>IF(DAY(МайНед1)=1,МайНед1+21,МайНед1+28)</f>
        <v>42512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IF(DAY(МайНед1)=1,МайНед1+22,МайНед1+29)</f>
        <v>42513</v>
      </c>
      <c r="D8" s="10">
        <f>IF(DAY(МайНед1)=1,МайНед1+23,МайНед1+30)</f>
        <v>42514</v>
      </c>
      <c r="E8" s="10">
        <f>IF(DAY(МайНед1)=1,МайНед1+24,МайНед1+31)</f>
        <v>42515</v>
      </c>
      <c r="F8" s="10">
        <f>IF(DAY(МайНед1)=1,МайНед1+25,МайНед1+32)</f>
        <v>42516</v>
      </c>
      <c r="G8" s="10">
        <f>IF(DAY(МайНед1)=1,МайНед1+26,МайНед1+33)</f>
        <v>42517</v>
      </c>
      <c r="H8" s="10">
        <f>IF(DAY(МайНед1)=1,МайНед1+27,МайНед1+34)</f>
        <v>42518</v>
      </c>
      <c r="I8" s="10">
        <f>IF(DAY(МайНед1)=1,МайНед1+28,МайНед1+35)</f>
        <v>42519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IF(DAY(МайНед1)=1,МайНед1+29,МайНед1+36)</f>
        <v>42520</v>
      </c>
      <c r="D9" s="10">
        <f>IF(DAY(МайНед1)=1,МайНед1+30,МайНед1+37)</f>
        <v>42521</v>
      </c>
      <c r="E9" s="10">
        <f>IF(DAY(МайНед1)=1,МайНед1+31,МайНед1+38)</f>
        <v>42522</v>
      </c>
      <c r="F9" s="10">
        <f>IF(DAY(МайНед1)=1,МайНед1+32,МайНед1+39)</f>
        <v>42523</v>
      </c>
      <c r="G9" s="10">
        <f>IF(DAY(МайНед1)=1,МайНед1+33,МайНед1+40)</f>
        <v>42524</v>
      </c>
      <c r="H9" s="10">
        <f>IF(DAY(МайНед1)=1,МайНед1+34,МайНед1+41)</f>
        <v>42525</v>
      </c>
      <c r="I9" s="10">
        <f>IF(DAY(МайНед1)=1,МайНед1+35,МайНед1+42)</f>
        <v>42526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VLOOKUP(DAY(C4),ДниЗадача,1,FALSE)=DAY(C4)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29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IF(DAY(ЮниНед1)=1,ЮниНед1-6,ЮниНед1+1)</f>
        <v>42520</v>
      </c>
      <c r="D4" s="10">
        <f>IF(DAY(ЮниНед1)=1,ЮниНед1-5,ЮниНед1+2)</f>
        <v>42521</v>
      </c>
      <c r="E4" s="10">
        <f>IF(DAY(ЮниНед1)=1,ЮниНед1-4,ЮниНед1+3)</f>
        <v>42522</v>
      </c>
      <c r="F4" s="10">
        <f>IF(DAY(ЮниНед1)=1,ЮниНед1-3,ЮниНед1+4)</f>
        <v>42523</v>
      </c>
      <c r="G4" s="10">
        <f>IF(DAY(ЮниНед1)=1,ЮниНед1-2,ЮниНед1+5)</f>
        <v>42524</v>
      </c>
      <c r="H4" s="10">
        <f>IF(DAY(ЮниНед1)=1,ЮниНед1-1,ЮниНед1+6)</f>
        <v>42525</v>
      </c>
      <c r="I4" s="10">
        <f>IF(DAY(ЮниНед1)=1,ЮниНед1,ЮниНед1+7)</f>
        <v>42526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IF(DAY(ЮниНед1)=1,ЮниНед1+1,ЮниНед1+8)</f>
        <v>42527</v>
      </c>
      <c r="D5" s="10">
        <f>IF(DAY(ЮниНед1)=1,ЮниНед1+2,ЮниНед1+9)</f>
        <v>42528</v>
      </c>
      <c r="E5" s="10">
        <f>IF(DAY(ЮниНед1)=1,ЮниНед1+3,ЮниНед1+10)</f>
        <v>42529</v>
      </c>
      <c r="F5" s="10">
        <f>IF(DAY(ЮниНед1)=1,ЮниНед1+4,ЮниНед1+11)</f>
        <v>42530</v>
      </c>
      <c r="G5" s="10">
        <f>IF(DAY(ЮниНед1)=1,ЮниНед1+5,ЮниНед1+12)</f>
        <v>42531</v>
      </c>
      <c r="H5" s="10">
        <f>IF(DAY(ЮниНед1)=1,ЮниНед1+6,ЮниНед1+13)</f>
        <v>42532</v>
      </c>
      <c r="I5" s="10">
        <f>IF(DAY(ЮниНед1)=1,ЮниНед1+7,ЮниНед1+14)</f>
        <v>42533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IF(DAY(ЮниНед1)=1,ЮниНед1+8,ЮниНед1+15)</f>
        <v>42534</v>
      </c>
      <c r="D6" s="10">
        <f>IF(DAY(ЮниНед1)=1,ЮниНед1+9,ЮниНед1+16)</f>
        <v>42535</v>
      </c>
      <c r="E6" s="10">
        <f>IF(DAY(ЮниНед1)=1,ЮниНед1+10,ЮниНед1+17)</f>
        <v>42536</v>
      </c>
      <c r="F6" s="10">
        <f>IF(DAY(ЮниНед1)=1,ЮниНед1+11,ЮниНед1+18)</f>
        <v>42537</v>
      </c>
      <c r="G6" s="10">
        <f>IF(DAY(ЮниНед1)=1,ЮниНед1+12,ЮниНед1+19)</f>
        <v>42538</v>
      </c>
      <c r="H6" s="10">
        <f>IF(DAY(ЮниНед1)=1,ЮниНед1+13,ЮниНед1+20)</f>
        <v>42539</v>
      </c>
      <c r="I6" s="10">
        <f>IF(DAY(ЮниНед1)=1,ЮниНед1+14,ЮниНед1+21)</f>
        <v>42540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IF(DAY(ЮниНед1)=1,ЮниНед1+15,ЮниНед1+22)</f>
        <v>42541</v>
      </c>
      <c r="D7" s="10">
        <f>IF(DAY(ЮниНед1)=1,ЮниНед1+16,ЮниНед1+23)</f>
        <v>42542</v>
      </c>
      <c r="E7" s="10">
        <f>IF(DAY(ЮниНед1)=1,ЮниНед1+17,ЮниНед1+24)</f>
        <v>42543</v>
      </c>
      <c r="F7" s="10">
        <f>IF(DAY(ЮниНед1)=1,ЮниНед1+18,ЮниНед1+25)</f>
        <v>42544</v>
      </c>
      <c r="G7" s="10">
        <f>IF(DAY(ЮниНед1)=1,ЮниНед1+19,ЮниНед1+26)</f>
        <v>42545</v>
      </c>
      <c r="H7" s="10">
        <f>IF(DAY(ЮниНед1)=1,ЮниНед1+20,ЮниНед1+27)</f>
        <v>42546</v>
      </c>
      <c r="I7" s="10">
        <f>IF(DAY(ЮниНед1)=1,ЮниНед1+21,ЮниНед1+28)</f>
        <v>42547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IF(DAY(ЮниНед1)=1,ЮниНед1+22,ЮниНед1+29)</f>
        <v>42548</v>
      </c>
      <c r="D8" s="10">
        <f>IF(DAY(ЮниНед1)=1,ЮниНед1+23,ЮниНед1+30)</f>
        <v>42549</v>
      </c>
      <c r="E8" s="10">
        <f>IF(DAY(ЮниНед1)=1,ЮниНед1+24,ЮниНед1+31)</f>
        <v>42550</v>
      </c>
      <c r="F8" s="10">
        <f>IF(DAY(ЮниНед1)=1,ЮниНед1+25,ЮниНед1+32)</f>
        <v>42551</v>
      </c>
      <c r="G8" s="10">
        <f>IF(DAY(ЮниНед1)=1,ЮниНед1+26,ЮниНед1+33)</f>
        <v>42552</v>
      </c>
      <c r="H8" s="10">
        <f>IF(DAY(ЮниНед1)=1,ЮниНед1+27,ЮниНед1+34)</f>
        <v>42553</v>
      </c>
      <c r="I8" s="10">
        <f>IF(DAY(ЮниНед1)=1,ЮниНед1+28,ЮниНед1+35)</f>
        <v>42554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IF(DAY(ЮниНед1)=1,ЮниНед1+29,ЮниНед1+36)</f>
        <v>42555</v>
      </c>
      <c r="D9" s="10">
        <f>IF(DAY(ЮниНед1)=1,ЮниНед1+30,ЮниНед1+37)</f>
        <v>42556</v>
      </c>
      <c r="E9" s="10">
        <f>IF(DAY(ЮниНед1)=1,ЮниНед1+31,ЮниНед1+38)</f>
        <v>42557</v>
      </c>
      <c r="F9" s="10">
        <f>IF(DAY(ЮниНед1)=1,ЮниНед1+32,ЮниНед1+39)</f>
        <v>42558</v>
      </c>
      <c r="G9" s="10">
        <f>IF(DAY(ЮниНед1)=1,ЮниНед1+33,ЮниНед1+40)</f>
        <v>42559</v>
      </c>
      <c r="H9" s="10">
        <f>IF(DAY(ЮниНед1)=1,ЮниНед1+34,ЮниНед1+41)</f>
        <v>42560</v>
      </c>
      <c r="I9" s="10">
        <f>IF(DAY(ЮниНед1)=1,ЮниНед1+35,ЮниНед1+42)</f>
        <v>42561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VLOOKUP(DAY(C4),ДниЗадача,1,FALSE)=DAY(C4)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30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IF(DAY(ЮлиНед1)=1,ЮлиНед1-6,ЮлиНед1+1)</f>
        <v>42548</v>
      </c>
      <c r="D4" s="10">
        <f>IF(DAY(ЮлиНед1)=1,ЮлиНед1-5,ЮлиНед1+2)</f>
        <v>42549</v>
      </c>
      <c r="E4" s="10">
        <f>IF(DAY(ЮлиНед1)=1,ЮлиНед1-4,ЮлиНед1+3)</f>
        <v>42550</v>
      </c>
      <c r="F4" s="10">
        <f>IF(DAY(ЮлиНед1)=1,ЮлиНед1-3,ЮлиНед1+4)</f>
        <v>42551</v>
      </c>
      <c r="G4" s="10">
        <f>IF(DAY(ЮлиНед1)=1,ЮлиНед1-2,ЮлиНед1+5)</f>
        <v>42552</v>
      </c>
      <c r="H4" s="10">
        <f>IF(DAY(ЮлиНед1)=1,ЮлиНед1-1,ЮлиНед1+6)</f>
        <v>42553</v>
      </c>
      <c r="I4" s="10">
        <f>IF(DAY(ЮлиНед1)=1,ЮлиНед1,ЮлиНед1+7)</f>
        <v>42554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IF(DAY(ЮлиНед1)=1,ЮлиНед1+1,ЮлиНед1+8)</f>
        <v>42555</v>
      </c>
      <c r="D5" s="10">
        <f>IF(DAY(ЮлиНед1)=1,ЮлиНед1+2,ЮлиНед1+9)</f>
        <v>42556</v>
      </c>
      <c r="E5" s="10">
        <f>IF(DAY(ЮлиНед1)=1,ЮлиНед1+3,ЮлиНед1+10)</f>
        <v>42557</v>
      </c>
      <c r="F5" s="10">
        <f>IF(DAY(ЮлиНед1)=1,ЮлиНед1+4,ЮлиНед1+11)</f>
        <v>42558</v>
      </c>
      <c r="G5" s="10">
        <f>IF(DAY(ЮлиНед1)=1,ЮлиНед1+5,ЮлиНед1+12)</f>
        <v>42559</v>
      </c>
      <c r="H5" s="10">
        <f>IF(DAY(ЮлиНед1)=1,ЮлиНед1+6,ЮлиНед1+13)</f>
        <v>42560</v>
      </c>
      <c r="I5" s="10">
        <f>IF(DAY(ЮлиНед1)=1,ЮлиНед1+7,ЮлиНед1+14)</f>
        <v>42561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IF(DAY(ЮлиНед1)=1,ЮлиНед1+8,ЮлиНед1+15)</f>
        <v>42562</v>
      </c>
      <c r="D6" s="10">
        <f>IF(DAY(ЮлиНед1)=1,ЮлиНед1+9,ЮлиНед1+16)</f>
        <v>42563</v>
      </c>
      <c r="E6" s="10">
        <f>IF(DAY(ЮлиНед1)=1,ЮлиНед1+10,ЮлиНед1+17)</f>
        <v>42564</v>
      </c>
      <c r="F6" s="10">
        <f>IF(DAY(ЮлиНед1)=1,ЮлиНед1+11,ЮлиНед1+18)</f>
        <v>42565</v>
      </c>
      <c r="G6" s="10">
        <f>IF(DAY(ЮлиНед1)=1,ЮлиНед1+12,ЮлиНед1+19)</f>
        <v>42566</v>
      </c>
      <c r="H6" s="10">
        <f>IF(DAY(ЮлиНед1)=1,ЮлиНед1+13,ЮлиНед1+20)</f>
        <v>42567</v>
      </c>
      <c r="I6" s="10">
        <f>IF(DAY(ЮлиНед1)=1,ЮлиНед1+14,ЮлиНед1+21)</f>
        <v>42568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IF(DAY(ЮлиНед1)=1,ЮлиНед1+15,ЮлиНед1+22)</f>
        <v>42569</v>
      </c>
      <c r="D7" s="10">
        <f>IF(DAY(ЮлиНед1)=1,ЮлиНед1+16,ЮлиНед1+23)</f>
        <v>42570</v>
      </c>
      <c r="E7" s="10">
        <f>IF(DAY(ЮлиНед1)=1,ЮлиНед1+17,ЮлиНед1+24)</f>
        <v>42571</v>
      </c>
      <c r="F7" s="10">
        <f>IF(DAY(ЮлиНед1)=1,ЮлиНед1+18,ЮлиНед1+25)</f>
        <v>42572</v>
      </c>
      <c r="G7" s="10">
        <f>IF(DAY(ЮлиНед1)=1,ЮлиНед1+19,ЮлиНед1+26)</f>
        <v>42573</v>
      </c>
      <c r="H7" s="10">
        <f>IF(DAY(ЮлиНед1)=1,ЮлиНед1+20,ЮлиНед1+27)</f>
        <v>42574</v>
      </c>
      <c r="I7" s="10">
        <f>IF(DAY(ЮлиНед1)=1,ЮлиНед1+21,ЮлиНед1+28)</f>
        <v>42575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IF(DAY(ЮлиНед1)=1,ЮлиНед1+22,ЮлиНед1+29)</f>
        <v>42576</v>
      </c>
      <c r="D8" s="10">
        <f>IF(DAY(ЮлиНед1)=1,ЮлиНед1+23,ЮлиНед1+30)</f>
        <v>42577</v>
      </c>
      <c r="E8" s="10">
        <f>IF(DAY(ЮлиНед1)=1,ЮлиНед1+24,ЮлиНед1+31)</f>
        <v>42578</v>
      </c>
      <c r="F8" s="10">
        <f>IF(DAY(ЮлиНед1)=1,ЮлиНед1+25,ЮлиНед1+32)</f>
        <v>42579</v>
      </c>
      <c r="G8" s="10">
        <f>IF(DAY(ЮлиНед1)=1,ЮлиНед1+26,ЮлиНед1+33)</f>
        <v>42580</v>
      </c>
      <c r="H8" s="10">
        <f>IF(DAY(ЮлиНед1)=1,ЮлиНед1+27,ЮлиНед1+34)</f>
        <v>42581</v>
      </c>
      <c r="I8" s="10">
        <f>IF(DAY(ЮлиНед1)=1,ЮлиНед1+28,ЮлиНед1+35)</f>
        <v>42582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IF(DAY(ЮлиНед1)=1,ЮлиНед1+29,ЮлиНед1+36)</f>
        <v>42583</v>
      </c>
      <c r="D9" s="10">
        <f>IF(DAY(ЮлиНед1)=1,ЮлиНед1+30,ЮлиНед1+37)</f>
        <v>42584</v>
      </c>
      <c r="E9" s="10">
        <f>IF(DAY(ЮлиНед1)=1,ЮлиНед1+31,ЮлиНед1+38)</f>
        <v>42585</v>
      </c>
      <c r="F9" s="10">
        <f>IF(DAY(ЮлиНед1)=1,ЮлиНед1+32,ЮлиНед1+39)</f>
        <v>42586</v>
      </c>
      <c r="G9" s="10">
        <f>IF(DAY(ЮлиНед1)=1,ЮлиНед1+33,ЮлиНед1+40)</f>
        <v>42587</v>
      </c>
      <c r="H9" s="10">
        <f>IF(DAY(ЮлиНед1)=1,ЮлиНед1+34,ЮлиНед1+41)</f>
        <v>42588</v>
      </c>
      <c r="I9" s="10">
        <f>IF(DAY(ЮлиНед1)=1,ЮлиНед1+35,ЮлиНед1+42)</f>
        <v>42589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VLOOKUP(DAY(C4),ДниЗадача,1,FALSE)=DAY(C4)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31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IF(DAY(АвгНед1)=1,АвгНед1-6,АвгНед1+1)</f>
        <v>42583</v>
      </c>
      <c r="D4" s="10">
        <f>IF(DAY(АвгНед1)=1,АвгНед1-5,АвгНед1+2)</f>
        <v>42584</v>
      </c>
      <c r="E4" s="10">
        <f>IF(DAY(АвгНед1)=1,АвгНед1-4,АвгНед1+3)</f>
        <v>42585</v>
      </c>
      <c r="F4" s="10">
        <f>IF(DAY(АвгНед1)=1,АвгНед1-3,АвгНед1+4)</f>
        <v>42586</v>
      </c>
      <c r="G4" s="10">
        <f>IF(DAY(АвгНед1)=1,АвгНед1-2,АвгНед1+5)</f>
        <v>42587</v>
      </c>
      <c r="H4" s="10">
        <f>IF(DAY(АвгНед1)=1,АвгНед1-1,АвгНед1+6)</f>
        <v>42588</v>
      </c>
      <c r="I4" s="10">
        <f>IF(DAY(АвгНед1)=1,АвгНед1,АвгНед1+7)</f>
        <v>42589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IF(DAY(АвгНед1)=1,АвгНед1+1,АвгНед1+8)</f>
        <v>42590</v>
      </c>
      <c r="D5" s="10">
        <f>IF(DAY(АвгНед1)=1,АвгНед1+2,АвгНед1+9)</f>
        <v>42591</v>
      </c>
      <c r="E5" s="10">
        <f>IF(DAY(АвгНед1)=1,АвгНед1+3,АвгНед1+10)</f>
        <v>42592</v>
      </c>
      <c r="F5" s="10">
        <f>IF(DAY(АвгНед1)=1,АвгНед1+4,АвгНед1+11)</f>
        <v>42593</v>
      </c>
      <c r="G5" s="10">
        <f>IF(DAY(АвгНед1)=1,АвгНед1+5,АвгНед1+12)</f>
        <v>42594</v>
      </c>
      <c r="H5" s="10">
        <f>IF(DAY(АвгНед1)=1,АвгНед1+6,АвгНед1+13)</f>
        <v>42595</v>
      </c>
      <c r="I5" s="10">
        <f>IF(DAY(АвгНед1)=1,АвгНед1+7,АвгНед1+14)</f>
        <v>42596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IF(DAY(АвгНед1)=1,АвгНед1+8,АвгНед1+15)</f>
        <v>42597</v>
      </c>
      <c r="D6" s="10">
        <f>IF(DAY(АвгНед1)=1,АвгНед1+9,АвгНед1+16)</f>
        <v>42598</v>
      </c>
      <c r="E6" s="10">
        <f>IF(DAY(АвгНед1)=1,АвгНед1+10,АвгНед1+17)</f>
        <v>42599</v>
      </c>
      <c r="F6" s="10">
        <f>IF(DAY(АвгНед1)=1,АвгНед1+11,АвгНед1+18)</f>
        <v>42600</v>
      </c>
      <c r="G6" s="10">
        <f>IF(DAY(АвгНед1)=1,АвгНед1+12,АвгНед1+19)</f>
        <v>42601</v>
      </c>
      <c r="H6" s="10">
        <f>IF(DAY(АвгНед1)=1,АвгНед1+13,АвгНед1+20)</f>
        <v>42602</v>
      </c>
      <c r="I6" s="10">
        <f>IF(DAY(АвгНед1)=1,АвгНед1+14,АвгНед1+21)</f>
        <v>42603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IF(DAY(АвгНед1)=1,АвгНед1+15,АвгНед1+22)</f>
        <v>42604</v>
      </c>
      <c r="D7" s="10">
        <f>IF(DAY(АвгНед1)=1,АвгНед1+16,АвгНед1+23)</f>
        <v>42605</v>
      </c>
      <c r="E7" s="10">
        <f>IF(DAY(АвгНед1)=1,АвгНед1+17,АвгНед1+24)</f>
        <v>42606</v>
      </c>
      <c r="F7" s="10">
        <f>IF(DAY(АвгНед1)=1,АвгНед1+18,АвгНед1+25)</f>
        <v>42607</v>
      </c>
      <c r="G7" s="10">
        <f>IF(DAY(АвгНед1)=1,АвгНед1+19,АвгНед1+26)</f>
        <v>42608</v>
      </c>
      <c r="H7" s="10">
        <f>IF(DAY(АвгНед1)=1,АвгНед1+20,АвгНед1+27)</f>
        <v>42609</v>
      </c>
      <c r="I7" s="10">
        <f>IF(DAY(АвгНед1)=1,АвгНед1+21,АвгНед1+28)</f>
        <v>42610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IF(DAY(АвгНед1)=1,АвгНед1+22,АвгНед1+29)</f>
        <v>42611</v>
      </c>
      <c r="D8" s="10">
        <f>IF(DAY(АвгНед1)=1,АвгНед1+23,АвгНед1+30)</f>
        <v>42612</v>
      </c>
      <c r="E8" s="10">
        <f>IF(DAY(АвгНед1)=1,АвгНед1+24,АвгНед1+31)</f>
        <v>42613</v>
      </c>
      <c r="F8" s="10">
        <f>IF(DAY(АвгНед1)=1,АвгНед1+25,АвгНед1+32)</f>
        <v>42614</v>
      </c>
      <c r="G8" s="10">
        <f>IF(DAY(АвгНед1)=1,АвгНед1+26,АвгНед1+33)</f>
        <v>42615</v>
      </c>
      <c r="H8" s="10">
        <f>IF(DAY(АвгНед1)=1,АвгНед1+27,АвгНед1+34)</f>
        <v>42616</v>
      </c>
      <c r="I8" s="10">
        <f>IF(DAY(АвгНед1)=1,АвгНед1+28,АвгНед1+35)</f>
        <v>42617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IF(DAY(АвгНед1)=1,АвгНед1+29,АвгНед1+36)</f>
        <v>42618</v>
      </c>
      <c r="D9" s="10">
        <f>IF(DAY(АвгНед1)=1,АвгНед1+30,АвгНед1+37)</f>
        <v>42619</v>
      </c>
      <c r="E9" s="10">
        <f>IF(DAY(АвгНед1)=1,АвгНед1+31,АвгНед1+38)</f>
        <v>42620</v>
      </c>
      <c r="F9" s="10">
        <f>IF(DAY(АвгНед1)=1,АвгНед1+32,АвгНед1+39)</f>
        <v>42621</v>
      </c>
      <c r="G9" s="10">
        <f>IF(DAY(АвгНед1)=1,АвгНед1+33,АвгНед1+40)</f>
        <v>42622</v>
      </c>
      <c r="H9" s="10">
        <f>IF(DAY(АвгНед1)=1,АвгНед1+34,АвгНед1+41)</f>
        <v>42623</v>
      </c>
      <c r="I9" s="10">
        <f>IF(DAY(АвгНед1)=1,АвгНед1+35,АвгНед1+42)</f>
        <v>42624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VLOOKUP(DAY(C4),ДниЗадача,1,FALSE)=DAY(C4)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fitToPage="1"/>
  </sheetPr>
  <dimension ref="A1: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20.85546875" style="1" customWidth="1"/>
    <col min="3" max="10" width="10.4257812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384" width="8.7109375" style="1"/>
  </cols>
  <sheetData>
    <row r="1" spans="1:14" ht="11.25" customHeight="1" x14ac:dyDescent="0.2"/>
    <row r="2" spans="1:14" ht="18" customHeight="1" x14ac:dyDescent="0.2">
      <c r="A2" s="4"/>
      <c r="B2" s="30"/>
      <c r="C2" s="21"/>
      <c r="D2" s="21"/>
      <c r="E2" s="21"/>
      <c r="F2" s="21"/>
      <c r="G2" s="21"/>
      <c r="H2" s="21"/>
      <c r="I2" s="21"/>
      <c r="J2" s="22"/>
      <c r="K2" s="70" t="s">
        <v>17</v>
      </c>
      <c r="L2" s="71">
        <v>2013</v>
      </c>
      <c r="M2" s="71"/>
      <c r="N2" s="79">
        <f>КалендарнаГодина</f>
        <v>2016</v>
      </c>
    </row>
    <row r="3" spans="1:14" ht="21" customHeight="1" x14ac:dyDescent="0.2">
      <c r="A3" s="4"/>
      <c r="B3" s="31" t="s">
        <v>32</v>
      </c>
      <c r="C3" s="2" t="s">
        <v>33</v>
      </c>
      <c r="D3" s="2" t="s">
        <v>34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5"/>
      <c r="K3" s="72"/>
      <c r="L3" s="73"/>
      <c r="M3" s="73"/>
      <c r="N3" s="80"/>
    </row>
    <row r="4" spans="1:14" ht="18" customHeight="1" x14ac:dyDescent="0.2">
      <c r="A4" s="4"/>
      <c r="B4" s="31"/>
      <c r="C4" s="10">
        <f>IF(DAY(СепНед1)=1,СепНед1-6,СепНед1+1)</f>
        <v>42611</v>
      </c>
      <c r="D4" s="10">
        <f>IF(DAY(СепНед1)=1,СепНед1-5,СепНед1+2)</f>
        <v>42612</v>
      </c>
      <c r="E4" s="10">
        <f>IF(DAY(СепНед1)=1,СепНед1-4,СепНед1+3)</f>
        <v>42613</v>
      </c>
      <c r="F4" s="10">
        <f>IF(DAY(СепНед1)=1,СепНед1-3,СепНед1+4)</f>
        <v>42614</v>
      </c>
      <c r="G4" s="10">
        <f>IF(DAY(СепНед1)=1,СепНед1-2,СепНед1+5)</f>
        <v>42615</v>
      </c>
      <c r="H4" s="10">
        <f>IF(DAY(СепНед1)=1,СепНед1-1,СепНед1+6)</f>
        <v>42616</v>
      </c>
      <c r="I4" s="10">
        <f>IF(DAY(СепНед1)=1,СепНед1,СепНед1+7)</f>
        <v>42617</v>
      </c>
      <c r="J4" s="5"/>
      <c r="K4" s="74" t="s">
        <v>2</v>
      </c>
      <c r="L4" s="16"/>
      <c r="M4" s="75"/>
      <c r="N4" s="76"/>
    </row>
    <row r="5" spans="1:14" ht="18" customHeight="1" x14ac:dyDescent="0.2">
      <c r="A5" s="4"/>
      <c r="B5" s="28"/>
      <c r="C5" s="10">
        <f>IF(DAY(СепНед1)=1,СепНед1+1,СепНед1+8)</f>
        <v>42618</v>
      </c>
      <c r="D5" s="10">
        <f>IF(DAY(СепНед1)=1,СепНед1+2,СепНед1+9)</f>
        <v>42619</v>
      </c>
      <c r="E5" s="10">
        <f>IF(DAY(СепНед1)=1,СепНед1+3,СепНед1+10)</f>
        <v>42620</v>
      </c>
      <c r="F5" s="10">
        <f>IF(DAY(СепНед1)=1,СепНед1+4,СепНед1+11)</f>
        <v>42621</v>
      </c>
      <c r="G5" s="10">
        <f>IF(DAY(СепНед1)=1,СепНед1+5,СепНед1+12)</f>
        <v>42622</v>
      </c>
      <c r="H5" s="10">
        <f>IF(DAY(СепНед1)=1,СепНед1+6,СепНед1+13)</f>
        <v>42623</v>
      </c>
      <c r="I5" s="10">
        <f>IF(DAY(СепНед1)=1,СепНед1+7,СепНед1+14)</f>
        <v>42624</v>
      </c>
      <c r="J5" s="5"/>
      <c r="K5" s="66"/>
      <c r="L5" s="17"/>
      <c r="M5" s="36"/>
      <c r="N5" s="37"/>
    </row>
    <row r="6" spans="1:14" ht="18" customHeight="1" x14ac:dyDescent="0.2">
      <c r="A6" s="4"/>
      <c r="B6" s="28"/>
      <c r="C6" s="10">
        <f>IF(DAY(СепНед1)=1,СепНед1+8,СепНед1+15)</f>
        <v>42625</v>
      </c>
      <c r="D6" s="10">
        <f>IF(DAY(СепНед1)=1,СепНед1+9,СепНед1+16)</f>
        <v>42626</v>
      </c>
      <c r="E6" s="10">
        <f>IF(DAY(СепНед1)=1,СепНед1+10,СепНед1+17)</f>
        <v>42627</v>
      </c>
      <c r="F6" s="10">
        <f>IF(DAY(СепНед1)=1,СепНед1+11,СепНед1+18)</f>
        <v>42628</v>
      </c>
      <c r="G6" s="10">
        <f>IF(DAY(СепНед1)=1,СепНед1+12,СепНед1+19)</f>
        <v>42629</v>
      </c>
      <c r="H6" s="10">
        <f>IF(DAY(СепНед1)=1,СепНед1+13,СепНед1+20)</f>
        <v>42630</v>
      </c>
      <c r="I6" s="10">
        <f>IF(DAY(СепНед1)=1,СепНед1+14,СепНед1+21)</f>
        <v>42631</v>
      </c>
      <c r="J6" s="5"/>
      <c r="K6" s="66"/>
      <c r="L6" s="17"/>
      <c r="M6" s="36"/>
      <c r="N6" s="37"/>
    </row>
    <row r="7" spans="1:14" ht="18" customHeight="1" x14ac:dyDescent="0.2">
      <c r="A7" s="4"/>
      <c r="B7" s="28"/>
      <c r="C7" s="10">
        <f>IF(DAY(СепНед1)=1,СепНед1+15,СепНед1+22)</f>
        <v>42632</v>
      </c>
      <c r="D7" s="10">
        <f>IF(DAY(СепНед1)=1,СепНед1+16,СепНед1+23)</f>
        <v>42633</v>
      </c>
      <c r="E7" s="10">
        <f>IF(DAY(СепНед1)=1,СепНед1+17,СепНед1+24)</f>
        <v>42634</v>
      </c>
      <c r="F7" s="10">
        <f>IF(DAY(СепНед1)=1,СепНед1+18,СепНед1+25)</f>
        <v>42635</v>
      </c>
      <c r="G7" s="10">
        <f>IF(DAY(СепНед1)=1,СепНед1+19,СепНед1+26)</f>
        <v>42636</v>
      </c>
      <c r="H7" s="10">
        <f>IF(DAY(СепНед1)=1,СепНед1+20,СепНед1+27)</f>
        <v>42637</v>
      </c>
      <c r="I7" s="10">
        <f>IF(DAY(СепНед1)=1,СепНед1+21,СепНед1+28)</f>
        <v>42638</v>
      </c>
      <c r="J7" s="5"/>
      <c r="K7" s="11"/>
      <c r="L7" s="17"/>
      <c r="M7" s="36"/>
      <c r="N7" s="37"/>
    </row>
    <row r="8" spans="1:14" ht="18.75" customHeight="1" x14ac:dyDescent="0.2">
      <c r="A8" s="4"/>
      <c r="B8" s="28"/>
      <c r="C8" s="10">
        <f>IF(DAY(СепНед1)=1,СепНед1+22,СепНед1+29)</f>
        <v>42639</v>
      </c>
      <c r="D8" s="10">
        <f>IF(DAY(СепНед1)=1,СепНед1+23,СепНед1+30)</f>
        <v>42640</v>
      </c>
      <c r="E8" s="10">
        <f>IF(DAY(СепНед1)=1,СепНед1+24,СепНед1+31)</f>
        <v>42641</v>
      </c>
      <c r="F8" s="10">
        <f>IF(DAY(СепНед1)=1,СепНед1+25,СепНед1+32)</f>
        <v>42642</v>
      </c>
      <c r="G8" s="10">
        <f>IF(DAY(СепНед1)=1,СепНед1+26,СепНед1+33)</f>
        <v>42643</v>
      </c>
      <c r="H8" s="10">
        <f>IF(DAY(СепНед1)=1,СепНед1+27,СепНед1+34)</f>
        <v>42644</v>
      </c>
      <c r="I8" s="10">
        <f>IF(DAY(СепНед1)=1,СепНед1+28,СепНед1+35)</f>
        <v>42645</v>
      </c>
      <c r="J8" s="5"/>
      <c r="K8" s="11"/>
      <c r="L8" s="17"/>
      <c r="M8" s="36"/>
      <c r="N8" s="37"/>
    </row>
    <row r="9" spans="1:14" ht="18" customHeight="1" x14ac:dyDescent="0.2">
      <c r="A9" s="4"/>
      <c r="B9" s="28"/>
      <c r="C9" s="10">
        <f>IF(DAY(СепНед1)=1,СепНед1+29,СепНед1+36)</f>
        <v>42646</v>
      </c>
      <c r="D9" s="10">
        <f>IF(DAY(СепНед1)=1,СепНед1+30,СепНед1+37)</f>
        <v>42647</v>
      </c>
      <c r="E9" s="10">
        <f>IF(DAY(СепНед1)=1,СепНед1+31,СепНед1+38)</f>
        <v>42648</v>
      </c>
      <c r="F9" s="10">
        <f>IF(DAY(СепНед1)=1,СепНед1+32,СепНед1+39)</f>
        <v>42649</v>
      </c>
      <c r="G9" s="10">
        <f>IF(DAY(СепНед1)=1,СепНед1+33,СепНед1+40)</f>
        <v>42650</v>
      </c>
      <c r="H9" s="10">
        <f>IF(DAY(СепНед1)=1,СепНед1+34,СепНед1+41)</f>
        <v>42651</v>
      </c>
      <c r="I9" s="10">
        <f>IF(DAY(СепНед1)=1,СепНед1+35,СепНед1+42)</f>
        <v>42652</v>
      </c>
      <c r="J9" s="5"/>
      <c r="K9" s="12"/>
      <c r="L9" s="18"/>
      <c r="M9" s="40"/>
      <c r="N9" s="41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5" t="s">
        <v>18</v>
      </c>
      <c r="L10" s="16"/>
      <c r="M10" s="42"/>
      <c r="N10" s="43"/>
    </row>
    <row r="11" spans="1:14" ht="18" customHeight="1" x14ac:dyDescent="0.2">
      <c r="A11" s="4"/>
      <c r="B11" s="33" t="s">
        <v>1</v>
      </c>
      <c r="C11" s="34"/>
      <c r="D11" s="34"/>
      <c r="E11" s="34"/>
      <c r="F11" s="34"/>
      <c r="G11" s="34"/>
      <c r="H11" s="34"/>
      <c r="I11" s="34"/>
      <c r="J11" s="35"/>
      <c r="K11" s="66"/>
      <c r="L11" s="17"/>
      <c r="M11" s="36"/>
      <c r="N11" s="37"/>
    </row>
    <row r="12" spans="1:14" ht="18" customHeight="1" x14ac:dyDescent="0.2">
      <c r="A12" s="4"/>
      <c r="B12" s="33"/>
      <c r="C12" s="34"/>
      <c r="D12" s="34"/>
      <c r="E12" s="34"/>
      <c r="F12" s="34"/>
      <c r="G12" s="34"/>
      <c r="H12" s="34"/>
      <c r="I12" s="34"/>
      <c r="J12" s="35"/>
      <c r="K12" s="66"/>
      <c r="L12" s="17"/>
      <c r="M12" s="36"/>
      <c r="N12" s="37"/>
    </row>
    <row r="13" spans="1:14" ht="18" customHeight="1" x14ac:dyDescent="0.2">
      <c r="B13" s="3" t="s">
        <v>2</v>
      </c>
      <c r="C13" s="67" t="s">
        <v>9</v>
      </c>
      <c r="D13" s="69"/>
      <c r="E13" s="67" t="s">
        <v>14</v>
      </c>
      <c r="F13" s="69"/>
      <c r="G13" s="67" t="s">
        <v>15</v>
      </c>
      <c r="H13" s="69"/>
      <c r="I13" s="67" t="s">
        <v>16</v>
      </c>
      <c r="J13" s="68"/>
      <c r="K13" s="11"/>
      <c r="L13" s="17"/>
      <c r="M13" s="36"/>
      <c r="N13" s="37"/>
    </row>
    <row r="14" spans="1:14" ht="18" customHeight="1" x14ac:dyDescent="0.2">
      <c r="B14" s="8" t="s">
        <v>3</v>
      </c>
      <c r="C14" s="44"/>
      <c r="D14" s="45"/>
      <c r="E14" s="44" t="s">
        <v>3</v>
      </c>
      <c r="F14" s="45"/>
      <c r="G14" s="44"/>
      <c r="H14" s="45"/>
      <c r="I14" s="44" t="s">
        <v>3</v>
      </c>
      <c r="J14" s="59"/>
      <c r="K14" s="11"/>
      <c r="L14" s="17"/>
      <c r="M14" s="36"/>
      <c r="N14" s="37"/>
    </row>
    <row r="15" spans="1:14" ht="18" customHeight="1" x14ac:dyDescent="0.2">
      <c r="B15" s="6" t="s">
        <v>4</v>
      </c>
      <c r="C15" s="46"/>
      <c r="D15" s="47"/>
      <c r="E15" s="46" t="s">
        <v>4</v>
      </c>
      <c r="F15" s="47"/>
      <c r="G15" s="46"/>
      <c r="H15" s="47"/>
      <c r="I15" s="57" t="s">
        <v>4</v>
      </c>
      <c r="J15" s="58"/>
      <c r="K15" s="13"/>
      <c r="L15" s="19"/>
      <c r="M15" s="40"/>
      <c r="N15" s="41"/>
    </row>
    <row r="16" spans="1:14" ht="18" customHeight="1" x14ac:dyDescent="0.2">
      <c r="B16" s="8"/>
      <c r="C16" s="44" t="s">
        <v>10</v>
      </c>
      <c r="D16" s="45"/>
      <c r="E16" s="44"/>
      <c r="F16" s="45"/>
      <c r="G16" s="44" t="s">
        <v>10</v>
      </c>
      <c r="H16" s="45"/>
      <c r="I16" s="53"/>
      <c r="J16" s="54"/>
      <c r="K16" s="65" t="s">
        <v>14</v>
      </c>
      <c r="L16" s="16"/>
      <c r="M16" s="42"/>
      <c r="N16" s="43"/>
    </row>
    <row r="17" spans="2:14" ht="18" customHeight="1" x14ac:dyDescent="0.2">
      <c r="B17" s="6"/>
      <c r="C17" s="46" t="s">
        <v>11</v>
      </c>
      <c r="D17" s="47"/>
      <c r="E17" s="46"/>
      <c r="F17" s="47"/>
      <c r="G17" s="46" t="s">
        <v>11</v>
      </c>
      <c r="H17" s="47"/>
      <c r="I17" s="57"/>
      <c r="J17" s="58"/>
      <c r="K17" s="66"/>
      <c r="L17" s="17"/>
      <c r="M17" s="36"/>
      <c r="N17" s="37"/>
    </row>
    <row r="18" spans="2:14" ht="18" customHeight="1" x14ac:dyDescent="0.2">
      <c r="B18" s="9" t="s">
        <v>5</v>
      </c>
      <c r="C18" s="62"/>
      <c r="D18" s="63"/>
      <c r="E18" s="62" t="s">
        <v>5</v>
      </c>
      <c r="F18" s="63"/>
      <c r="G18" s="62"/>
      <c r="H18" s="63"/>
      <c r="I18" s="62" t="s">
        <v>5</v>
      </c>
      <c r="J18" s="64"/>
      <c r="K18" s="66"/>
      <c r="L18" s="17"/>
      <c r="M18" s="36"/>
      <c r="N18" s="37"/>
    </row>
    <row r="19" spans="2:14" ht="18" customHeight="1" x14ac:dyDescent="0.2">
      <c r="B19" s="6" t="s">
        <v>6</v>
      </c>
      <c r="C19" s="46"/>
      <c r="D19" s="47"/>
      <c r="E19" s="46" t="s">
        <v>6</v>
      </c>
      <c r="F19" s="47"/>
      <c r="G19" s="46"/>
      <c r="H19" s="47"/>
      <c r="I19" s="57" t="s">
        <v>6</v>
      </c>
      <c r="J19" s="58"/>
      <c r="K19" s="11"/>
      <c r="L19" s="17"/>
      <c r="M19" s="36"/>
      <c r="N19" s="37"/>
    </row>
    <row r="20" spans="2:14" ht="18" customHeight="1" x14ac:dyDescent="0.2">
      <c r="B20" s="8"/>
      <c r="C20" s="44"/>
      <c r="D20" s="45"/>
      <c r="E20" s="44"/>
      <c r="F20" s="45"/>
      <c r="G20" s="44"/>
      <c r="H20" s="45"/>
      <c r="I20" s="44"/>
      <c r="J20" s="59"/>
      <c r="K20" s="11"/>
      <c r="L20" s="17"/>
      <c r="M20" s="36"/>
      <c r="N20" s="37"/>
    </row>
    <row r="21" spans="2:14" ht="18" customHeight="1" x14ac:dyDescent="0.2">
      <c r="B21" s="6"/>
      <c r="C21" s="46"/>
      <c r="D21" s="47"/>
      <c r="E21" s="46"/>
      <c r="F21" s="47"/>
      <c r="G21" s="46"/>
      <c r="H21" s="47"/>
      <c r="I21" s="60"/>
      <c r="J21" s="61"/>
      <c r="K21" s="13"/>
      <c r="L21" s="19"/>
      <c r="M21" s="40"/>
      <c r="N21" s="41"/>
    </row>
    <row r="22" spans="2:14" ht="18" customHeight="1" x14ac:dyDescent="0.2">
      <c r="B22" s="8"/>
      <c r="C22" s="44"/>
      <c r="D22" s="45"/>
      <c r="E22" s="44"/>
      <c r="F22" s="45"/>
      <c r="G22" s="44"/>
      <c r="H22" s="45"/>
      <c r="I22" s="44"/>
      <c r="J22" s="59"/>
      <c r="K22" s="65" t="s">
        <v>15</v>
      </c>
      <c r="L22" s="16"/>
      <c r="M22" s="42"/>
      <c r="N22" s="43"/>
    </row>
    <row r="23" spans="2:14" ht="18" customHeight="1" x14ac:dyDescent="0.2">
      <c r="B23" s="6"/>
      <c r="C23" s="46"/>
      <c r="D23" s="47"/>
      <c r="E23" s="46"/>
      <c r="F23" s="47"/>
      <c r="G23" s="46"/>
      <c r="H23" s="47"/>
      <c r="I23" s="57"/>
      <c r="J23" s="58"/>
      <c r="K23" s="66"/>
      <c r="L23" s="17"/>
      <c r="M23" s="36"/>
      <c r="N23" s="37"/>
    </row>
    <row r="24" spans="2:14" ht="18" customHeight="1" x14ac:dyDescent="0.2">
      <c r="B24" s="8"/>
      <c r="C24" s="44"/>
      <c r="D24" s="45"/>
      <c r="E24" s="44"/>
      <c r="F24" s="45"/>
      <c r="G24" s="44"/>
      <c r="H24" s="45"/>
      <c r="I24" s="44"/>
      <c r="J24" s="59"/>
      <c r="K24" s="66"/>
      <c r="L24" s="17"/>
      <c r="M24" s="36"/>
      <c r="N24" s="37"/>
    </row>
    <row r="25" spans="2:14" ht="18" customHeight="1" x14ac:dyDescent="0.2">
      <c r="B25" s="6"/>
      <c r="C25" s="46"/>
      <c r="D25" s="47"/>
      <c r="E25" s="46"/>
      <c r="F25" s="47"/>
      <c r="G25" s="46"/>
      <c r="H25" s="47"/>
      <c r="I25" s="57"/>
      <c r="J25" s="58"/>
      <c r="K25" s="66"/>
      <c r="L25" s="17"/>
      <c r="M25" s="36"/>
      <c r="N25" s="37"/>
    </row>
    <row r="26" spans="2:14" ht="18" customHeight="1" x14ac:dyDescent="0.2">
      <c r="B26" s="8" t="s">
        <v>7</v>
      </c>
      <c r="C26" s="44"/>
      <c r="D26" s="45"/>
      <c r="E26" s="44" t="s">
        <v>7</v>
      </c>
      <c r="F26" s="45"/>
      <c r="G26" s="44"/>
      <c r="H26" s="45"/>
      <c r="I26" s="44" t="s">
        <v>7</v>
      </c>
      <c r="J26" s="59"/>
      <c r="K26" s="11"/>
      <c r="L26" s="17"/>
      <c r="M26" s="36"/>
      <c r="N26" s="37"/>
    </row>
    <row r="27" spans="2:14" ht="18" customHeight="1" x14ac:dyDescent="0.2">
      <c r="B27" s="6" t="s">
        <v>8</v>
      </c>
      <c r="C27" s="46"/>
      <c r="D27" s="47"/>
      <c r="E27" s="46" t="s">
        <v>8</v>
      </c>
      <c r="F27" s="47"/>
      <c r="G27" s="46"/>
      <c r="H27" s="47"/>
      <c r="I27" s="57" t="s">
        <v>8</v>
      </c>
      <c r="J27" s="58"/>
      <c r="K27" s="13"/>
      <c r="L27" s="19"/>
      <c r="M27" s="40"/>
      <c r="N27" s="41"/>
    </row>
    <row r="28" spans="2:14" ht="18" customHeight="1" x14ac:dyDescent="0.2">
      <c r="B28" s="8"/>
      <c r="C28" s="44"/>
      <c r="D28" s="45"/>
      <c r="E28" s="44"/>
      <c r="F28" s="45"/>
      <c r="G28" s="44"/>
      <c r="H28" s="45"/>
      <c r="I28" s="44"/>
      <c r="J28" s="59"/>
      <c r="K28" s="65" t="s">
        <v>16</v>
      </c>
      <c r="L28" s="16"/>
      <c r="M28" s="42"/>
      <c r="N28" s="43"/>
    </row>
    <row r="29" spans="2:14" ht="18" customHeight="1" x14ac:dyDescent="0.2">
      <c r="B29" s="6"/>
      <c r="C29" s="46"/>
      <c r="D29" s="47"/>
      <c r="E29" s="46"/>
      <c r="F29" s="47"/>
      <c r="G29" s="46"/>
      <c r="H29" s="47"/>
      <c r="I29" s="46"/>
      <c r="J29" s="52"/>
      <c r="K29" s="66"/>
      <c r="L29" s="17"/>
      <c r="M29" s="36"/>
      <c r="N29" s="37"/>
    </row>
    <row r="30" spans="2:14" ht="18" customHeight="1" x14ac:dyDescent="0.2">
      <c r="B30" s="8"/>
      <c r="C30" s="44" t="s">
        <v>12</v>
      </c>
      <c r="D30" s="45"/>
      <c r="E30" s="44"/>
      <c r="F30" s="45"/>
      <c r="G30" s="44" t="s">
        <v>12</v>
      </c>
      <c r="H30" s="45"/>
      <c r="I30" s="50"/>
      <c r="J30" s="51"/>
      <c r="K30" s="66"/>
      <c r="L30" s="17"/>
      <c r="M30" s="36"/>
      <c r="N30" s="37"/>
    </row>
    <row r="31" spans="2:14" ht="18" customHeight="1" x14ac:dyDescent="0.2">
      <c r="B31" s="6"/>
      <c r="C31" s="46" t="s">
        <v>13</v>
      </c>
      <c r="D31" s="47"/>
      <c r="E31" s="46"/>
      <c r="F31" s="47"/>
      <c r="G31" s="46" t="s">
        <v>13</v>
      </c>
      <c r="H31" s="47"/>
      <c r="I31" s="46"/>
      <c r="J31" s="52"/>
      <c r="K31" s="14"/>
      <c r="L31" s="17"/>
      <c r="M31" s="36"/>
      <c r="N31" s="37"/>
    </row>
    <row r="32" spans="2:14" ht="18" customHeight="1" x14ac:dyDescent="0.2">
      <c r="B32" s="8"/>
      <c r="C32" s="44"/>
      <c r="D32" s="45"/>
      <c r="E32" s="44"/>
      <c r="F32" s="45"/>
      <c r="G32" s="44"/>
      <c r="H32" s="45"/>
      <c r="I32" s="53"/>
      <c r="J32" s="54"/>
      <c r="K32" s="14"/>
      <c r="L32" s="17"/>
      <c r="M32" s="36"/>
      <c r="N32" s="37"/>
    </row>
    <row r="33" spans="2:14" ht="18" customHeight="1" x14ac:dyDescent="0.2">
      <c r="B33" s="7"/>
      <c r="C33" s="48"/>
      <c r="D33" s="49"/>
      <c r="E33" s="48"/>
      <c r="F33" s="49"/>
      <c r="G33" s="48"/>
      <c r="H33" s="49"/>
      <c r="I33" s="55"/>
      <c r="J33" s="56"/>
      <c r="K33" s="15"/>
      <c r="L33" s="20"/>
      <c r="M33" s="38"/>
      <c r="N33" s="39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VLOOKUP(DAY(C4),ДниЗадача,1,FALSE)=DAY(C4)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Янр</vt:lpstr>
      <vt:lpstr>Фев</vt:lpstr>
      <vt:lpstr>Мар</vt:lpstr>
      <vt:lpstr>Апр</vt:lpstr>
      <vt:lpstr>Май</vt:lpstr>
      <vt:lpstr>Юни</vt:lpstr>
      <vt:lpstr>Юли</vt:lpstr>
      <vt:lpstr>Авг</vt:lpstr>
      <vt:lpstr>Сеп</vt:lpstr>
      <vt:lpstr>Окт</vt:lpstr>
      <vt:lpstr>Ное</vt:lpstr>
      <vt:lpstr>Дек</vt:lpstr>
      <vt:lpstr>Авг!Print_Area</vt:lpstr>
      <vt:lpstr>Апр!Print_Area</vt:lpstr>
      <vt:lpstr>Дек!Print_Area</vt:lpstr>
      <vt:lpstr>Май!Print_Area</vt:lpstr>
      <vt:lpstr>Мар!Print_Area</vt:lpstr>
      <vt:lpstr>Ное!Print_Area</vt:lpstr>
      <vt:lpstr>Окт!Print_Area</vt:lpstr>
      <vt:lpstr>Сеп!Print_Area</vt:lpstr>
      <vt:lpstr>Фев!Print_Area</vt:lpstr>
      <vt:lpstr>Юли!Print_Area</vt:lpstr>
      <vt:lpstr>Юни!Print_Area</vt:lpstr>
      <vt:lpstr>Янр!Print_Area</vt:lpstr>
      <vt:lpstr>Авг!ДниЗадача</vt:lpstr>
      <vt:lpstr>Апр!ДниЗадача</vt:lpstr>
      <vt:lpstr>Дек!ДниЗадача</vt:lpstr>
      <vt:lpstr>Май!ДниЗадача</vt:lpstr>
      <vt:lpstr>Мар!ДниЗадача</vt:lpstr>
      <vt:lpstr>Ное!ДниЗадача</vt:lpstr>
      <vt:lpstr>Окт!ДниЗадача</vt:lpstr>
      <vt:lpstr>Сеп!ДниЗадача</vt:lpstr>
      <vt:lpstr>Фев!ДниЗадача</vt:lpstr>
      <vt:lpstr>Юли!ДниЗадача</vt:lpstr>
      <vt:lpstr>Юни!ДниЗадача</vt:lpstr>
      <vt:lpstr>ДниЗадача</vt:lpstr>
      <vt:lpstr>КалендарнаГодина</vt:lpstr>
      <vt:lpstr>Авг!ТаблцаВажниДати</vt:lpstr>
      <vt:lpstr>Апр!ТаблцаВажниДати</vt:lpstr>
      <vt:lpstr>Дек!ТаблцаВажниДати</vt:lpstr>
      <vt:lpstr>Май!ТаблцаВажниДати</vt:lpstr>
      <vt:lpstr>Мар!ТаблцаВажниДати</vt:lpstr>
      <vt:lpstr>Ное!ТаблцаВажниДати</vt:lpstr>
      <vt:lpstr>Окт!ТаблцаВажниДати</vt:lpstr>
      <vt:lpstr>Сеп!ТаблцаВажниДати</vt:lpstr>
      <vt:lpstr>Фев!ТаблцаВажниДати</vt:lpstr>
      <vt:lpstr>Юли!ТаблцаВажниДати</vt:lpstr>
      <vt:lpstr>Юни!ТаблцаВажниДати</vt:lpstr>
      <vt:lpstr>ТаблцаВажниДати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2013-11-22T23:21:45Z</dcterms:created>
  <dcterms:modified xsi:type="dcterms:W3CDTF">2015-10-22T10:50:57Z</dcterms:modified>
</cp:coreProperties>
</file>