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61.xml" ContentType="application/vnd.openxmlformats-officedocument.spreadsheetml.table+xml"/>
  <Override PartName="/xl/tables/table102.xml" ContentType="application/vnd.openxmlformats-officedocument.spreadsheetml.table+xml"/>
  <Override PartName="/xl/drawings/drawing21.xml" ContentType="application/vnd.openxmlformats-officedocument.drawing+xml"/>
  <Override PartName="/xl/tables/table93.xml" ContentType="application/vnd.openxmlformats-officedocument.spreadsheetml.table+xml"/>
  <Override PartName="/xl/tables/table84.xml" ContentType="application/vnd.openxmlformats-officedocument.spreadsheetml.table+xml"/>
  <Override PartName="/xl/tables/table75.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6.xml" ContentType="application/vnd.openxmlformats-officedocument.spreadsheetml.table+xml"/>
  <Override PartName="/xl/tables/table57.xml" ContentType="application/vnd.openxmlformats-officedocument.spreadsheetml.table+xml"/>
  <Override PartName="/xl/drawings/drawing12.xml" ContentType="application/vnd.openxmlformats-officedocument.drawing+xml"/>
  <Override PartName="/xl/tables/table48.xml" ContentType="application/vnd.openxmlformats-officedocument.spreadsheetml.table+xml"/>
  <Override PartName="/xl/tables/table39.xml" ContentType="application/vnd.openxmlformats-officedocument.spreadsheetml.table+xml"/>
  <Override PartName="/xl/tables/table210.xml" ContentType="application/vnd.openxmlformats-officedocument.spreadsheetml.tab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54.xml" ContentType="application/vnd.openxmlformats-officedocument.spreadsheetml.worksheet+xml"/>
  <Override PartName="/xl/tables/table1611.xml" ContentType="application/vnd.openxmlformats-officedocument.spreadsheetml.table+xml"/>
  <Override PartName="/xl/drawings/drawing43.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customXml/item13.xml" ContentType="application/xml"/>
  <Override PartName="/customXml/itemProps13.xml" ContentType="application/vnd.openxmlformats-officedocument.customXmlProperties+xml"/>
  <Override PartName="/xl/worksheets/sheet45.xml" ContentType="application/vnd.openxmlformats-officedocument.spreadsheetml.worksheet+xml"/>
  <Override PartName="/xl/tables/table1112.xml" ContentType="application/vnd.openxmlformats-officedocument.spreadsheetml.table+xml"/>
  <Override PartName="/xl/tables/table1513.xml" ContentType="application/vnd.openxmlformats-officedocument.spreadsheetml.table+xml"/>
  <Override PartName="/xl/drawings/drawing34.xml" ContentType="application/vnd.openxmlformats-officedocument.drawing+xml"/>
  <Override PartName="/xl/tables/table1414.xml" ContentType="application/vnd.openxmlformats-officedocument.spreadsheetml.table+xml"/>
  <Override PartName="/xl/tables/table1315.xml" ContentType="application/vnd.openxmlformats-officedocument.spreadsheetml.table+xml"/>
  <Override PartName="/xl/tables/table1216.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codeName="ThisWorkbook"/>
  <xr:revisionPtr revIDLastSave="0" documentId="13_ncr:1_{BBC46FB2-ACDC-45B7-845C-5E518A698C5E}" xr6:coauthVersionLast="45" xr6:coauthVersionMax="47" xr10:uidLastSave="{00000000-0000-0000-0000-000000000000}"/>
  <bookViews>
    <workbookView xWindow="-108" yWindow="-108" windowWidth="30888" windowHeight="14628" tabRatio="756" xr2:uid="{00000000-000D-0000-FFFF-FFFF00000000}"/>
  </bookViews>
  <sheets>
    <sheet name="البدء" sheetId="6" r:id="rId1"/>
    <sheet name="المصروفات المخططة" sheetId="2" r:id="rId2"/>
    <sheet name="المصروفات الفعلية" sheetId="3" r:id="rId3"/>
    <sheet name="فروق المصروفات" sheetId="4" r:id="rId4"/>
    <sheet name="تحليل المصروفات" sheetId="5" r:id="rId5"/>
  </sheets>
  <definedNames>
    <definedName name="عنوان_ورقة_العمل">'المصروفات المخططة'!$K$2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27" i="2"/>
  <c r="O26" i="2"/>
  <c r="O25" i="2"/>
  <c r="O24" i="2"/>
  <c r="O23" i="2"/>
  <c r="O22" i="2"/>
  <c r="O18" i="2"/>
  <c r="O17" i="2"/>
  <c r="O16" i="2"/>
  <c r="O15" i="2"/>
  <c r="O14" i="2"/>
  <c r="O13" i="2"/>
  <c r="O12" i="2"/>
  <c r="O11" i="2"/>
  <c r="N7" i="2"/>
  <c r="M7" i="2"/>
  <c r="L7" i="2"/>
  <c r="K7" i="2"/>
  <c r="J7" i="2"/>
  <c r="I7" i="2"/>
  <c r="H7" i="2"/>
  <c r="G7" i="2"/>
  <c r="F7" i="2"/>
  <c r="E7" i="2"/>
  <c r="D7" i="2"/>
  <c r="C7" i="2"/>
  <c r="O6" i="2"/>
  <c r="O33" i="2" l="1"/>
  <c r="J8" i="2"/>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I37" i="2"/>
  <c r="C37" i="2"/>
  <c r="F37" i="2"/>
  <c r="E8" i="5"/>
  <c r="F8" i="5" s="1"/>
  <c r="D37" i="4"/>
  <c r="J37" i="4"/>
  <c r="M37" i="4"/>
  <c r="H37" i="4"/>
  <c r="N37" i="4"/>
  <c r="C37" i="4"/>
  <c r="E37" i="4"/>
  <c r="K37" i="4"/>
  <c r="F37" i="4"/>
  <c r="L37" i="4"/>
  <c r="G37" i="4"/>
  <c r="I37" i="4"/>
  <c r="O19" i="4"/>
  <c r="O28" i="4"/>
  <c r="D9" i="5"/>
  <c r="E9" i="5" s="1"/>
  <c r="F9" i="5" s="1"/>
  <c r="O36" i="3"/>
  <c r="K37" i="2"/>
  <c r="G37" i="3"/>
  <c r="M37" i="3"/>
  <c r="J37" i="3"/>
  <c r="F37" i="3"/>
  <c r="H37" i="3"/>
  <c r="N37" i="3"/>
  <c r="I37" i="3"/>
  <c r="C37" i="3"/>
  <c r="D37" i="3"/>
  <c r="E37" i="3"/>
  <c r="K37" i="3"/>
  <c r="L37" i="3"/>
  <c r="E7" i="5"/>
  <c r="F7" i="5" s="1"/>
  <c r="N37" i="2"/>
  <c r="H37" i="2"/>
  <c r="M37" i="2"/>
  <c r="L37" i="2"/>
  <c r="G37" i="2"/>
  <c r="E6" i="5"/>
  <c r="F6" i="5" s="1"/>
  <c r="C10" i="5" l="1"/>
  <c r="D10" i="5"/>
  <c r="O36" i="4"/>
  <c r="E10" i="5" l="1"/>
  <c r="F10" i="5" s="1"/>
</calcChain>
</file>

<file path=xl/sharedStrings.xml><?xml version="1.0" encoding="utf-8"?>
<sst xmlns="http://schemas.openxmlformats.org/spreadsheetml/2006/main" count="348" uniqueCount="60">
  <si>
    <t>حول هذا القالب</t>
  </si>
  <si>
    <t>استخدم المصنف "ميزانية مصروفات الأعمال" لتعقب "المصروفات الفعلية" والمخططة" و"الفروق".</t>
  </si>
  <si>
    <t>قم بتعبئة "اسم الشركة" وإضافة "شعار".</t>
  </si>
  <si>
    <t>أدخل التفاصيل في الجداول في ورقة العمل "المصروفات المخططة" و"المصروفات الفعلية".</t>
  </si>
  <si>
    <t>يتم تحديث الجداول تلقائياً في ورقة العمل "فروق المصروفات" والمخططات في ورقة العمل "تحليل المصروفات"</t>
  </si>
  <si>
    <t>ملاحظة: </t>
  </si>
  <si>
    <t>تم توفير إرشادات إضافية في العمود A في كل ورقة عمل. تم إخفاء هذا النص عن قصد. لإزالة النص، حدد العمود A، ثم حدد "حذف". لإظهار النص، حدد العمود A، ثم قم بتغيير لون الخط.</t>
  </si>
  <si>
    <t>للتعرف على المزيد حول الجداول، اضغط على SHIFT ثم F10 داخل جدول، وحدد خيار "جدول"، ثم حدد "النص البديل"</t>
  </si>
  <si>
    <t>اسم الشركة</t>
  </si>
  <si>
    <t>المصروفات المخططة</t>
  </si>
  <si>
    <t>تكاليف الموظفين</t>
  </si>
  <si>
    <t>الأجور</t>
  </si>
  <si>
    <t>الفوائد</t>
  </si>
  <si>
    <t>الإجمالي الفرعي</t>
  </si>
  <si>
    <t>تكاليف المكتب</t>
  </si>
  <si>
    <t>تأجير المكتب</t>
  </si>
  <si>
    <t>وقود</t>
  </si>
  <si>
    <t>كهرباء</t>
  </si>
  <si>
    <t>ماء</t>
  </si>
  <si>
    <t>رقم الهاتف</t>
  </si>
  <si>
    <t>الوصول للإنترنت</t>
  </si>
  <si>
    <t>مستلزمات المكتب</t>
  </si>
  <si>
    <t>الأمان</t>
  </si>
  <si>
    <t>تكاليف التسويق</t>
  </si>
  <si>
    <t>استضافة موقع الويب</t>
  </si>
  <si>
    <t>تحديثات موقع الويب</t>
  </si>
  <si>
    <t>إعداد الضمانات</t>
  </si>
  <si>
    <t>طباعة الضمانات</t>
  </si>
  <si>
    <t>أحداث التسويق</t>
  </si>
  <si>
    <t>المصروفات المتنوعة</t>
  </si>
  <si>
    <t>التدريب/السفر</t>
  </si>
  <si>
    <t>صفوف التدريب</t>
  </si>
  <si>
    <t>تكاليف السفر ذات الصلة بالتدريب</t>
  </si>
  <si>
    <t>الإجماليات</t>
  </si>
  <si>
    <t>المصروفات الشهرية المخططة</t>
  </si>
  <si>
    <t>إجمالي المصروفات المخططة</t>
  </si>
  <si>
    <t>يناير</t>
  </si>
  <si>
    <t>فبراير</t>
  </si>
  <si>
    <t>مارس</t>
  </si>
  <si>
    <t>أبريل</t>
  </si>
  <si>
    <t>مايو</t>
  </si>
  <si>
    <t>يونيو</t>
  </si>
  <si>
    <t>يوليو</t>
  </si>
  <si>
    <t>أغسطس</t>
  </si>
  <si>
    <t>تقديرات المصروفات التفصيلية</t>
  </si>
  <si>
    <t>الخلايا المظللة هي العمليات الحسابية.</t>
  </si>
  <si>
    <t>سبتمبر</t>
  </si>
  <si>
    <t>أكتوبر</t>
  </si>
  <si>
    <t>نوفمبر</t>
  </si>
  <si>
    <t>ديسمبر</t>
  </si>
  <si>
    <t>السنة</t>
  </si>
  <si>
    <t xml:space="preserve"> </t>
  </si>
  <si>
    <t>المصروفات الفعلية</t>
  </si>
  <si>
    <t>المصروفات الفعلية الشهرية</t>
  </si>
  <si>
    <t>إجمالي المصروفات الفعلية</t>
  </si>
  <si>
    <t>فروق المصروفات</t>
  </si>
  <si>
    <t>فئة المصروفات</t>
  </si>
  <si>
    <t>المصاريف الفعلية</t>
  </si>
  <si>
    <t>فروق المصاريف</t>
  </si>
  <si>
    <t>نسبة الفرق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</si>
</sst>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ر.س.‏&quot;\ #,##0.00_-;[Red]&quot;ر.س.‏&quot;\ #,##0.00\-"/>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quot;ر.س.‏&quot;\ #,##0.00;[Red]&quot;ر.س.‏&quot;\ #,##0.00"/>
  </numFmts>
  <fonts count="52" x14ac:knownFonts="1">
    <font>
      <sz val="9"/>
      <color theme="1" tint="0.2499465926084170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9"/>
      <color theme="1" tint="0.24994659260841701"/>
      <name val="Tahoma"/>
      <family val="2"/>
    </font>
    <font>
      <i/>
      <sz val="11"/>
      <color theme="3" tint="0.79998168889431442"/>
      <name val="Tahoma"/>
      <family val="2"/>
    </font>
    <font>
      <sz val="11"/>
      <color rgb="FF006100"/>
      <name val="Tahoma"/>
      <family val="2"/>
    </font>
    <font>
      <b/>
      <sz val="22"/>
      <color theme="1" tint="0.24994659260841701"/>
      <name val="Tahoma"/>
      <family val="2"/>
    </font>
    <font>
      <b/>
      <sz val="16"/>
      <color theme="0"/>
      <name val="Tahoma"/>
      <family val="2"/>
    </font>
    <font>
      <b/>
      <sz val="10"/>
      <color theme="2"/>
      <name val="Tahoma"/>
      <family val="2"/>
    </font>
    <font>
      <sz val="11"/>
      <color theme="1" tint="0.24994659260841701"/>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11"/>
      <color theme="1" tint="4.9989318521683403E-2"/>
      <name val="Tahoma"/>
      <family val="2"/>
    </font>
    <font>
      <b/>
      <sz val="11"/>
      <color theme="1" tint="4.9989318521683403E-2"/>
      <name val="Tahoma"/>
      <family val="2"/>
    </font>
    <font>
      <sz val="14"/>
      <color theme="3" tint="-0.249977111117893"/>
      <name val="Tahoma"/>
      <family val="2"/>
    </font>
    <font>
      <sz val="14"/>
      <color theme="1"/>
      <name val="Tahoma"/>
      <family val="2"/>
    </font>
    <font>
      <sz val="14"/>
      <color theme="0"/>
      <name val="Tahoma"/>
      <family val="2"/>
    </font>
    <font>
      <b/>
      <sz val="36"/>
      <color theme="0"/>
      <name val="Tahoma"/>
      <family val="2"/>
    </font>
    <font>
      <b/>
      <sz val="14"/>
      <color theme="1"/>
      <name val="Tahoma"/>
      <family val="2"/>
    </font>
    <font>
      <b/>
      <sz val="14"/>
      <color theme="3"/>
      <name val="Tahoma"/>
      <family val="2"/>
    </font>
    <font>
      <b/>
      <u/>
      <sz val="10"/>
      <color theme="1"/>
      <name val="Tahoma"/>
      <family val="2"/>
    </font>
    <font>
      <sz val="14"/>
      <color theme="6" tint="0.39997558519241921"/>
      <name val="Tahoma"/>
      <family val="2"/>
    </font>
    <font>
      <b/>
      <sz val="13"/>
      <color theme="3"/>
      <name val="Tahoma"/>
      <family val="2"/>
    </font>
    <font>
      <sz val="14"/>
      <color theme="3"/>
      <name val="Tahoma"/>
      <family val="2"/>
    </font>
    <font>
      <sz val="9"/>
      <color theme="6" tint="0.39997558519241921"/>
      <name val="Tahoma"/>
      <family val="2"/>
    </font>
    <font>
      <b/>
      <sz val="14"/>
      <color theme="0"/>
      <name val="Tahoma"/>
      <family val="2"/>
    </font>
    <font>
      <b/>
      <sz val="10"/>
      <color theme="0"/>
      <name val="Tahoma"/>
      <family val="2"/>
    </font>
    <font>
      <sz val="9"/>
      <color theme="1"/>
      <name val="Tahoma"/>
      <family val="2"/>
    </font>
    <font>
      <b/>
      <sz val="10"/>
      <color theme="1"/>
      <name val="Tahoma"/>
      <family val="2"/>
    </font>
    <font>
      <sz val="10"/>
      <color theme="1"/>
      <name val="Tahoma"/>
      <family val="2"/>
    </font>
    <font>
      <b/>
      <i/>
      <sz val="10"/>
      <color theme="1"/>
      <name val="Tahoma"/>
      <family val="2"/>
    </font>
    <font>
      <b/>
      <sz val="10"/>
      <color theme="3" tint="-0.499984740745262"/>
      <name val="Tahoma"/>
      <family val="2"/>
    </font>
    <font>
      <b/>
      <sz val="9"/>
      <color theme="1"/>
      <name val="Tahoma"/>
      <family val="2"/>
    </font>
    <font>
      <i/>
      <sz val="11"/>
      <color theme="0"/>
      <name val="Tahoma"/>
      <family val="2"/>
    </font>
    <font>
      <b/>
      <sz val="10"/>
      <name val="Tahoma"/>
      <family val="2"/>
    </font>
    <font>
      <sz val="9"/>
      <name val="Tahoma"/>
      <family val="2"/>
    </font>
    <font>
      <b/>
      <sz val="14"/>
      <color theme="2"/>
      <name val="Tahoma"/>
      <family val="2"/>
    </font>
    <font>
      <b/>
      <sz val="14"/>
      <color theme="3" tint="-0.499984740745262"/>
      <name val="Tahoma"/>
      <family val="2"/>
    </font>
    <font>
      <b/>
      <sz val="10"/>
      <color theme="1" tint="0.24994659260841701"/>
      <name val="Tahoma"/>
      <family val="2"/>
    </font>
    <font>
      <sz val="10"/>
      <color theme="1" tint="0.24994659260841701"/>
      <name val="Tahoma"/>
      <family val="2"/>
    </font>
    <font>
      <b/>
      <sz val="9"/>
      <name val="Tahoma"/>
      <family val="2"/>
    </font>
    <font>
      <b/>
      <sz val="16"/>
      <color theme="3"/>
      <name val="Tahoma"/>
      <family val="2"/>
    </font>
    <font>
      <sz val="11"/>
      <color theme="6" tint="0.39997558519241921"/>
      <name val="Tahoma"/>
      <family val="2"/>
    </font>
    <font>
      <sz val="10"/>
      <color theme="5" tint="0.79998168889431442"/>
      <name val="Tahoma"/>
      <family val="2"/>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9" fillId="0" borderId="0" applyNumberFormat="0" applyFill="0" applyProtection="0">
      <alignment vertical="center"/>
    </xf>
    <xf numFmtId="0" fontId="10" fillId="4" borderId="0" applyNumberFormat="0" applyProtection="0">
      <alignment vertical="center" readingOrder="2"/>
    </xf>
    <xf numFmtId="0" fontId="11" fillId="2" borderId="0" applyNumberFormat="0" applyProtection="0">
      <alignment vertical="center"/>
    </xf>
    <xf numFmtId="0" fontId="12" fillId="3" borderId="1" applyNumberFormat="0" applyProtection="0">
      <alignment horizontal="left" vertical="center" indent="1"/>
    </xf>
    <xf numFmtId="0" fontId="7" fillId="0" borderId="0" applyNumberFormat="0" applyFill="0" applyBorder="0" applyAlignment="0" applyProtection="0">
      <alignment readingOrder="2"/>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8" fillId="14" borderId="0" applyNumberFormat="0" applyBorder="0" applyAlignment="0" applyProtection="0"/>
    <xf numFmtId="0" fontId="3" fillId="15" borderId="0" applyNumberFormat="0" applyBorder="0" applyAlignment="0" applyProtection="0"/>
    <xf numFmtId="0" fontId="15" fillId="16" borderId="0" applyNumberFormat="0" applyBorder="0" applyAlignment="0" applyProtection="0"/>
    <xf numFmtId="0" fontId="13" fillId="17" borderId="33" applyNumberFormat="0" applyAlignment="0" applyProtection="0"/>
    <xf numFmtId="0" fontId="16" fillId="18" borderId="34" applyNumberFormat="0" applyAlignment="0" applyProtection="0"/>
    <xf numFmtId="0" fontId="4" fillId="18" borderId="33" applyNumberFormat="0" applyAlignment="0" applyProtection="0"/>
    <xf numFmtId="0" fontId="14" fillId="0" borderId="35" applyNumberFormat="0" applyFill="0" applyAlignment="0" applyProtection="0"/>
    <xf numFmtId="0" fontId="5" fillId="19" borderId="36" applyNumberFormat="0" applyAlignment="0" applyProtection="0"/>
    <xf numFmtId="0" fontId="19" fillId="0" borderId="0" applyNumberFormat="0" applyFill="0" applyBorder="0" applyAlignment="0" applyProtection="0"/>
    <xf numFmtId="0" fontId="6" fillId="20" borderId="37" applyNumberFormat="0" applyFont="0" applyAlignment="0" applyProtection="0"/>
    <xf numFmtId="0" fontId="18" fillId="0" borderId="38" applyNumberFormat="0" applyFill="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38">
    <xf numFmtId="0" fontId="0" fillId="10" borderId="0" xfId="0"/>
    <xf numFmtId="0" fontId="10" fillId="8" borderId="0" xfId="2" applyFont="1" applyFill="1" applyAlignment="1">
      <alignment horizontal="center" vertical="center" readingOrder="2"/>
    </xf>
    <xf numFmtId="0" fontId="20" fillId="10" borderId="0" xfId="0" applyFont="1" applyAlignment="1">
      <alignment horizontal="right" vertical="center" wrapText="1" readingOrder="2"/>
    </xf>
    <xf numFmtId="0" fontId="21" fillId="10" borderId="0" xfId="0" applyFont="1" applyAlignment="1">
      <alignment horizontal="right" vertical="center" wrapText="1" readingOrder="2"/>
    </xf>
    <xf numFmtId="0" fontId="20" fillId="10" borderId="0" xfId="0" applyFont="1" applyAlignment="1">
      <alignment horizontal="right" wrapText="1" readingOrder="2"/>
    </xf>
    <xf numFmtId="0" fontId="22" fillId="8" borderId="0" xfId="0" applyFont="1" applyFill="1" applyAlignment="1">
      <alignment horizontal="right" vertical="top" wrapText="1" indent="1" readingOrder="2"/>
    </xf>
    <xf numFmtId="0" fontId="23" fillId="8" borderId="0" xfId="0" applyFont="1" applyFill="1" applyAlignment="1">
      <alignment horizontal="right" vertical="top" indent="1" readingOrder="2"/>
    </xf>
    <xf numFmtId="0" fontId="23" fillId="4" borderId="0" xfId="0" applyFont="1" applyFill="1" applyAlignment="1">
      <alignment horizontal="right" vertical="top" indent="1" readingOrder="2"/>
    </xf>
    <xf numFmtId="0" fontId="24" fillId="4" borderId="0" xfId="0" applyFont="1" applyFill="1" applyAlignment="1">
      <alignment horizontal="right" vertical="top" indent="1" readingOrder="2"/>
    </xf>
    <xf numFmtId="0" fontId="23" fillId="10" borderId="0" xfId="0" applyFont="1" applyAlignment="1">
      <alignment readingOrder="2"/>
    </xf>
    <xf numFmtId="0" fontId="22" fillId="8" borderId="0" xfId="0" applyFont="1" applyFill="1" applyAlignment="1">
      <alignment horizontal="right" vertical="top" indent="1" readingOrder="2"/>
    </xf>
    <xf numFmtId="0" fontId="25" fillId="8" borderId="0" xfId="1" applyFont="1" applyFill="1" applyAlignment="1">
      <alignment horizontal="right" vertical="top" indent="1" readingOrder="2"/>
    </xf>
    <xf numFmtId="0" fontId="26" fillId="4" borderId="0" xfId="0" applyFont="1" applyFill="1" applyAlignment="1">
      <alignment horizontal="right" vertical="top" indent="1" readingOrder="2"/>
    </xf>
    <xf numFmtId="0" fontId="27" fillId="4" borderId="0" xfId="0" applyFont="1" applyFill="1" applyAlignment="1">
      <alignment horizontal="center" vertical="top" readingOrder="2"/>
    </xf>
    <xf numFmtId="0" fontId="28" fillId="4" borderId="0" xfId="0" applyFont="1" applyFill="1" applyAlignment="1">
      <alignment horizontal="right" vertical="top" indent="1" readingOrder="2"/>
    </xf>
    <xf numFmtId="0" fontId="29" fillId="10" borderId="0" xfId="0" applyFont="1" applyAlignment="1">
      <alignment horizontal="right" readingOrder="2"/>
    </xf>
    <xf numFmtId="0" fontId="30" fillId="12" borderId="0" xfId="3" applyFont="1" applyFill="1" applyAlignment="1">
      <alignment horizontal="right" readingOrder="2"/>
    </xf>
    <xf numFmtId="0" fontId="31" fillId="10" borderId="0" xfId="0" applyFont="1" applyAlignment="1">
      <alignment horizontal="right" readingOrder="2"/>
    </xf>
    <xf numFmtId="0" fontId="31" fillId="10" borderId="0" xfId="0" applyFont="1" applyAlignment="1">
      <alignment readingOrder="2"/>
    </xf>
    <xf numFmtId="0" fontId="33" fillId="6" borderId="9" xfId="4" applyFont="1" applyFill="1" applyBorder="1" applyAlignment="1">
      <alignment horizontal="right" vertical="center" indent="1" readingOrder="2"/>
    </xf>
    <xf numFmtId="0" fontId="23" fillId="10" borderId="0" xfId="0" applyFont="1" applyAlignment="1">
      <alignment horizontal="right" readingOrder="2"/>
    </xf>
    <xf numFmtId="0" fontId="34" fillId="4" borderId="10" xfId="0" applyFont="1" applyFill="1" applyBorder="1" applyAlignment="1">
      <alignment horizontal="right" vertical="center" indent="1" readingOrder="2"/>
    </xf>
    <xf numFmtId="0" fontId="36" fillId="11" borderId="12" xfId="0" applyFont="1" applyFill="1" applyBorder="1" applyAlignment="1">
      <alignment horizontal="right" vertical="center" indent="1" readingOrder="2"/>
    </xf>
    <xf numFmtId="0" fontId="36" fillId="10" borderId="0" xfId="0" applyFont="1" applyAlignment="1">
      <alignment horizontal="center" readingOrder="2"/>
    </xf>
    <xf numFmtId="0" fontId="33" fillId="5" borderId="25" xfId="4" applyFont="1" applyFill="1" applyBorder="1" applyAlignment="1">
      <alignment horizontal="right" vertical="center" indent="1" readingOrder="2"/>
    </xf>
    <xf numFmtId="0" fontId="34" fillId="4" borderId="26" xfId="0" applyFont="1" applyFill="1" applyBorder="1" applyAlignment="1">
      <alignment horizontal="right" vertical="center" indent="1" readingOrder="2"/>
    </xf>
    <xf numFmtId="0" fontId="36" fillId="11" borderId="30" xfId="0" applyFont="1" applyFill="1" applyBorder="1" applyAlignment="1">
      <alignment horizontal="right" vertical="center" indent="2" readingOrder="2"/>
    </xf>
    <xf numFmtId="0" fontId="37" fillId="10" borderId="0" xfId="0" applyFont="1" applyAlignment="1">
      <alignment horizontal="center" readingOrder="2"/>
    </xf>
    <xf numFmtId="0" fontId="33" fillId="7" borderId="14" xfId="4" applyFont="1" applyFill="1" applyBorder="1" applyAlignment="1">
      <alignment horizontal="right" vertical="center" indent="1" readingOrder="2"/>
    </xf>
    <xf numFmtId="0" fontId="36" fillId="11" borderId="12" xfId="0" applyFont="1" applyFill="1" applyBorder="1" applyAlignment="1">
      <alignment horizontal="right" vertical="center" indent="2" readingOrder="2"/>
    </xf>
    <xf numFmtId="0" fontId="33" fillId="6" borderId="14" xfId="4" applyFont="1" applyFill="1" applyBorder="1" applyAlignment="1">
      <alignment horizontal="right" vertical="center" indent="1" readingOrder="2"/>
    </xf>
    <xf numFmtId="0" fontId="33" fillId="9" borderId="3" xfId="3" applyFont="1" applyFill="1" applyBorder="1" applyAlignment="1">
      <alignment horizontal="right" vertical="center" indent="1" readingOrder="2"/>
    </xf>
    <xf numFmtId="0" fontId="39" fillId="9" borderId="3" xfId="3" applyFont="1" applyFill="1" applyBorder="1" applyAlignment="1">
      <alignment horizontal="right" vertical="center" readingOrder="2"/>
    </xf>
    <xf numFmtId="0" fontId="34" fillId="4" borderId="7" xfId="0" applyFont="1" applyFill="1" applyBorder="1" applyAlignment="1">
      <alignment horizontal="right" vertical="center" indent="1" readingOrder="2"/>
    </xf>
    <xf numFmtId="0" fontId="29" fillId="10" borderId="0" xfId="0" applyFont="1" applyAlignment="1">
      <alignment readingOrder="2"/>
    </xf>
    <xf numFmtId="0" fontId="42" fillId="11" borderId="11" xfId="0" applyFont="1" applyFill="1" applyBorder="1" applyAlignment="1">
      <alignment horizontal="right" vertical="center" indent="1" readingOrder="2"/>
    </xf>
    <xf numFmtId="0" fontId="33" fillId="5" borderId="9" xfId="4" applyFont="1" applyFill="1" applyBorder="1" applyAlignment="1">
      <alignment horizontal="right" vertical="center" indent="1" readingOrder="2"/>
    </xf>
    <xf numFmtId="0" fontId="42" fillId="11" borderId="19" xfId="0" applyFont="1" applyFill="1" applyBorder="1" applyAlignment="1">
      <alignment horizontal="right" vertical="center" indent="2" readingOrder="2"/>
    </xf>
    <xf numFmtId="0" fontId="33" fillId="7" borderId="9" xfId="4" applyFont="1" applyFill="1" applyBorder="1" applyAlignment="1">
      <alignment horizontal="right" vertical="center" indent="1" readingOrder="2"/>
    </xf>
    <xf numFmtId="0" fontId="42" fillId="11" borderId="19" xfId="0" applyFont="1" applyFill="1" applyBorder="1" applyAlignment="1">
      <alignment horizontal="right" vertical="center" indent="1" readingOrder="2"/>
    </xf>
    <xf numFmtId="0" fontId="34" fillId="4" borderId="17" xfId="0" applyFont="1" applyFill="1" applyBorder="1" applyAlignment="1">
      <alignment horizontal="right" vertical="center" indent="1" readingOrder="2"/>
    </xf>
    <xf numFmtId="0" fontId="44" fillId="9" borderId="3" xfId="3" applyFont="1" applyFill="1" applyBorder="1" applyAlignment="1">
      <alignment horizontal="right" vertical="center" indent="1" readingOrder="2"/>
    </xf>
    <xf numFmtId="0" fontId="45" fillId="9" borderId="0" xfId="3" applyFont="1" applyFill="1" applyAlignment="1">
      <alignment horizontal="right" vertical="center" readingOrder="2"/>
    </xf>
    <xf numFmtId="0" fontId="45" fillId="9" borderId="32" xfId="3" applyFont="1" applyFill="1" applyBorder="1" applyAlignment="1">
      <alignment horizontal="right" vertical="center" readingOrder="2"/>
    </xf>
    <xf numFmtId="0" fontId="34" fillId="4" borderId="4" xfId="0" applyFont="1" applyFill="1" applyBorder="1" applyAlignment="1">
      <alignment horizontal="right" vertical="center" indent="1" readingOrder="2"/>
    </xf>
    <xf numFmtId="0" fontId="37" fillId="10" borderId="0" xfId="0" applyFont="1" applyAlignment="1">
      <alignment readingOrder="2"/>
    </xf>
    <xf numFmtId="0" fontId="37" fillId="10" borderId="4" xfId="0" applyFont="1" applyBorder="1" applyAlignment="1">
      <alignment readingOrder="2"/>
    </xf>
    <xf numFmtId="0" fontId="46" fillId="11" borderId="19" xfId="0" applyFont="1" applyFill="1" applyBorder="1" applyAlignment="1">
      <alignment horizontal="right" vertical="center" indent="1" readingOrder="2"/>
    </xf>
    <xf numFmtId="0" fontId="33" fillId="5" borderId="14" xfId="4" applyFont="1" applyFill="1" applyBorder="1" applyAlignment="1">
      <alignment horizontal="right" vertical="center" indent="1" readingOrder="2"/>
    </xf>
    <xf numFmtId="0" fontId="36" fillId="11" borderId="19" xfId="0" applyFont="1" applyFill="1" applyBorder="1" applyAlignment="1">
      <alignment horizontal="right" vertical="center" indent="1" readingOrder="2"/>
    </xf>
    <xf numFmtId="0" fontId="47" fillId="11" borderId="19" xfId="0" applyFont="1" applyFill="1" applyBorder="1" applyAlignment="1">
      <alignment horizontal="right" vertical="center" indent="2" readingOrder="2"/>
    </xf>
    <xf numFmtId="0" fontId="46" fillId="11" borderId="19" xfId="0" applyFont="1" applyFill="1" applyBorder="1" applyAlignment="1">
      <alignment horizontal="right" vertical="center" indent="2" readingOrder="2"/>
    </xf>
    <xf numFmtId="0" fontId="29" fillId="10" borderId="6" xfId="0" applyFont="1" applyBorder="1" applyAlignment="1">
      <alignment horizontal="right" readingOrder="2"/>
    </xf>
    <xf numFmtId="0" fontId="44" fillId="9" borderId="0" xfId="3" applyFont="1" applyFill="1" applyAlignment="1">
      <alignment horizontal="right" vertical="center" indent="1" readingOrder="2"/>
    </xf>
    <xf numFmtId="0" fontId="34" fillId="4" borderId="5" xfId="0" applyFont="1" applyFill="1" applyBorder="1" applyAlignment="1">
      <alignment horizontal="right" vertical="center" indent="1" readingOrder="2"/>
    </xf>
    <xf numFmtId="0" fontId="22" fillId="8" borderId="0" xfId="0" applyFont="1" applyFill="1" applyAlignment="1">
      <alignment horizontal="right" vertical="top" wrapText="1" readingOrder="2"/>
    </xf>
    <xf numFmtId="0" fontId="49" fillId="4" borderId="0" xfId="2" applyFont="1" applyAlignment="1">
      <alignment horizontal="center" wrapText="1" readingOrder="2"/>
    </xf>
    <xf numFmtId="0" fontId="32" fillId="10" borderId="0" xfId="0" applyFont="1" applyAlignment="1">
      <alignment horizontal="right" wrapText="1" readingOrder="2"/>
    </xf>
    <xf numFmtId="0" fontId="29" fillId="10" borderId="0" xfId="0" applyFont="1" applyAlignment="1">
      <alignment horizontal="right" wrapText="1" readingOrder="2"/>
    </xf>
    <xf numFmtId="0" fontId="50" fillId="10" borderId="0" xfId="0" applyFont="1" applyAlignment="1">
      <alignment horizontal="right" vertical="center" wrapText="1" readingOrder="2"/>
    </xf>
    <xf numFmtId="0" fontId="37" fillId="10" borderId="0" xfId="0" applyFont="1" applyAlignment="1">
      <alignment horizontal="right" readingOrder="2"/>
    </xf>
    <xf numFmtId="0" fontId="29" fillId="10" borderId="0" xfId="0" applyFont="1" applyAlignment="1">
      <alignment wrapText="1" readingOrder="2"/>
    </xf>
    <xf numFmtId="0" fontId="37" fillId="10" borderId="0" xfId="0" applyFont="1" applyAlignment="1">
      <alignment horizontal="left" readingOrder="2"/>
    </xf>
    <xf numFmtId="0" fontId="37" fillId="10" borderId="0" xfId="0" applyFont="1" applyAlignment="1">
      <alignment horizontal="left" indent="1" readingOrder="2"/>
    </xf>
    <xf numFmtId="0" fontId="0" fillId="10" borderId="0" xfId="0" applyFont="1" applyAlignment="1">
      <alignment horizontal="right" vertical="center" readingOrder="2"/>
    </xf>
    <xf numFmtId="0" fontId="0" fillId="10" borderId="0" xfId="0" applyFont="1" applyAlignment="1">
      <alignment vertical="center"/>
    </xf>
    <xf numFmtId="0" fontId="0" fillId="10" borderId="0" xfId="0" applyFont="1" applyAlignment="1">
      <alignment horizontal="right" readingOrder="2"/>
    </xf>
    <xf numFmtId="0" fontId="0" fillId="10" borderId="0" xfId="0" applyFont="1"/>
    <xf numFmtId="0" fontId="30" fillId="12" borderId="0" xfId="3" applyNumberFormat="1" applyFont="1" applyFill="1" applyAlignment="1">
      <alignment horizontal="center" readingOrder="2"/>
    </xf>
    <xf numFmtId="0" fontId="32" fillId="12" borderId="15" xfId="4" applyNumberFormat="1" applyFont="1" applyFill="1" applyBorder="1" applyAlignment="1">
      <alignment horizontal="right" readingOrder="2"/>
    </xf>
    <xf numFmtId="0" fontId="32" fillId="12" borderId="16" xfId="4" applyNumberFormat="1" applyFont="1" applyFill="1" applyBorder="1" applyAlignment="1">
      <alignment horizontal="right" readingOrder="2"/>
    </xf>
    <xf numFmtId="0" fontId="36" fillId="10" borderId="0" xfId="0" applyNumberFormat="1" applyFont="1" applyAlignment="1">
      <alignment horizontal="center" readingOrder="2"/>
    </xf>
    <xf numFmtId="0" fontId="37" fillId="10" borderId="0" xfId="0" applyNumberFormat="1" applyFont="1" applyAlignment="1">
      <alignment horizontal="left" readingOrder="2"/>
    </xf>
    <xf numFmtId="0" fontId="36" fillId="10" borderId="0" xfId="0" applyNumberFormat="1" applyFont="1" applyAlignment="1">
      <alignment horizontal="left" readingOrder="2"/>
    </xf>
    <xf numFmtId="0" fontId="32" fillId="12" borderId="15" xfId="4" applyNumberFormat="1" applyFont="1" applyFill="1" applyBorder="1" applyAlignment="1">
      <alignment horizontal="right" vertical="center" indent="1" readingOrder="2"/>
    </xf>
    <xf numFmtId="0" fontId="32" fillId="12" borderId="16" xfId="4" applyNumberFormat="1" applyFont="1" applyFill="1" applyBorder="1" applyAlignment="1">
      <alignment horizontal="right" vertical="center" indent="1" readingOrder="2"/>
    </xf>
    <xf numFmtId="0" fontId="37" fillId="10" borderId="0" xfId="0" applyNumberFormat="1" applyFont="1" applyAlignment="1">
      <alignment horizontal="center" readingOrder="2"/>
    </xf>
    <xf numFmtId="0" fontId="38" fillId="10" borderId="0" xfId="0" applyNumberFormat="1" applyFont="1" applyAlignment="1">
      <alignment horizontal="left" readingOrder="2"/>
    </xf>
    <xf numFmtId="8" fontId="48" fillId="11" borderId="2" xfId="0" applyNumberFormat="1" applyFont="1" applyFill="1" applyBorder="1" applyAlignment="1">
      <alignment horizontal="left" readingOrder="2"/>
    </xf>
    <xf numFmtId="8" fontId="48" fillId="11" borderId="8" xfId="0" applyNumberFormat="1" applyFont="1" applyFill="1" applyBorder="1" applyAlignment="1">
      <alignment horizontal="left" readingOrder="2"/>
    </xf>
    <xf numFmtId="8" fontId="35" fillId="11" borderId="20" xfId="0" applyNumberFormat="1" applyFont="1" applyFill="1" applyBorder="1" applyAlignment="1">
      <alignment horizontal="left" vertical="center" readingOrder="2"/>
    </xf>
    <xf numFmtId="0" fontId="32" fillId="12" borderId="14" xfId="4" applyNumberFormat="1" applyFont="1" applyFill="1" applyBorder="1" applyAlignment="1">
      <alignment horizontal="right" vertical="center" indent="1" readingOrder="2"/>
    </xf>
    <xf numFmtId="8" fontId="40" fillId="11" borderId="31" xfId="0" applyNumberFormat="1" applyFont="1" applyFill="1" applyBorder="1" applyAlignment="1">
      <alignment horizontal="left" readingOrder="2"/>
    </xf>
    <xf numFmtId="8" fontId="40" fillId="11" borderId="2" xfId="0" applyNumberFormat="1" applyFont="1" applyFill="1" applyBorder="1" applyAlignment="1">
      <alignment horizontal="left" readingOrder="2"/>
    </xf>
    <xf numFmtId="8" fontId="40" fillId="11" borderId="6" xfId="0" applyNumberFormat="1" applyFont="1" applyFill="1" applyBorder="1" applyAlignment="1">
      <alignment horizontal="left" readingOrder="2"/>
    </xf>
    <xf numFmtId="8" fontId="40" fillId="11" borderId="8" xfId="0" applyNumberFormat="1" applyFont="1" applyFill="1" applyBorder="1" applyAlignment="1">
      <alignment horizontal="left" readingOrder="2"/>
    </xf>
    <xf numFmtId="8" fontId="40" fillId="11" borderId="5" xfId="0" applyNumberFormat="1" applyFont="1" applyFill="1" applyBorder="1" applyAlignment="1">
      <alignment horizontal="left" readingOrder="2"/>
    </xf>
    <xf numFmtId="8" fontId="43" fillId="11" borderId="20" xfId="0" applyNumberFormat="1" applyFont="1" applyFill="1" applyBorder="1" applyAlignment="1">
      <alignment horizontal="left" vertical="center" readingOrder="2"/>
    </xf>
    <xf numFmtId="0" fontId="32" fillId="12" borderId="14" xfId="4" applyNumberFormat="1" applyFont="1" applyFill="1" applyBorder="1" applyAlignment="1">
      <alignment horizontal="center" vertical="center" readingOrder="2"/>
    </xf>
    <xf numFmtId="0" fontId="32" fillId="12" borderId="15" xfId="4" applyNumberFormat="1" applyFont="1" applyFill="1" applyBorder="1" applyAlignment="1">
      <alignment horizontal="center" vertical="center" readingOrder="2"/>
    </xf>
    <xf numFmtId="0" fontId="32" fillId="12" borderId="16" xfId="4" applyNumberFormat="1" applyFont="1" applyFill="1" applyBorder="1" applyAlignment="1">
      <alignment horizontal="center" vertical="center" readingOrder="2"/>
    </xf>
    <xf numFmtId="0" fontId="32" fillId="12" borderId="22" xfId="4" applyNumberFormat="1" applyFont="1" applyFill="1" applyBorder="1" applyAlignment="1">
      <alignment horizontal="right" vertical="center" indent="1" readingOrder="2"/>
    </xf>
    <xf numFmtId="0" fontId="32" fillId="12" borderId="23" xfId="4" applyNumberFormat="1" applyFont="1" applyFill="1" applyBorder="1" applyAlignment="1">
      <alignment horizontal="right" vertical="center" indent="1" readingOrder="2"/>
    </xf>
    <xf numFmtId="0" fontId="32" fillId="12" borderId="24" xfId="4" applyNumberFormat="1" applyFont="1" applyFill="1" applyBorder="1" applyAlignment="1">
      <alignment horizontal="right" vertical="center" indent="1" readingOrder="2"/>
    </xf>
    <xf numFmtId="8" fontId="40" fillId="11" borderId="5" xfId="0" applyNumberFormat="1" applyFont="1" applyFill="1" applyBorder="1" applyAlignment="1">
      <alignment horizontal="left" vertical="center" readingOrder="2"/>
    </xf>
    <xf numFmtId="8" fontId="40" fillId="11" borderId="2" xfId="0" applyNumberFormat="1" applyFont="1" applyFill="1" applyBorder="1" applyAlignment="1">
      <alignment horizontal="left" vertical="center" readingOrder="2"/>
    </xf>
    <xf numFmtId="8" fontId="35" fillId="11" borderId="18" xfId="0" applyNumberFormat="1" applyFont="1" applyFill="1" applyBorder="1" applyAlignment="1">
      <alignment horizontal="left" vertical="center" readingOrder="2"/>
    </xf>
    <xf numFmtId="8" fontId="35" fillId="11" borderId="19" xfId="0" applyNumberFormat="1" applyFont="1" applyFill="1" applyBorder="1" applyAlignment="1">
      <alignment horizontal="left" vertical="center" readingOrder="2"/>
    </xf>
    <xf numFmtId="8" fontId="35" fillId="11" borderId="21" xfId="0" applyNumberFormat="1" applyFont="1" applyFill="1" applyBorder="1" applyAlignment="1">
      <alignment horizontal="left" vertical="center" readingOrder="2"/>
    </xf>
    <xf numFmtId="8" fontId="35" fillId="13" borderId="17" xfId="0" applyNumberFormat="1" applyFont="1" applyFill="1" applyBorder="1" applyAlignment="1">
      <alignment horizontal="left" vertical="center" readingOrder="2"/>
    </xf>
    <xf numFmtId="8" fontId="35" fillId="13" borderId="13" xfId="0" applyNumberFormat="1" applyFont="1" applyFill="1" applyBorder="1" applyAlignment="1">
      <alignment horizontal="left" vertical="center" readingOrder="2"/>
    </xf>
    <xf numFmtId="8" fontId="35" fillId="11" borderId="27" xfId="0" applyNumberFormat="1" applyFont="1" applyFill="1" applyBorder="1" applyAlignment="1">
      <alignment horizontal="left" vertical="center" readingOrder="2"/>
    </xf>
    <xf numFmtId="8" fontId="35" fillId="11" borderId="28" xfId="0" applyNumberFormat="1" applyFont="1" applyFill="1" applyBorder="1" applyAlignment="1">
      <alignment horizontal="left" vertical="center" readingOrder="2"/>
    </xf>
    <xf numFmtId="8" fontId="35" fillId="11" borderId="29" xfId="0" applyNumberFormat="1" applyFont="1" applyFill="1" applyBorder="1" applyAlignment="1">
      <alignment horizontal="left" vertical="center" readingOrder="2"/>
    </xf>
    <xf numFmtId="0" fontId="26" fillId="8" borderId="0" xfId="0" applyNumberFormat="1" applyFont="1" applyFill="1" applyAlignment="1">
      <alignment horizontal="right" vertical="top" indent="1" readingOrder="2"/>
    </xf>
    <xf numFmtId="0" fontId="28" fillId="8" borderId="0" xfId="0" applyNumberFormat="1" applyFont="1" applyFill="1" applyAlignment="1">
      <alignment horizontal="right" vertical="top" indent="1" readingOrder="2"/>
    </xf>
    <xf numFmtId="0" fontId="23" fillId="10" borderId="0" xfId="0" applyFont="1"/>
    <xf numFmtId="0" fontId="10" fillId="4" borderId="0" xfId="2" applyFont="1" applyAlignment="1">
      <alignment horizontal="right" readingOrder="2"/>
    </xf>
    <xf numFmtId="0" fontId="11" fillId="6" borderId="0" xfId="3" applyFont="1" applyFill="1" applyAlignment="1">
      <alignment horizontal="right" vertical="center" indent="2" readingOrder="2"/>
    </xf>
    <xf numFmtId="0" fontId="11" fillId="5" borderId="0" xfId="3" applyFont="1" applyFill="1" applyAlignment="1">
      <alignment horizontal="right" vertical="center" indent="2" readingOrder="2"/>
    </xf>
    <xf numFmtId="0" fontId="11" fillId="7" borderId="0" xfId="3" applyFont="1" applyFill="1" applyAlignment="1">
      <alignment horizontal="right" vertical="center" indent="2" readingOrder="2"/>
    </xf>
    <xf numFmtId="0" fontId="11" fillId="4" borderId="0" xfId="3" applyFont="1" applyFill="1" applyAlignment="1">
      <alignment horizontal="right" vertical="center" indent="2" readingOrder="2"/>
    </xf>
    <xf numFmtId="0" fontId="37" fillId="10" borderId="0" xfId="0" applyFont="1"/>
    <xf numFmtId="0" fontId="0" fillId="11" borderId="2" xfId="0" applyFont="1" applyFill="1" applyBorder="1" applyAlignment="1">
      <alignment horizontal="right" vertical="center" indent="1" readingOrder="2"/>
    </xf>
    <xf numFmtId="8" fontId="0" fillId="11" borderId="2" xfId="0" applyNumberFormat="1" applyFont="1" applyFill="1" applyBorder="1" applyAlignment="1">
      <alignment horizontal="left" vertical="center" indent="2" readingOrder="2"/>
    </xf>
    <xf numFmtId="9" fontId="0" fillId="11" borderId="2" xfId="0" applyNumberFormat="1" applyFont="1" applyFill="1" applyBorder="1" applyAlignment="1">
      <alignment horizontal="left" vertical="center" indent="2" readingOrder="2"/>
    </xf>
    <xf numFmtId="0" fontId="0" fillId="11" borderId="2" xfId="0" applyFont="1" applyFill="1" applyBorder="1" applyAlignment="1">
      <alignment horizontal="right" vertical="center" indent="2" readingOrder="2"/>
    </xf>
    <xf numFmtId="0" fontId="0" fillId="11" borderId="5" xfId="0" applyFont="1" applyFill="1" applyBorder="1" applyAlignment="1">
      <alignment horizontal="right" vertical="center" indent="2" readingOrder="2"/>
    </xf>
    <xf numFmtId="8" fontId="0" fillId="11" borderId="5" xfId="0" applyNumberFormat="1" applyFont="1" applyFill="1" applyBorder="1" applyAlignment="1">
      <alignment horizontal="left" vertical="center" indent="2" readingOrder="2"/>
    </xf>
    <xf numFmtId="9" fontId="0" fillId="11" borderId="5" xfId="0" applyNumberFormat="1" applyFont="1" applyFill="1" applyBorder="1" applyAlignment="1">
      <alignment horizontal="left" vertical="center" indent="2" readingOrder="2"/>
    </xf>
    <xf numFmtId="0" fontId="0" fillId="10" borderId="0" xfId="0" applyFont="1" applyAlignment="1">
      <alignment readingOrder="2"/>
    </xf>
    <xf numFmtId="0" fontId="0" fillId="10" borderId="0" xfId="0" applyFont="1" applyAlignment="1">
      <alignment horizontal="left" indent="1" readingOrder="2"/>
    </xf>
    <xf numFmtId="166" fontId="0" fillId="10" borderId="0" xfId="0" applyNumberFormat="1" applyFont="1" applyAlignment="1">
      <alignment horizontal="right" readingOrder="2"/>
    </xf>
    <xf numFmtId="9" fontId="0" fillId="10" borderId="0" xfId="0" applyNumberFormat="1" applyFont="1" applyAlignment="1">
      <alignment horizontal="right" readingOrder="2"/>
    </xf>
    <xf numFmtId="0" fontId="23" fillId="10" borderId="0" xfId="0" applyFont="1" applyAlignment="1">
      <alignment wrapText="1"/>
    </xf>
    <xf numFmtId="0" fontId="31" fillId="10" borderId="0" xfId="0" applyFont="1"/>
    <xf numFmtId="8" fontId="0" fillId="13" borderId="17" xfId="0" applyNumberFormat="1" applyFont="1" applyFill="1" applyBorder="1" applyAlignment="1">
      <alignment horizontal="left" vertical="center" readingOrder="2"/>
    </xf>
    <xf numFmtId="8" fontId="0" fillId="13" borderId="13" xfId="0" applyNumberFormat="1" applyFont="1" applyFill="1" applyBorder="1" applyAlignment="1">
      <alignment horizontal="left" vertical="center" readingOrder="2"/>
    </xf>
    <xf numFmtId="8" fontId="0" fillId="11" borderId="18" xfId="0" applyNumberFormat="1" applyFont="1" applyFill="1" applyBorder="1" applyAlignment="1">
      <alignment horizontal="left" vertical="center" readingOrder="2"/>
    </xf>
    <xf numFmtId="8" fontId="0" fillId="11" borderId="20" xfId="0" applyNumberFormat="1" applyFont="1" applyFill="1" applyBorder="1" applyAlignment="1">
      <alignment horizontal="left" vertical="center" readingOrder="2"/>
    </xf>
    <xf numFmtId="8" fontId="0" fillId="11" borderId="21" xfId="0" applyNumberFormat="1" applyFont="1" applyFill="1" applyBorder="1" applyAlignment="1">
      <alignment horizontal="left" vertical="center" readingOrder="2"/>
    </xf>
    <xf numFmtId="8" fontId="0" fillId="11" borderId="19" xfId="0" applyNumberFormat="1" applyFont="1" applyFill="1" applyBorder="1" applyAlignment="1">
      <alignment horizontal="left" vertical="center" readingOrder="2"/>
    </xf>
    <xf numFmtId="0" fontId="32" fillId="10" borderId="0" xfId="0" applyFont="1" applyAlignment="1">
      <alignment wrapText="1" readingOrder="2"/>
    </xf>
    <xf numFmtId="0" fontId="10" fillId="4" borderId="0" xfId="2" applyFont="1" applyAlignment="1">
      <alignment horizontal="right" indent="1" readingOrder="2"/>
    </xf>
    <xf numFmtId="0" fontId="41" fillId="4" borderId="0" xfId="5" applyFont="1" applyFill="1" applyAlignment="1">
      <alignment horizontal="right" vertical="top" indent="1" readingOrder="2"/>
    </xf>
    <xf numFmtId="0" fontId="10" fillId="4" borderId="0" xfId="2" applyFont="1" applyAlignment="1">
      <alignment horizontal="left" vertical="center" indent="3" readingOrder="2"/>
    </xf>
    <xf numFmtId="0" fontId="51" fillId="11" borderId="0" xfId="0" applyFont="1" applyFill="1" applyAlignment="1">
      <alignment horizontal="center" readingOrder="2"/>
    </xf>
    <xf numFmtId="0" fontId="7" fillId="4" borderId="0" xfId="5" applyFont="1" applyFill="1" applyAlignment="1">
      <alignment horizontal="right" vertical="top" indent="1"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6" builtinId="3" customBuiltin="1"/>
    <cellStyle name="Comma [0]" xfId="7" builtinId="6" customBuiltin="1"/>
    <cellStyle name="Currency" xfId="8" builtinId="4" customBuiltin="1"/>
    <cellStyle name="Currency [0]" xfId="9" builtinId="7" customBuiltin="1"/>
    <cellStyle name="Percent" xfId="10" builtinId="5" customBuiltin="1"/>
    <cellStyle name="إخراج" xfId="16" builtinId="21" customBuiltin="1"/>
    <cellStyle name="إدخال" xfId="15"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2" builtinId="26" customBuiltin="1"/>
    <cellStyle name="حساب" xfId="17" builtinId="22" customBuiltin="1"/>
    <cellStyle name="خلية تدقيق" xfId="19" builtinId="23" customBuiltin="1"/>
    <cellStyle name="خلية مرتبطة" xfId="18" builtinId="24" customBuiltin="1"/>
    <cellStyle name="سيئ" xfId="13" builtinId="27" customBuiltin="1"/>
    <cellStyle name="عادي" xfId="0" builtinId="0" customBuiltin="1"/>
    <cellStyle name="عنوان" xfId="11" builtinId="15" customBuiltin="1"/>
    <cellStyle name="عنوان 1" xfId="1" builtinId="16" customBuiltin="1"/>
    <cellStyle name="عنوان 2" xfId="2" builtinId="17" customBuiltin="1"/>
    <cellStyle name="عنوان 3" xfId="3" builtinId="18" customBuiltin="1"/>
    <cellStyle name="عنوان 4" xfId="4" builtinId="19" customBuiltin="1"/>
    <cellStyle name="محايد" xfId="14" builtinId="28" customBuiltin="1"/>
    <cellStyle name="ملاحظة" xfId="21" builtinId="10" customBuiltin="1"/>
    <cellStyle name="نص تحذير" xfId="20" builtinId="11" customBuiltin="1"/>
    <cellStyle name="نص توضيحي" xfId="5" builtinId="53" customBuiltin="1"/>
  </cellStyles>
  <dxfs count="53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strike val="0"/>
        <condense val="0"/>
        <extend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indent="1"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0" formatCode="General"/>
      <fill>
        <patternFill patternType="solid">
          <fgColor indexed="64"/>
          <bgColor theme="6" tint="0.79998168889431442"/>
        </patternFill>
      </fill>
      <alignment horizontal="right" vertical="center" textRotation="0" wrapText="0" indent="0" justifyLastLine="0" shrinkToFit="0" readingOrder="0"/>
    </dxf>
    <dxf>
      <font>
        <strike val="0"/>
        <outline val="0"/>
        <shadow val="0"/>
        <vertAlign val="baseline"/>
        <name val="Tahoma"/>
        <family val="2"/>
        <scheme val="none"/>
      </font>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font>
        <strike val="0"/>
        <outline val="0"/>
        <shadow val="0"/>
        <vertAlign val="baseline"/>
        <name val="Tahoma"/>
        <family val="2"/>
        <scheme val="none"/>
      </font>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2" formatCode="&quot;ر.س.‏&quot;\ #,##0.00_-;[Red]&quot;ر.س.‏&quot;\ #,##0.00\-"/>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name val="Tahoma"/>
        <family val="2"/>
        <scheme val="none"/>
      </font>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name val="Tahoma"/>
        <family val="2"/>
        <scheme val="none"/>
      </font>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name val="Tahoma"/>
        <family val="2"/>
        <scheme val="none"/>
      </font>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right style="medium">
          <color theme="6" tint="0.39994506668294322"/>
        </right>
        <top/>
        <bottom/>
      </border>
    </dxf>
    <dxf>
      <font>
        <strike val="0"/>
        <outline val="0"/>
        <shadow val="0"/>
        <u val="none"/>
        <vertAlign val="baseline"/>
        <sz val="9"/>
        <color theme="1"/>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style="medium">
          <color theme="6" tint="0.39988402966399123"/>
        </left>
        <right style="medium">
          <color theme="6" tint="0.39985351115451523"/>
        </right>
        <top style="medium">
          <color theme="6" tint="0.39994506668294322"/>
        </top>
        <bottom style="medium">
          <color theme="6" tint="0.39985351115451523"/>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Tahoma"/>
        <family val="2"/>
        <scheme val="none"/>
      </font>
      <numFmt numFmtId="13" formatCode="0%"/>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Tahoma"/>
        <family val="2"/>
        <scheme val="none"/>
      </font>
      <numFmt numFmtId="13" formatCode="0%"/>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Tahoma"/>
        <family val="2"/>
        <scheme val="none"/>
      </font>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Tahoma"/>
        <family val="2"/>
        <scheme val="none"/>
      </font>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Tahoma"/>
        <family val="2"/>
        <scheme val="none"/>
      </font>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2"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Tahoma"/>
        <family val="2"/>
        <scheme val="none"/>
      </font>
      <fill>
        <patternFill patternType="solid">
          <fgColor indexed="64"/>
          <bgColor theme="6" tint="0.79998168889431442"/>
        </patternFill>
      </fill>
      <alignment horizontal="left" vertical="center" textRotation="0" wrapText="0" indent="2" justifyLastLine="0" shrinkToFit="0" readingOrder="0"/>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Tahoma"/>
        <family val="2"/>
        <scheme val="none"/>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strike val="0"/>
        <outline val="0"/>
        <shadow val="0"/>
        <u val="none"/>
        <vertAlign val="baseline"/>
        <name val="Tahoma"/>
        <family val="2"/>
        <scheme val="none"/>
      </font>
    </dxf>
    <dxf>
      <border outline="0">
        <bottom style="medium">
          <color theme="6" tint="0.39997558519241921"/>
        </bottom>
      </border>
    </dxf>
    <dxf>
      <font>
        <b val="0"/>
        <i val="0"/>
        <strike val="0"/>
        <condense val="0"/>
        <extend val="0"/>
        <outline val="0"/>
        <shadow val="0"/>
        <u val="none"/>
        <vertAlign val="baseline"/>
        <sz val="9"/>
        <color theme="1" tint="0.24994659260841701"/>
        <name val="Tahoma"/>
        <family val="2"/>
        <scheme val="none"/>
      </font>
      <fill>
        <patternFill patternType="solid">
          <fgColor indexed="64"/>
          <bgColor theme="6" tint="0.79998168889431442"/>
        </patternFill>
      </fill>
      <alignment horizontal="right" vertical="center" textRotation="0" wrapText="0" indent="2" justifyLastLine="0" shrinkToFit="0" readingOrder="0"/>
    </dxf>
    <dxf>
      <font>
        <strike val="0"/>
        <outline val="0"/>
        <shadow val="0"/>
        <u val="none"/>
        <vertAlign val="baseline"/>
        <name val="Tahoma"/>
        <family val="2"/>
        <scheme val="none"/>
      </font>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top/>
        <bottom/>
      </border>
    </dxf>
    <dxf>
      <font>
        <b/>
        <i val="0"/>
        <strike val="0"/>
        <condense val="0"/>
        <extend val="0"/>
        <outline val="0"/>
        <shadow val="0"/>
        <u val="none"/>
        <vertAlign val="baseline"/>
        <sz val="9"/>
        <color auto="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indent="1"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strike val="0"/>
        <outline val="0"/>
        <shadow val="0"/>
        <vertAlign val="baseline"/>
        <name val="Tahoma"/>
        <family val="2"/>
        <scheme val="none"/>
      </font>
    </dxf>
    <dxf>
      <border outline="0">
        <bottom style="medium">
          <color theme="6" tint="0.39997558519241921"/>
        </bottom>
      </border>
    </dxf>
    <dxf>
      <font>
        <b/>
        <i val="0"/>
        <strike val="0"/>
        <condense val="0"/>
        <extend val="0"/>
        <outline val="0"/>
        <shadow val="0"/>
        <u val="none"/>
        <vertAlign val="baseline"/>
        <sz val="9"/>
        <color auto="1"/>
        <name val="Tahoma"/>
        <family val="2"/>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b val="0"/>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strike val="0"/>
        <outline val="0"/>
        <shadow val="0"/>
        <vertAlign val="baseline"/>
        <name val="Tahoma"/>
        <family val="2"/>
        <scheme val="none"/>
      </font>
      <numFmt numFmtId="166" formatCode="&quot;ر.س.‏&quot;\ #,##0.00;[Red]&quot;ر.س.‏&quot;\ #,##0.00"/>
      <alignment horizontal="right" vertical="center" textRotation="0" wrapText="0" indent="0" justifyLastLine="0" shrinkToFit="0" readingOrder="2"/>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dxf>
    <dxf>
      <font>
        <b/>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strike val="0"/>
        <outline val="0"/>
        <shadow val="0"/>
        <vertAlign val="baseline"/>
        <name val="Tahoma"/>
        <family val="2"/>
        <scheme val="none"/>
      </font>
      <alignment horizontal="left" vertical="center" textRotation="0" wrapText="0" relativeIndent="1" justifyLastLine="0" shrinkToFit="0" readingOrder="0"/>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fill>
        <patternFill patternType="solid">
          <fgColor indexed="64"/>
          <bgColor theme="6" tint="0.79998168889431442"/>
        </patternFill>
      </fill>
      <alignment horizontal="left" vertical="bottom" textRotation="0" wrapText="0" indent="0" justifyLastLine="0" shrinkToFit="0" readingOrder="2"/>
      <border diagonalUp="0" diagonalDown="0" outline="0">
        <left/>
        <right style="medium">
          <color theme="6" tint="0.39997558519241921"/>
        </right>
        <top/>
        <bottom/>
      </border>
    </dxf>
    <dxf>
      <font>
        <b/>
        <i val="0"/>
        <strike val="0"/>
        <condense val="0"/>
        <extend val="0"/>
        <outline val="0"/>
        <shadow val="0"/>
        <u val="none"/>
        <vertAlign val="baseline"/>
        <sz val="9"/>
        <color theme="1"/>
        <name val="Tahoma"/>
        <family val="2"/>
        <scheme val="none"/>
      </font>
      <numFmt numFmtId="12" formatCode="&quot;ر.س.‏&quot;\ #,##0.00_-;[Red]&quot;ر.س.‏&quot;\ #,##0.00\-"/>
      <fill>
        <patternFill patternType="solid">
          <fgColor indexed="64"/>
          <bgColor theme="6" tint="0.79998168889431442"/>
        </patternFill>
      </fill>
      <alignment horizontal="left" vertical="bottom" textRotation="0" wrapText="0" indent="0" justifyLastLine="0" shrinkToFit="0" readingOrder="2"/>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font>
        <strike val="0"/>
        <outline val="0"/>
        <shadow val="0"/>
        <vertAlign val="baseline"/>
        <name val="Tahoma"/>
        <family val="2"/>
        <scheme val="none"/>
      </font>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Tahoma"/>
        <family val="2"/>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righ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top style="medium">
          <color theme="6" tint="0.39994506668294322"/>
        </top>
        <bottom style="medium">
          <color theme="6" tint="0.39994506668294322"/>
        </bottom>
      </border>
    </dxf>
    <dxf>
      <font>
        <strike val="0"/>
        <outline val="0"/>
        <shadow val="0"/>
        <vertAlign val="baseline"/>
        <name val="Tahoma"/>
        <family val="2"/>
        <scheme val="none"/>
      </font>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auto="1"/>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strike val="0"/>
        <outline val="0"/>
        <shadow val="0"/>
        <vertAlign val="baseline"/>
        <name val="Tahoma"/>
        <family val="2"/>
        <scheme val="none"/>
      </font>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2" formatCode="&quot;ر.س.‏&quot;\ #,##0.00_-;[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6" formatCode="&quot;ر.س.‏&quot;\ #,##0.00;[Red]&quot;ر.س.‏&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2" formatCode="&quot;ر.س.‏&quot;\ #,##0.00_-;[Red]&quot;ر.س.‏&quot;\ #,##0.00\-"/>
      <fill>
        <patternFill patternType="solid">
          <fgColor indexed="64"/>
          <bgColor theme="0"/>
        </patternFill>
      </fill>
      <alignment horizontal="left" vertical="center" textRotation="0" wrapText="0" indent="0" justifyLastLine="0" shrinkToFit="0" readingOrder="2"/>
      <border diagonalUp="0" diagonalDown="0" outline="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outline="0">
        <top style="medium">
          <color theme="6" tint="0.39997558519241921"/>
        </top>
      </border>
    </dxf>
    <dxf>
      <border outline="0">
        <left style="medium">
          <color theme="6" tint="0.39997558519241921"/>
        </left>
        <bottom style="medium">
          <color theme="6" tint="0.39997558519241921"/>
        </bottom>
      </border>
    </dxf>
    <dxf>
      <border outline="0">
        <bottom style="medium">
          <color theme="6" tint="0.39997558519241921"/>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right style="medium">
          <color theme="6" tint="0.39994506668294322"/>
        </right>
        <top/>
        <bottom/>
      </border>
    </dxf>
    <dxf>
      <border>
        <bottom style="medium">
          <color theme="6" tint="0.39994506668294322"/>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PivotStyle="PivotStyleLight16">
    <tableStyle name="تقديرات المصاريف المفصلة الجدول 2" pivot="0" count="7" xr9:uid="{00000000-0011-0000-FFFF-FFFF00000000}">
      <tableStyleElement type="wholeTable" dxfId="531"/>
      <tableStyleElement type="headerRow" dxfId="530"/>
      <tableStyleElement type="totalRow" dxfId="529"/>
      <tableStyleElement type="firstColumn" dxfId="528"/>
      <tableStyleElement type="lastColumn" dxfId="527"/>
      <tableStyleElement type="firstRowStripe" size="9" dxfId="526"/>
      <tableStyleElement type="firstColumnStripe" dxfId="525"/>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worksheet" Target="/xl/worksheets/sheet54.xml" Id="rId5" /><Relationship Type="http://schemas.openxmlformats.org/officeDocument/2006/relationships/customXml" Target="/customXml/item13.xml" Id="rId10" /><Relationship Type="http://schemas.openxmlformats.org/officeDocument/2006/relationships/worksheet" Target="/xl/worksheets/sheet45.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المصروفات الشهرية</a:t>
            </a:r>
          </a:p>
        </c:rich>
      </c:tx>
      <c:layout>
        <c:manualLayout>
          <c:xMode val="edge"/>
          <c:yMode val="edge"/>
          <c:x val="0.81295695690077041"/>
          <c:y val="8.903231126127000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title>
    <c:autoTitleDeleted val="0"/>
    <c:plotArea>
      <c:layout/>
      <c:barChart>
        <c:barDir val="col"/>
        <c:grouping val="clustered"/>
        <c:varyColors val="0"/>
        <c:ser>
          <c:idx val="1"/>
          <c:order val="1"/>
          <c:tx>
            <c:v>المخطط</c:v>
          </c:tx>
          <c:spPr>
            <a:solidFill>
              <a:schemeClr val="accent2"/>
            </a:solidFill>
            <a:ln>
              <a:noFill/>
            </a:ln>
            <a:effectLst/>
          </c:spPr>
          <c:invertIfNegative val="0"/>
          <c:val>
            <c:numRef>
              <c:f>'المصروفات المخططة'!$C$36:$N$36</c:f>
              <c:numCache>
                <c:formatCode>"ر.س.‏"#,##0.00_);[Red]\("ر.س.‏"#,##0.00\)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الفعلية</c:v>
          </c:tx>
          <c:spPr>
            <a:solidFill>
              <a:schemeClr val="accent4">
                <a:alpha val="25000"/>
              </a:schemeClr>
            </a:solidFill>
            <a:ln>
              <a:noFill/>
            </a:ln>
            <a:effectLst/>
          </c:spPr>
          <c:invertIfNegative val="0"/>
          <c:val>
            <c:numRef>
              <c:f>'المصروفات الفعلية'!$C$36:$N$36</c:f>
              <c:numCache>
                <c:formatCode>"ر.س.‏"#,##0.00_);[Red]\("ر.س.‏"#,##0.00\)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الفرق</c:v>
          </c:tx>
          <c:spPr>
            <a:ln w="28575" cap="rnd">
              <a:solidFill>
                <a:schemeClr val="accent3">
                  <a:shade val="65000"/>
                </a:schemeClr>
              </a:solidFill>
              <a:round/>
            </a:ln>
            <a:effectLst/>
          </c:spPr>
          <c:marker>
            <c:symbol val="none"/>
          </c:marker>
          <c:val>
            <c:numRef>
              <c:f>'فروق المصروفات'!$C$36:$N$36</c:f>
              <c:numCache>
                <c:formatCode>"ر.س.‏"#,##0.00_);[Red]\("ر.س.‏"#,##0.00\)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الشهر</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crossAx val="362147008"/>
        <c:crosses val="autoZero"/>
        <c:auto val="1"/>
        <c:lblAlgn val="ctr"/>
        <c:lblOffset val="100"/>
        <c:noMultiLvlLbl val="0"/>
      </c:catAx>
      <c:valAx>
        <c:axId val="362147008"/>
        <c:scaling>
          <c:orientation val="minMax"/>
        </c:scaling>
        <c:delete val="0"/>
        <c:axPos val="r"/>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المصاريف</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title>
        <c:numFmt formatCode="&quot;ر.س.‏&quot;#,##0_);[Red]\(&quot;ر.س.‏&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crossAx val="362146616"/>
        <c:crosses val="autoZero"/>
        <c:crossBetween val="between"/>
        <c:dispUnits>
          <c:builtInUnit val="tenThousands"/>
          <c:dispUnitsLbl>
            <c:layout>
              <c:manualLayout>
                <c:xMode val="edge"/>
                <c:yMode val="edge"/>
                <c:x val="0.92995031891897906"/>
                <c:y val="0.11317100328988393"/>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dispUnitsLbl>
        </c:dispUnits>
      </c:valAx>
      <c:spPr>
        <a:noFill/>
        <a:ln>
          <a:noFill/>
        </a:ln>
        <a:effectLst/>
      </c:spPr>
    </c:plotArea>
    <c:legend>
      <c:legendPos val="t"/>
      <c:layout>
        <c:manualLayout>
          <c:xMode val="edge"/>
          <c:yMode val="edge"/>
          <c:x val="0.65957555038300097"/>
          <c:y val="5.3074323107069506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'تحليل المصروفات'!$C$5</c:f>
              <c:strCache>
                <c:ptCount val="1"/>
                <c:pt idx="0">
                  <c:v>المصروفات المخططة</c:v>
                </c:pt>
              </c:strCache>
            </c:strRef>
          </c:tx>
          <c:spPr>
            <a:solidFill>
              <a:schemeClr val="accent2"/>
            </a:solidFill>
            <a:ln w="19050">
              <a:noFill/>
            </a:ln>
            <a:effectLst/>
          </c:spPr>
          <c:invertIfNegative val="0"/>
          <c:cat>
            <c:strRef>
              <c:f>'تحليل المصروفات'!$B$6:$B$9</c:f>
              <c:strCache>
                <c:ptCount val="4"/>
                <c:pt idx="0">
                  <c:v>تكاليف الموظفين</c:v>
                </c:pt>
                <c:pt idx="1">
                  <c:v>تكاليف المكتب</c:v>
                </c:pt>
                <c:pt idx="2">
                  <c:v>تكاليف التسويق</c:v>
                </c:pt>
                <c:pt idx="3">
                  <c:v>التدريب/السفر</c:v>
                </c:pt>
              </c:strCache>
            </c:strRef>
          </c:cat>
          <c:val>
            <c:numRef>
              <c:f>'تحليل المصروفات'!$C$6:$C$9</c:f>
              <c:numCache>
                <c:formatCode>"ر.س.‏"#,##0.00_);[Red]\("ر.س.‏"#,##0.00\)</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'تحليل المصروفات'!$D$5</c:f>
              <c:strCache>
                <c:ptCount val="1"/>
                <c:pt idx="0">
                  <c:v>المصاريف الفعلية</c:v>
                </c:pt>
              </c:strCache>
            </c:strRef>
          </c:tx>
          <c:spPr>
            <a:solidFill>
              <a:schemeClr val="accent4"/>
            </a:solidFill>
            <a:ln w="19050">
              <a:noFill/>
            </a:ln>
            <a:effectLst/>
          </c:spPr>
          <c:invertIfNegative val="0"/>
          <c:dPt>
            <c:idx val="0"/>
            <c:invertIfNegative val="0"/>
            <c:bubble3D val="0"/>
            <c:spPr>
              <a:solidFill>
                <a:schemeClr val="accent4"/>
              </a:solidFill>
              <a:ln w="19050">
                <a:noFill/>
              </a:ln>
              <a:effectLst/>
            </c:spPr>
            <c:extLst>
              <c:ext xmlns:c16="http://schemas.microsoft.com/office/drawing/2014/chart" uri="{C3380CC4-5D6E-409C-BE32-E72D297353CC}">
                <c16:uniqueId val="{00000001-F485-485F-B818-D5944CB69AAB}"/>
              </c:ext>
            </c:extLst>
          </c:dPt>
          <c:dPt>
            <c:idx val="1"/>
            <c:invertIfNegative val="0"/>
            <c:bubble3D val="0"/>
            <c:spPr>
              <a:solidFill>
                <a:schemeClr val="accent4"/>
              </a:solidFill>
              <a:ln w="19050">
                <a:noFill/>
              </a:ln>
              <a:effectLst/>
            </c:spPr>
            <c:extLst>
              <c:ext xmlns:c16="http://schemas.microsoft.com/office/drawing/2014/chart" uri="{C3380CC4-5D6E-409C-BE32-E72D297353CC}">
                <c16:uniqueId val="{00000003-F485-485F-B818-D5944CB69AAB}"/>
              </c:ext>
            </c:extLst>
          </c:dPt>
          <c:dPt>
            <c:idx val="2"/>
            <c:invertIfNegative val="0"/>
            <c:bubble3D val="0"/>
            <c:spPr>
              <a:solidFill>
                <a:schemeClr val="accent4"/>
              </a:solidFill>
              <a:ln w="19050">
                <a:noFill/>
              </a:ln>
              <a:effectLst/>
            </c:spPr>
            <c:extLst>
              <c:ext xmlns:c16="http://schemas.microsoft.com/office/drawing/2014/chart" uri="{C3380CC4-5D6E-409C-BE32-E72D297353CC}">
                <c16:uniqueId val="{00000005-F485-485F-B818-D5944CB69AAB}"/>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F485-485F-B818-D5944CB69AAB}"/>
              </c:ext>
            </c:extLst>
          </c:dPt>
          <c:cat>
            <c:strRef>
              <c:f>'تحليل المصروفات'!$B$6:$B$9</c:f>
              <c:strCache>
                <c:ptCount val="4"/>
                <c:pt idx="0">
                  <c:v>تكاليف الموظفين</c:v>
                </c:pt>
                <c:pt idx="1">
                  <c:v>تكاليف المكتب</c:v>
                </c:pt>
                <c:pt idx="2">
                  <c:v>تكاليف التسويق</c:v>
                </c:pt>
                <c:pt idx="3">
                  <c:v>التدريب/السفر</c:v>
                </c:pt>
              </c:strCache>
            </c:strRef>
          </c:cat>
          <c:val>
            <c:numRef>
              <c:f>'تحليل المصروفات'!$D$6:$D$9</c:f>
              <c:numCache>
                <c:formatCode>"ر.س.‏"#,##0.00_);[Red]\("ر.س.‏"#,##0.00\)</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axMin"/>
          <c:max val="1400000"/>
        </c:scaling>
        <c:delete val="0"/>
        <c:axPos val="t"/>
        <c:majorGridlines>
          <c:spPr>
            <a:ln w="9525" cap="flat" cmpd="sng" algn="ctr">
              <a:solidFill>
                <a:schemeClr val="tx1">
                  <a:lumMod val="15000"/>
                  <a:lumOff val="85000"/>
                </a:schemeClr>
              </a:solidFill>
              <a:round/>
            </a:ln>
            <a:effectLst/>
          </c:spPr>
        </c:majorGridlines>
        <c:numFmt formatCode="&quot;ر.س.‏&quot;#,##0_);[Red]\(&quot;ر.س.‏&quot;#,##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716845712"/>
        <c:crosses val="autoZero"/>
        <c:crossBetween val="between"/>
        <c:dispUnits>
          <c:builtInUnit val="tenThousands"/>
          <c:dispUnitsLbl>
            <c:layout>
              <c:manualLayout>
                <c:xMode val="edge"/>
                <c:yMode val="edge"/>
                <c:x val="6.1079741459366239E-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dispUnitsLbl>
        </c:dispUnits>
      </c:valAx>
      <c:catAx>
        <c:axId val="716845712"/>
        <c:scaling>
          <c:orientation val="maxMin"/>
        </c:scaling>
        <c:delete val="0"/>
        <c:axPos val="r"/>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716855552"/>
        <c:crosses val="autoZero"/>
        <c:auto val="1"/>
        <c:lblAlgn val="ctr"/>
        <c:lblOffset val="100"/>
        <c:noMultiLvlLbl val="0"/>
      </c:catAx>
      <c:spPr>
        <a:noFill/>
        <a:ln>
          <a:noFill/>
        </a:ln>
        <a:effectLst/>
      </c:spPr>
    </c:plotArea>
    <c:legend>
      <c:legendPos val="t"/>
      <c:layout>
        <c:manualLayout>
          <c:xMode val="edge"/>
          <c:yMode val="edge"/>
          <c:x val="0.70207322274856687"/>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&#65279;<?xml version="1.0" encoding="utf-8"?><Relationships xmlns="http://schemas.openxmlformats.org/package/2006/relationships"><Relationship Type="http://schemas.openxmlformats.org/officeDocument/2006/relationships/image" Target="/xl/media/image1.png" Id="rId1" /></Relationships>
</file>

<file path=xl/drawings/_rels/drawing21.xml.rels>&#65279;<?xml version="1.0" encoding="utf-8"?><Relationships xmlns="http://schemas.openxmlformats.org/package/2006/relationships"><Relationship Type="http://schemas.openxmlformats.org/officeDocument/2006/relationships/image" Target="/xl/media/image1.png" Id="rId1" /></Relationships>
</file>

<file path=xl/drawings/_rels/drawing34.xml.rels>&#65279;<?xml version="1.0" encoding="utf-8"?><Relationships xmlns="http://schemas.openxmlformats.org/package/2006/relationships"><Relationship Type="http://schemas.openxmlformats.org/officeDocument/2006/relationships/image" Target="/xl/media/image23.png" Id="rId1" /></Relationships>
</file>

<file path=xl/drawings/_rels/drawing43.xml.rels>&#65279;<?xml version="1.0" encoding="utf-8"?><Relationships xmlns="http://schemas.openxmlformats.org/package/2006/relationships"><Relationship Type="http://schemas.openxmlformats.org/officeDocument/2006/relationships/chart" Target="/xl/charts/chart21.xml" Id="rId3" /><Relationship Type="http://schemas.openxmlformats.org/officeDocument/2006/relationships/image" Target="/xl/media/image32.png"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فقاعة الحديث: مستطيل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flipH="1">
          <a:off x="155151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1" anchor="t"/>
        <a:lstStyle/>
        <a:p>
          <a:pPr rtl="1"/>
          <a:r>
            <a:rPr lang="ar" sz="1100" b="1">
              <a:solidFill>
                <a:schemeClr val="tx2"/>
              </a:solidFill>
              <a:effectLst/>
              <a:latin typeface="Tahoma" panose="020B0604030504040204" pitchFamily="34" charset="0"/>
              <a:ea typeface="+mn-ea"/>
              <a:cs typeface="Tahoma" panose="020B0604030504040204" pitchFamily="34" charset="0"/>
            </a:rPr>
            <a:t>كيفية استخدام هذا القالب</a:t>
          </a:r>
        </a:p>
        <a:p>
          <a:pPr rtl="1"/>
          <a:endParaRPr lang="en-US">
            <a:solidFill>
              <a:schemeClr val="tx2"/>
            </a:solidFill>
            <a:effectLst/>
            <a:latin typeface="Tahoma" panose="020B0604030504040204" pitchFamily="34" charset="0"/>
            <a:cs typeface="Tahoma" panose="020B0604030504040204" pitchFamily="34" charset="0"/>
          </a:endParaRPr>
        </a:p>
        <a:p>
          <a:pPr rtl="1"/>
          <a:r>
            <a:rPr lang="ar" sz="1100">
              <a:solidFill>
                <a:schemeClr val="tx2"/>
              </a:solidFill>
              <a:effectLst/>
              <a:latin typeface="Tahoma" panose="020B0604030504040204" pitchFamily="34" charset="0"/>
              <a:ea typeface="+mn-ea"/>
              <a:cs typeface="Tahoma" panose="020B0604030504040204" pitchFamily="34" charset="0"/>
            </a:rPr>
            <a:t>سيتم احتساب البيانات المدخلة في الخلايا البيضاء في أوراق العمل "المصروفات المخططة" و"االمصروفات الفعلية"، وسيتم حساب "فروق المصروفات" و"تحليل المصروفات" لك.  إذا قمت بإضافة صف في ورقة واحدة، فيجب</a:t>
          </a:r>
          <a:r>
            <a:rPr lang="ar" sz="1100" baseline="0">
              <a:solidFill>
                <a:schemeClr val="tx2"/>
              </a:solidFill>
              <a:effectLst/>
              <a:latin typeface="Tahoma" panose="020B0604030504040204" pitchFamily="34" charset="0"/>
              <a:ea typeface="+mn-ea"/>
              <a:cs typeface="Tahoma" panose="020B0604030504040204" pitchFamily="34" charset="0"/>
            </a:rPr>
            <a:t> أن يطابق الأوراق الأخرى.</a:t>
          </a:r>
          <a:endParaRPr lang="en-US" sz="1100">
            <a:solidFill>
              <a:schemeClr val="tx2"/>
            </a:solidFill>
            <a:latin typeface="Tahoma" panose="020B0604030504040204" pitchFamily="34" charset="0"/>
            <a:cs typeface="Tahoma" panose="020B0604030504040204" pitchFamily="34" charset="0"/>
          </a:endParaRPr>
        </a:p>
      </xdr:txBody>
    </xdr:sp>
    <xdr:clientData fPrintsWithSheet="0"/>
  </xdr:twoCellAnchor>
  <xdr:twoCellAnchor editAs="oneCell">
    <xdr:from>
      <xdr:col>13</xdr:col>
      <xdr:colOff>267556</xdr:colOff>
      <xdr:row>1</xdr:row>
      <xdr:rowOff>20322</xdr:rowOff>
    </xdr:from>
    <xdr:to>
      <xdr:col>14</xdr:col>
      <xdr:colOff>618712</xdr:colOff>
      <xdr:row>2</xdr:row>
      <xdr:rowOff>121037</xdr:rowOff>
    </xdr:to>
    <xdr:pic>
      <xdr:nvPicPr>
        <xdr:cNvPr id="9" name="الصورة 18" descr="عنصر نائب للشعار">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04869808" y="325122"/>
          <a:ext cx="1547496" cy="672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259936</xdr:colOff>
      <xdr:row>1</xdr:row>
      <xdr:rowOff>20322</xdr:rowOff>
    </xdr:from>
    <xdr:to>
      <xdr:col>14</xdr:col>
      <xdr:colOff>611092</xdr:colOff>
      <xdr:row>2</xdr:row>
      <xdr:rowOff>121037</xdr:rowOff>
    </xdr:to>
    <xdr:pic>
      <xdr:nvPicPr>
        <xdr:cNvPr id="6" name="الصورة 18" descr="عنصر نائب للشعار">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05799448" y="325122"/>
          <a:ext cx="1547496" cy="672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260985</xdr:colOff>
      <xdr:row>1</xdr:row>
      <xdr:rowOff>12608</xdr:rowOff>
    </xdr:from>
    <xdr:to>
      <xdr:col>14</xdr:col>
      <xdr:colOff>620347</xdr:colOff>
      <xdr:row>2</xdr:row>
      <xdr:rowOff>116888</xdr:rowOff>
    </xdr:to>
    <xdr:pic>
      <xdr:nvPicPr>
        <xdr:cNvPr id="6" name="الصورة 18" descr="عنصر نائب للشعار">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05790193" y="317408"/>
          <a:ext cx="1555702" cy="67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280035</xdr:colOff>
      <xdr:row>12</xdr:row>
      <xdr:rowOff>200025</xdr:rowOff>
    </xdr:from>
    <xdr:to>
      <xdr:col>5</xdr:col>
      <xdr:colOff>1729740</xdr:colOff>
      <xdr:row>38</xdr:row>
      <xdr:rowOff>212153</xdr:rowOff>
    </xdr:to>
    <xdr:graphicFrame macro="">
      <xdr:nvGraphicFramePr>
        <xdr:cNvPr id="8" name="مخطط_المصاريف_الشهرية" descr="مخطط يعرض المصاريف المخططة والفعلية والتباين والفرق في المصاريف الشهرية">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447675</xdr:colOff>
      <xdr:row>1</xdr:row>
      <xdr:rowOff>31425</xdr:rowOff>
    </xdr:from>
    <xdr:to>
      <xdr:col>5</xdr:col>
      <xdr:colOff>1570355</xdr:colOff>
      <xdr:row>1</xdr:row>
      <xdr:rowOff>519105</xdr:rowOff>
    </xdr:to>
    <xdr:pic>
      <xdr:nvPicPr>
        <xdr:cNvPr id="9" name="الصورة 18" descr="عنصر نائب للشعار">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110082745" y="336225"/>
          <a:ext cx="1122680" cy="48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289559</xdr:colOff>
      <xdr:row>11</xdr:row>
      <xdr:rowOff>0</xdr:rowOff>
    </xdr:from>
    <xdr:to>
      <xdr:col>5</xdr:col>
      <xdr:colOff>1729740</xdr:colOff>
      <xdr:row>11</xdr:row>
      <xdr:rowOff>3657601</xdr:rowOff>
    </xdr:to>
    <xdr:graphicFrame macro="">
      <xdr:nvGraphicFramePr>
        <xdr:cNvPr id="7" name="مخطط_المصاريف_الفعلية" descr="مخطط دائري يعرض المصاريف الفعلية المنفقة على فئات مختلفة">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الإجمالي_الفعلي" displayName="الإجمالي_الفعلي" ref="B35:O37" headerRowDxfId="373" dataDxfId="372" totalsRowDxfId="370" tableBorderDxfId="371">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إجمالي المصروفات المخططة" totalsRowLabel="الإجمالي" dataDxfId="369" totalsRowDxfId="368"/>
    <tableColumn id="2" xr3:uid="{ED08B701-BD0B-43EA-B6B5-8B23D583D505}" name="يناير" dataDxfId="367" totalsRowDxfId="366">
      <calculatedColumnFormula>SUM($C35:C$36)</calculatedColumnFormula>
    </tableColumn>
    <tableColumn id="3" xr3:uid="{953C450B-5235-4234-924F-53796609C439}" name="فبراير" dataDxfId="365" totalsRowDxfId="364">
      <calculatedColumnFormula>SUM($C35:D$36)</calculatedColumnFormula>
    </tableColumn>
    <tableColumn id="4" xr3:uid="{A434CE91-3696-411F-8418-02228D13F12E}" name="مارس" dataDxfId="363" totalsRowDxfId="362">
      <calculatedColumnFormula>SUM($C35:E$36)</calculatedColumnFormula>
    </tableColumn>
    <tableColumn id="5" xr3:uid="{1E74C645-B91F-4CDB-9F55-6FEC8EAB0A64}" name="أبريل" dataDxfId="361" totalsRowDxfId="360">
      <calculatedColumnFormula>SUM($C35:F$36)</calculatedColumnFormula>
    </tableColumn>
    <tableColumn id="6" xr3:uid="{A3B698F1-9EF3-489A-A70E-8E760D6B713B}" name="مايو" dataDxfId="359" totalsRowDxfId="358">
      <calculatedColumnFormula>SUM($C35:G$36)</calculatedColumnFormula>
    </tableColumn>
    <tableColumn id="7" xr3:uid="{6CEDC80B-5635-47E7-AA54-EBD827095F7C}" name="يونيو" dataDxfId="357" totalsRowDxfId="356">
      <calculatedColumnFormula>SUM($C35:H$36)</calculatedColumnFormula>
    </tableColumn>
    <tableColumn id="8" xr3:uid="{A73C88FE-0ABF-4134-B6B0-043ECC9295D4}" name="يوليو" dataDxfId="355" totalsRowDxfId="354">
      <calculatedColumnFormula>SUM($C35:I$36)</calculatedColumnFormula>
    </tableColumn>
    <tableColumn id="9" xr3:uid="{62119987-B16F-44A1-B80E-29460A9513CD}" name="أغسطس" dataDxfId="353" totalsRowDxfId="352">
      <calculatedColumnFormula>SUM($C35:J$36)</calculatedColumnFormula>
    </tableColumn>
    <tableColumn id="10" xr3:uid="{C84A40CE-DC4A-442E-883F-891CA5A9A166}" name="سبتمبر" dataDxfId="351" totalsRowDxfId="350">
      <calculatedColumnFormula>SUM($C35:K$36)</calculatedColumnFormula>
    </tableColumn>
    <tableColumn id="11" xr3:uid="{4DB975F1-C294-416D-81FB-A8070CC2C3BC}" name="أكتوبر" dataDxfId="349" totalsRowDxfId="348">
      <calculatedColumnFormula>SUM($C35:L$36)</calculatedColumnFormula>
    </tableColumn>
    <tableColumn id="12" xr3:uid="{BC57DA11-9B5C-452D-8026-EF863D07E32E}" name="نوفمبر" dataDxfId="347" totalsRowDxfId="346">
      <calculatedColumnFormula>SUM($C35:M$36)</calculatedColumnFormula>
    </tableColumn>
    <tableColumn id="13" xr3:uid="{904E02FB-FEA8-49B0-ABA0-9B659A7720D8}" name="ديسمبر" dataDxfId="345" totalsRowDxfId="344">
      <calculatedColumnFormula>SUM($C35:N$36)</calculatedColumnFormula>
    </tableColumn>
    <tableColumn id="14" xr3:uid="{8C10E0BB-4735-4718-9538-C4AFB616D92A}" name="السنة" totalsRowFunction="sum" dataDxfId="343" totalsRowDxfId="342"/>
  </tableColumns>
  <tableStyleInfo name="TableStyleMedium1" showFirstColumn="1" showLastColumn="0" showRowStripes="0" showColumnStripes="0"/>
  <extLst>
    <ext xmlns:x14="http://schemas.microsoft.com/office/spreadsheetml/2009/9/main" uri="{504A1905-F514-4f6f-8877-14C23A59335A}">
      <x14:table altTextSummary="يتم حساب &quot;المصروفات الشهرية&quot; و&quot;المصروفات الإجمالية الفعلية&quot; في هذا الجدول"/>
    </ext>
  </extLst>
</table>
</file>

<file path=xl/tables/table1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فروق_المصروفات" displayName="فروق_المصروفات" ref="B5:O8" totalsRowCount="1" headerRowDxfId="341" dataDxfId="339" totalsRowDxfId="337" headerRowBorderDxfId="340" tableBorderDxfId="338" totalsRowBorderDxfId="336">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تكاليف الموظفين" totalsRowLabel="الإجمالي الفرعي" dataDxfId="335" totalsRowDxfId="334"/>
    <tableColumn id="2" xr3:uid="{00000000-0010-0000-0800-000002000000}" name="يناير" totalsRowFunction="sum" dataDxfId="333" totalsRowDxfId="332">
      <calculatedColumnFormula>INDEX(خطة_الموظفين[],MATCH(INDEX(فروق_المصروفات[],ROW()-ROW(فروق_المصروفات[[#Headers],[يناير]]),1),INDEX(خطة_الموظفين[],,1),0),MATCH(فروق_المصروفات[[#Headers],[يناير]],خطة_الموظفين[#Headers],0))-INDEX(تكاليف_الموظفين_الفعلية[],MATCH(INDEX(فروق_المصروفات[],ROW()-ROW(فروق_المصروفات[[#Headers],[يناير]]),1),INDEX(خطة_الموظفين[],,1),0),MATCH(فروق_المصروفات[[#Headers],[يناير]],تكاليف_الموظفين_الفعلية[#Headers],0))</calculatedColumnFormula>
    </tableColumn>
    <tableColumn id="3" xr3:uid="{00000000-0010-0000-0800-000003000000}" name="فبراير" totalsRowFunction="sum" dataDxfId="331" totalsRowDxfId="330">
      <calculatedColumnFormula>INDEX(خطة_الموظفين[],MATCH(INDEX(فروق_المصروفات[],ROW()-ROW(فروق_المصروفات[[#Headers],[فبراير]]),1),INDEX(خطة_الموظفين[],,1),0),MATCH(فروق_المصروفات[[#Headers],[فبراير]],خطة_الموظفين[#Headers],0))-INDEX(تكاليف_الموظفين_الفعلية[],MATCH(INDEX(فروق_المصروفات[],ROW()-ROW(فروق_المصروفات[[#Headers],[فبراير]]),1),INDEX(خطة_الموظفين[],,1),0),MATCH(فروق_المصروفات[[#Headers],[فبراير]],تكاليف_الموظفين_الفعلية[#Headers],0))</calculatedColumnFormula>
    </tableColumn>
    <tableColumn id="4" xr3:uid="{00000000-0010-0000-0800-000004000000}" name="مارس" totalsRowFunction="sum" dataDxfId="329" totalsRowDxfId="328">
      <calculatedColumnFormula>INDEX(خطة_الموظفين[],MATCH(INDEX(فروق_المصروفات[],ROW()-ROW(فروق_المصروفات[[#Headers],[مارس]]),1),INDEX(خطة_الموظفين[],,1),0),MATCH(فروق_المصروفات[[#Headers],[مارس]],خطة_الموظفين[#Headers],0))-INDEX(تكاليف_الموظفين_الفعلية[],MATCH(INDEX(فروق_المصروفات[],ROW()-ROW(فروق_المصروفات[[#Headers],[مارس]]),1),INDEX(خطة_الموظفين[],,1),0),MATCH(فروق_المصروفات[[#Headers],[مارس]],تكاليف_الموظفين_الفعلية[#Headers],0))</calculatedColumnFormula>
    </tableColumn>
    <tableColumn id="5" xr3:uid="{00000000-0010-0000-0800-000005000000}" name="أبريل" totalsRowFunction="sum" dataDxfId="327" totalsRowDxfId="326">
      <calculatedColumnFormula>INDEX(خطة_الموظفين[],MATCH(INDEX(فروق_المصروفات[],ROW()-ROW(فروق_المصروفات[[#Headers],[أبريل]]),1),INDEX(خطة_الموظفين[],,1),0),MATCH(فروق_المصروفات[[#Headers],[أبريل]],خطة_الموظفين[#Headers],0))-INDEX(تكاليف_الموظفين_الفعلية[],MATCH(INDEX(فروق_المصروفات[],ROW()-ROW(فروق_المصروفات[[#Headers],[أبريل]]),1),INDEX(خطة_الموظفين[],,1),0),MATCH(فروق_المصروفات[[#Headers],[أبريل]],تكاليف_الموظفين_الفعلية[#Headers],0))</calculatedColumnFormula>
    </tableColumn>
    <tableColumn id="6" xr3:uid="{00000000-0010-0000-0800-000006000000}" name="مايو" totalsRowFunction="sum" dataDxfId="325" totalsRowDxfId="324">
      <calculatedColumnFormula>INDEX(خطة_الموظفين[],MATCH(INDEX(فروق_المصروفات[],ROW()-ROW(فروق_المصروفات[[#Headers],[مايو]]),1),INDEX(خطة_الموظفين[],,1),0),MATCH(فروق_المصروفات[[#Headers],[مايو]],خطة_الموظفين[#Headers],0))-INDEX(تكاليف_الموظفين_الفعلية[],MATCH(INDEX(فروق_المصروفات[],ROW()-ROW(فروق_المصروفات[[#Headers],[مايو]]),1),INDEX(خطة_الموظفين[],,1),0),MATCH(فروق_المصروفات[[#Headers],[مايو]],تكاليف_الموظفين_الفعلية[#Headers],0))</calculatedColumnFormula>
    </tableColumn>
    <tableColumn id="7" xr3:uid="{00000000-0010-0000-0800-000007000000}" name="يونيو" totalsRowFunction="sum" dataDxfId="323" totalsRowDxfId="322">
      <calculatedColumnFormula>INDEX(خطة_الموظفين[],MATCH(INDEX(فروق_المصروفات[],ROW()-ROW(فروق_المصروفات[[#Headers],[يونيو]]),1),INDEX(خطة_الموظفين[],,1),0),MATCH(فروق_المصروفات[[#Headers],[يونيو]],خطة_الموظفين[#Headers],0))-INDEX(تكاليف_الموظفين_الفعلية[],MATCH(INDEX(فروق_المصروفات[],ROW()-ROW(فروق_المصروفات[[#Headers],[يونيو]]),1),INDEX(خطة_الموظفين[],,1),0),MATCH(فروق_المصروفات[[#Headers],[يونيو]],تكاليف_الموظفين_الفعلية[#Headers],0))</calculatedColumnFormula>
    </tableColumn>
    <tableColumn id="8" xr3:uid="{00000000-0010-0000-0800-000008000000}" name="يوليو" totalsRowFunction="sum" dataDxfId="321" totalsRowDxfId="320">
      <calculatedColumnFormula>INDEX(خطة_الموظفين[],MATCH(INDEX(فروق_المصروفات[],ROW()-ROW(فروق_المصروفات[[#Headers],[يوليو]]),1),INDEX(خطة_الموظفين[],,1),0),MATCH(فروق_المصروفات[[#Headers],[يوليو]],خطة_الموظفين[#Headers],0))-INDEX(تكاليف_الموظفين_الفعلية[],MATCH(INDEX(فروق_المصروفات[],ROW()-ROW(فروق_المصروفات[[#Headers],[يوليو]]),1),INDEX(خطة_الموظفين[],,1),0),MATCH(فروق_المصروفات[[#Headers],[يوليو]],تكاليف_الموظفين_الفعلية[#Headers],0))</calculatedColumnFormula>
    </tableColumn>
    <tableColumn id="9" xr3:uid="{00000000-0010-0000-0800-000009000000}" name="أغسطس" totalsRowFunction="sum" dataDxfId="319" totalsRowDxfId="318">
      <calculatedColumnFormula>INDEX(خطة_الموظفين[],MATCH(INDEX(فروق_المصروفات[],ROW()-ROW(فروق_المصروفات[[#Headers],[أغسطس]]),1),INDEX(خطة_الموظفين[],,1),0),MATCH(فروق_المصروفات[[#Headers],[أغسطس]],خطة_الموظفين[#Headers],0))-INDEX(تكاليف_الموظفين_الفعلية[],MATCH(INDEX(فروق_المصروفات[],ROW()-ROW(فروق_المصروفات[[#Headers],[أغسطس]]),1),INDEX(خطة_الموظفين[],,1),0),MATCH(فروق_المصروفات[[#Headers],[أغسطس]],تكاليف_الموظفين_الفعلية[#Headers],0))</calculatedColumnFormula>
    </tableColumn>
    <tableColumn id="10" xr3:uid="{00000000-0010-0000-0800-00000A000000}" name="سبتمبر" totalsRowFunction="sum" dataDxfId="317" totalsRowDxfId="316">
      <calculatedColumnFormula>INDEX(خطة_الموظفين[],MATCH(INDEX(فروق_المصروفات[],ROW()-ROW(فروق_المصروفات[[#Headers],[سبتمبر]]),1),INDEX(خطة_الموظفين[],,1),0),MATCH(فروق_المصروفات[[#Headers],[سبتمبر]],خطة_الموظفين[#Headers],0))-INDEX(تكاليف_الموظفين_الفعلية[],MATCH(INDEX(فروق_المصروفات[],ROW()-ROW(فروق_المصروفات[[#Headers],[سبتمبر]]),1),INDEX(خطة_الموظفين[],,1),0),MATCH(فروق_المصروفات[[#Headers],[سبتمبر]],تكاليف_الموظفين_الفعلية[#Headers],0))</calculatedColumnFormula>
    </tableColumn>
    <tableColumn id="11" xr3:uid="{00000000-0010-0000-0800-00000B000000}" name="أكتوبر" totalsRowFunction="sum" dataDxfId="315" totalsRowDxfId="314">
      <calculatedColumnFormula>INDEX(خطة_الموظفين[],MATCH(INDEX(فروق_المصروفات[],ROW()-ROW(فروق_المصروفات[[#Headers],[أكتوبر]]),1),INDEX(خطة_الموظفين[],,1),0),MATCH(فروق_المصروفات[[#Headers],[أكتوبر]],خطة_الموظفين[#Headers],0))-INDEX(تكاليف_الموظفين_الفعلية[],MATCH(INDEX(فروق_المصروفات[],ROW()-ROW(فروق_المصروفات[[#Headers],[أكتوبر]]),1),INDEX(خطة_الموظفين[],,1),0),MATCH(فروق_المصروفات[[#Headers],[أكتوبر]],تكاليف_الموظفين_الفعلية[#Headers],0))</calculatedColumnFormula>
    </tableColumn>
    <tableColumn id="12" xr3:uid="{00000000-0010-0000-0800-00000C000000}" name="نوفمبر" totalsRowFunction="sum" dataDxfId="313" totalsRowDxfId="312">
      <calculatedColumnFormula>INDEX(خطة_الموظفين[],MATCH(INDEX(فروق_المصروفات[],ROW()-ROW(فروق_المصروفات[[#Headers],[نوفمبر]]),1),INDEX(خطة_الموظفين[],,1),0),MATCH(فروق_المصروفات[[#Headers],[نوفمبر]],خطة_الموظفين[#Headers],0))-INDEX(تكاليف_الموظفين_الفعلية[],MATCH(INDEX(فروق_المصروفات[],ROW()-ROW(فروق_المصروفات[[#Headers],[نوفمبر]]),1),INDEX(خطة_الموظفين[],,1),0),MATCH(فروق_المصروفات[[#Headers],[نوفمبر]],تكاليف_الموظفين_الفعلية[#Headers],0))</calculatedColumnFormula>
    </tableColumn>
    <tableColumn id="13" xr3:uid="{00000000-0010-0000-0800-00000D000000}" name="ديسمبر" totalsRowFunction="sum" dataDxfId="311" totalsRowDxfId="310">
      <calculatedColumnFormula>INDEX(خطة_الموظفين[],MATCH(INDEX(فروق_المصروفات[],ROW()-ROW(فروق_المصروفات[[#Headers],[ديسمبر]]),1),INDEX(خطة_الموظفين[],,1),0),MATCH(فروق_المصروفات[[#Headers],[ديسمبر]],خطة_الموظفين[#Headers],0))-INDEX(تكاليف_الموظفين_الفعلية[],MATCH(INDEX(فروق_المصروفات[],ROW()-ROW(فروق_المصروفات[[#Headers],[ديسمبر]]),1),INDEX(خطة_الموظفين[],,1),0),MATCH(فروق_المصروفات[[#Headers],[ديسمبر]],تكاليف_الموظفين_الفعلية[#Headers],0))</calculatedColumnFormula>
    </tableColumn>
    <tableColumn id="14" xr3:uid="{00000000-0010-0000-0800-00000E000000}" name="السنة" totalsRowFunction="sum" dataDxfId="309" totalsRowDxfId="308">
      <calculatedColumnFormula>SUM(فروق_المصروفات[[#This Row],[يناير]:[ديسمبر]])</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يتم حساب الفرق في تكاليف الموظفين شهرياً في هذا الجدول"/>
    </ext>
  </extLst>
</table>
</file>

<file path=xl/tables/table1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فروق_المكتب" displayName="فروق_المكتب" ref="B10:O19" totalsRowCount="1" headerRowDxfId="307" dataDxfId="305" totalsRowDxfId="303" headerRowBorderDxfId="306" tableBorderDxfId="304" totalsRowBorderDxfId="302">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تكاليف المكتب" totalsRowLabel="الإجمالي الفرعي" dataDxfId="301" totalsRowDxfId="300"/>
    <tableColumn id="2" xr3:uid="{00000000-0010-0000-0900-000002000000}" name="يناير" totalsRowFunction="sum" dataDxfId="299" totalsRowDxfId="298">
      <calculatedColumnFormula>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calculatedColumnFormula>
    </tableColumn>
    <tableColumn id="3" xr3:uid="{00000000-0010-0000-0900-000003000000}" name="فبراير" totalsRowFunction="sum" dataDxfId="297" totalsRowDxfId="296">
      <calculatedColumnFormula>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calculatedColumnFormula>
    </tableColumn>
    <tableColumn id="4" xr3:uid="{00000000-0010-0000-0900-000004000000}" name="مارس" totalsRowFunction="sum" dataDxfId="295" totalsRowDxfId="294">
      <calculatedColumnFormula>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calculatedColumnFormula>
    </tableColumn>
    <tableColumn id="5" xr3:uid="{00000000-0010-0000-0900-000005000000}" name="أبريل" totalsRowFunction="sum" dataDxfId="293" totalsRowDxfId="292">
      <calculatedColumnFormula>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calculatedColumnFormula>
    </tableColumn>
    <tableColumn id="6" xr3:uid="{00000000-0010-0000-0900-000006000000}" name="مايو" totalsRowFunction="sum" dataDxfId="291" totalsRowDxfId="290">
      <calculatedColumnFormula>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calculatedColumnFormula>
    </tableColumn>
    <tableColumn id="7" xr3:uid="{00000000-0010-0000-0900-000007000000}" name="يونيو" totalsRowFunction="sum" dataDxfId="289" totalsRowDxfId="288">
      <calculatedColumnFormula>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calculatedColumnFormula>
    </tableColumn>
    <tableColumn id="8" xr3:uid="{00000000-0010-0000-0900-000008000000}" name="يوليو" totalsRowFunction="sum" dataDxfId="287" totalsRowDxfId="286">
      <calculatedColumnFormula>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calculatedColumnFormula>
    </tableColumn>
    <tableColumn id="9" xr3:uid="{00000000-0010-0000-0900-000009000000}" name="أغسطس" totalsRowFunction="sum" dataDxfId="285" totalsRowDxfId="284">
      <calculatedColumnFormula>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calculatedColumnFormula>
    </tableColumn>
    <tableColumn id="10" xr3:uid="{00000000-0010-0000-0900-00000A000000}" name="سبتمبر" totalsRowFunction="sum" dataDxfId="283" totalsRowDxfId="282">
      <calculatedColumnFormula>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calculatedColumnFormula>
    </tableColumn>
    <tableColumn id="11" xr3:uid="{00000000-0010-0000-0900-00000B000000}" name="أكتوبر" totalsRowFunction="sum" dataDxfId="281" totalsRowDxfId="280">
      <calculatedColumnFormula>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calculatedColumnFormula>
    </tableColumn>
    <tableColumn id="12" xr3:uid="{00000000-0010-0000-0900-00000C000000}" name="نوفمبر" totalsRowFunction="sum" dataDxfId="279" totalsRowDxfId="278">
      <calculatedColumnFormula>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calculatedColumnFormula>
    </tableColumn>
    <tableColumn id="13" xr3:uid="{00000000-0010-0000-0900-00000D000000}" name="ديسمبر" totalsRowFunction="sum" dataDxfId="277" totalsRowDxfId="276">
      <calculatedColumnFormula>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calculatedColumnFormula>
    </tableColumn>
    <tableColumn id="14" xr3:uid="{00000000-0010-0000-0900-00000E000000}" name="السنة" totalsRowFunction="sum" dataDxfId="275" totalsRowDxfId="274">
      <calculatedColumnFormula>SUM(فروق_المكتب[[#This Row],[يناير]:[ديسمبر]])</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يتم حساب الفرق في تكاليف المكتب شهرياً في هذا الجدول"/>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فروق_التسويق" displayName="فروق_التسويق" ref="B21:O28" totalsRowCount="1" headerRowDxfId="273" dataDxfId="271" totalsRowDxfId="269" headerRowBorderDxfId="272" tableBorderDxfId="270" totalsRowBorderDxfId="268">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تكاليف التسويق" totalsRowLabel="الإجمالي الفرعي" dataDxfId="267" totalsRowDxfId="266"/>
    <tableColumn id="2" xr3:uid="{00000000-0010-0000-0A00-000002000000}" name="يناير" totalsRowFunction="sum" dataDxfId="265" totalsRowDxfId="264">
      <calculatedColumnFormula>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calculatedColumnFormula>
    </tableColumn>
    <tableColumn id="3" xr3:uid="{00000000-0010-0000-0A00-000003000000}" name="فبراير" totalsRowFunction="sum" dataDxfId="263" totalsRowDxfId="262">
      <calculatedColumnFormula>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calculatedColumnFormula>
    </tableColumn>
    <tableColumn id="4" xr3:uid="{00000000-0010-0000-0A00-000004000000}" name="مارس" totalsRowFunction="sum" dataDxfId="261" totalsRowDxfId="260">
      <calculatedColumnFormula>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calculatedColumnFormula>
    </tableColumn>
    <tableColumn id="5" xr3:uid="{00000000-0010-0000-0A00-000005000000}" name="أبريل" totalsRowFunction="sum" dataDxfId="259" totalsRowDxfId="258">
      <calculatedColumnFormula>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calculatedColumnFormula>
    </tableColumn>
    <tableColumn id="6" xr3:uid="{00000000-0010-0000-0A00-000006000000}" name="مايو" totalsRowFunction="sum" dataDxfId="257" totalsRowDxfId="256">
      <calculatedColumnFormula>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calculatedColumnFormula>
    </tableColumn>
    <tableColumn id="7" xr3:uid="{00000000-0010-0000-0A00-000007000000}" name="يونيو" totalsRowFunction="sum" dataDxfId="255" totalsRowDxfId="254">
      <calculatedColumnFormula>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calculatedColumnFormula>
    </tableColumn>
    <tableColumn id="8" xr3:uid="{00000000-0010-0000-0A00-000008000000}" name="يوليو" totalsRowFunction="sum" dataDxfId="253" totalsRowDxfId="252">
      <calculatedColumnFormula>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calculatedColumnFormula>
    </tableColumn>
    <tableColumn id="9" xr3:uid="{00000000-0010-0000-0A00-000009000000}" name="أغسطس" totalsRowFunction="sum" dataDxfId="251" totalsRowDxfId="250">
      <calculatedColumnFormula>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calculatedColumnFormula>
    </tableColumn>
    <tableColumn id="10" xr3:uid="{00000000-0010-0000-0A00-00000A000000}" name="سبتمبر" totalsRowFunction="sum" dataDxfId="249" totalsRowDxfId="248">
      <calculatedColumnFormula>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calculatedColumnFormula>
    </tableColumn>
    <tableColumn id="11" xr3:uid="{00000000-0010-0000-0A00-00000B000000}" name="أكتوبر" totalsRowFunction="sum" dataDxfId="247" totalsRowDxfId="246">
      <calculatedColumnFormula>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calculatedColumnFormula>
    </tableColumn>
    <tableColumn id="12" xr3:uid="{00000000-0010-0000-0A00-00000C000000}" name="نوفمبر" totalsRowFunction="sum" dataDxfId="245" totalsRowDxfId="244">
      <calculatedColumnFormula>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calculatedColumnFormula>
    </tableColumn>
    <tableColumn id="13" xr3:uid="{00000000-0010-0000-0A00-00000D000000}" name="ديسمبر" totalsRowFunction="sum" dataDxfId="243" totalsRowDxfId="242">
      <calculatedColumnFormula>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calculatedColumnFormula>
    </tableColumn>
    <tableColumn id="14" xr3:uid="{00000000-0010-0000-0A00-00000E000000}" name="السنة" totalsRowFunction="sum" dataDxfId="241" totalsRowDxfId="240">
      <calculatedColumnFormula>SUM(فروق_التسويق[[#This Row],[يناير]:[ديسمبر]])</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يتم حساب الفرق في تكاليف التسويق شهرياً في هذا الجدول"/>
    </ext>
  </extLst>
</table>
</file>

<file path=xl/tables/table14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فروق_السفر_والتدريب" displayName="فروق_السفر_والتدريب" ref="B30:O33" totalsRowCount="1" headerRowDxfId="239" dataDxfId="237" totalsRowDxfId="235" headerRowBorderDxfId="238" tableBorderDxfId="236" totalsRowBorderDxfId="234">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التدريب/السفر" totalsRowLabel="الإجمالي الفرعي" dataDxfId="233" totalsRowDxfId="232"/>
    <tableColumn id="2" xr3:uid="{00000000-0010-0000-0B00-000002000000}" name="يناير" totalsRowFunction="sum" dataDxfId="231" totalsRowDxfId="230">
      <calculatedColumnFormula>INDEX(خطة_السفر_والتدريب[],MATCH(INDEX(فروق_السفر_والتدريب[],ROW()-ROW(فروق_السفر_والتدريب[[#Headers],[يناير]]),1),INDEX(خطة_السفر_والتدريب[],,1),0),MATCH(فروق_السفر_والتدريب[[#Headers],[يناير]],خطة_السفر_والتدريب[#Headers],0))-INDEX(التدريب_والسفر_الفعليين[],MATCH(INDEX(فروق_السفر_والتدريب[],ROW()-ROW(فروق_السفر_والتدريب[[#Headers],[يناير]]),1),INDEX(خطة_السفر_والتدريب[],,1),0),MATCH(فروق_السفر_والتدريب[[#Headers],[يناير]],التدريب_والسفر_الفعليين[#Headers],0))</calculatedColumnFormula>
    </tableColumn>
    <tableColumn id="3" xr3:uid="{00000000-0010-0000-0B00-000003000000}" name="فبراير" totalsRowFunction="sum" dataDxfId="229" totalsRowDxfId="228">
      <calculatedColumnFormula>INDEX(خطة_السفر_والتدريب[],MATCH(INDEX(فروق_السفر_والتدريب[],ROW()-ROW(فروق_السفر_والتدريب[[#Headers],[فبراير]]),1),INDEX(خطة_السفر_والتدريب[],,1),0),MATCH(فروق_السفر_والتدريب[[#Headers],[فبراير]],خطة_السفر_والتدريب[#Headers],0))-INDEX(التدريب_والسفر_الفعليين[],MATCH(INDEX(فروق_السفر_والتدريب[],ROW()-ROW(فروق_السفر_والتدريب[[#Headers],[فبراير]]),1),INDEX(خطة_السفر_والتدريب[],,1),0),MATCH(فروق_السفر_والتدريب[[#Headers],[فبراير]],التدريب_والسفر_الفعليين[#Headers],0))</calculatedColumnFormula>
    </tableColumn>
    <tableColumn id="4" xr3:uid="{00000000-0010-0000-0B00-000004000000}" name="مارس" totalsRowFunction="sum" dataDxfId="227" totalsRowDxfId="226">
      <calculatedColumnFormula>INDEX(خطة_السفر_والتدريب[],MATCH(INDEX(فروق_السفر_والتدريب[],ROW()-ROW(فروق_السفر_والتدريب[[#Headers],[مارس]]),1),INDEX(خطة_السفر_والتدريب[],,1),0),MATCH(فروق_السفر_والتدريب[[#Headers],[مارس]],خطة_السفر_والتدريب[#Headers],0))-INDEX(التدريب_والسفر_الفعليين[],MATCH(INDEX(فروق_السفر_والتدريب[],ROW()-ROW(فروق_السفر_والتدريب[[#Headers],[مارس]]),1),INDEX(خطة_السفر_والتدريب[],,1),0),MATCH(فروق_السفر_والتدريب[[#Headers],[مارس]],التدريب_والسفر_الفعليين[#Headers],0))</calculatedColumnFormula>
    </tableColumn>
    <tableColumn id="5" xr3:uid="{00000000-0010-0000-0B00-000005000000}" name="أبريل" totalsRowFunction="sum" dataDxfId="225" totalsRowDxfId="224">
      <calculatedColumnFormula>INDEX(خطة_السفر_والتدريب[],MATCH(INDEX(فروق_السفر_والتدريب[],ROW()-ROW(فروق_السفر_والتدريب[[#Headers],[أبريل]]),1),INDEX(خطة_السفر_والتدريب[],,1),0),MATCH(فروق_السفر_والتدريب[[#Headers],[أبريل]],خطة_السفر_والتدريب[#Headers],0))-INDEX(التدريب_والسفر_الفعليين[],MATCH(INDEX(فروق_السفر_والتدريب[],ROW()-ROW(فروق_السفر_والتدريب[[#Headers],[أبريل]]),1),INDEX(خطة_السفر_والتدريب[],,1),0),MATCH(فروق_السفر_والتدريب[[#Headers],[أبريل]],التدريب_والسفر_الفعليين[#Headers],0))</calculatedColumnFormula>
    </tableColumn>
    <tableColumn id="6" xr3:uid="{00000000-0010-0000-0B00-000006000000}" name="مايو" totalsRowFunction="sum" dataDxfId="223" totalsRowDxfId="222">
      <calculatedColumnFormula>INDEX(خطة_السفر_والتدريب[],MATCH(INDEX(فروق_السفر_والتدريب[],ROW()-ROW(فروق_السفر_والتدريب[[#Headers],[مايو]]),1),INDEX(خطة_السفر_والتدريب[],,1),0),MATCH(فروق_السفر_والتدريب[[#Headers],[مايو]],خطة_السفر_والتدريب[#Headers],0))-INDEX(التدريب_والسفر_الفعليين[],MATCH(INDEX(فروق_السفر_والتدريب[],ROW()-ROW(فروق_السفر_والتدريب[[#Headers],[مايو]]),1),INDEX(خطة_السفر_والتدريب[],,1),0),MATCH(فروق_السفر_والتدريب[[#Headers],[مايو]],التدريب_والسفر_الفعليين[#Headers],0))</calculatedColumnFormula>
    </tableColumn>
    <tableColumn id="7" xr3:uid="{00000000-0010-0000-0B00-000007000000}" name="يونيو" totalsRowFunction="sum" dataDxfId="221" totalsRowDxfId="220">
      <calculatedColumnFormula>INDEX(خطة_السفر_والتدريب[],MATCH(INDEX(فروق_السفر_والتدريب[],ROW()-ROW(فروق_السفر_والتدريب[[#Headers],[يونيو]]),1),INDEX(خطة_السفر_والتدريب[],,1),0),MATCH(فروق_السفر_والتدريب[[#Headers],[يونيو]],خطة_السفر_والتدريب[#Headers],0))-INDEX(التدريب_والسفر_الفعليين[],MATCH(INDEX(فروق_السفر_والتدريب[],ROW()-ROW(فروق_السفر_والتدريب[[#Headers],[يونيو]]),1),INDEX(خطة_السفر_والتدريب[],,1),0),MATCH(فروق_السفر_والتدريب[[#Headers],[يونيو]],التدريب_والسفر_الفعليين[#Headers],0))</calculatedColumnFormula>
    </tableColumn>
    <tableColumn id="8" xr3:uid="{00000000-0010-0000-0B00-000008000000}" name="يوليو" totalsRowFunction="sum" dataDxfId="219" totalsRowDxfId="218">
      <calculatedColumnFormula>INDEX(خطة_السفر_والتدريب[],MATCH(INDEX(فروق_السفر_والتدريب[],ROW()-ROW(فروق_السفر_والتدريب[[#Headers],[يوليو]]),1),INDEX(خطة_السفر_والتدريب[],,1),0),MATCH(فروق_السفر_والتدريب[[#Headers],[يوليو]],خطة_السفر_والتدريب[#Headers],0))-INDEX(التدريب_والسفر_الفعليين[],MATCH(INDEX(فروق_السفر_والتدريب[],ROW()-ROW(فروق_السفر_والتدريب[[#Headers],[يوليو]]),1),INDEX(خطة_السفر_والتدريب[],,1),0),MATCH(فروق_السفر_والتدريب[[#Headers],[يوليو]],التدريب_والسفر_الفعليين[#Headers],0))</calculatedColumnFormula>
    </tableColumn>
    <tableColumn id="9" xr3:uid="{00000000-0010-0000-0B00-000009000000}" name="أغسطس" totalsRowFunction="sum" dataDxfId="217" totalsRowDxfId="216">
      <calculatedColumnFormula>INDEX(خطة_السفر_والتدريب[],MATCH(INDEX(فروق_السفر_والتدريب[],ROW()-ROW(فروق_السفر_والتدريب[[#Headers],[أغسطس]]),1),INDEX(خطة_السفر_والتدريب[],,1),0),MATCH(فروق_السفر_والتدريب[[#Headers],[أغسطس]],خطة_السفر_والتدريب[#Headers],0))-INDEX(التدريب_والسفر_الفعليين[],MATCH(INDEX(فروق_السفر_والتدريب[],ROW()-ROW(فروق_السفر_والتدريب[[#Headers],[أغسطس]]),1),INDEX(خطة_السفر_والتدريب[],,1),0),MATCH(فروق_السفر_والتدريب[[#Headers],[أغسطس]],التدريب_والسفر_الفعليين[#Headers],0))</calculatedColumnFormula>
    </tableColumn>
    <tableColumn id="10" xr3:uid="{00000000-0010-0000-0B00-00000A000000}" name="سبتمبر" totalsRowFunction="sum" dataDxfId="215" totalsRowDxfId="214">
      <calculatedColumnFormula>INDEX(خطة_السفر_والتدريب[],MATCH(INDEX(فروق_السفر_والتدريب[],ROW()-ROW(فروق_السفر_والتدريب[[#Headers],[سبتمبر]]),1),INDEX(خطة_السفر_والتدريب[],,1),0),MATCH(فروق_السفر_والتدريب[[#Headers],[سبتمبر]],خطة_السفر_والتدريب[#Headers],0))-INDEX(التدريب_والسفر_الفعليين[],MATCH(INDEX(فروق_السفر_والتدريب[],ROW()-ROW(فروق_السفر_والتدريب[[#Headers],[سبتمبر]]),1),INDEX(خطة_السفر_والتدريب[],,1),0),MATCH(فروق_السفر_والتدريب[[#Headers],[سبتمبر]],التدريب_والسفر_الفعليين[#Headers],0))</calculatedColumnFormula>
    </tableColumn>
    <tableColumn id="11" xr3:uid="{00000000-0010-0000-0B00-00000B000000}" name="أكتوبر" totalsRowFunction="sum" dataDxfId="213" totalsRowDxfId="212">
      <calculatedColumnFormula>INDEX(خطة_السفر_والتدريب[],MATCH(INDEX(فروق_السفر_والتدريب[],ROW()-ROW(فروق_السفر_والتدريب[[#Headers],[أكتوبر]]),1),INDEX(خطة_السفر_والتدريب[],,1),0),MATCH(فروق_السفر_والتدريب[[#Headers],[أكتوبر]],خطة_السفر_والتدريب[#Headers],0))-INDEX(التدريب_والسفر_الفعليين[],MATCH(INDEX(فروق_السفر_والتدريب[],ROW()-ROW(فروق_السفر_والتدريب[[#Headers],[أكتوبر]]),1),INDEX(خطة_السفر_والتدريب[],,1),0),MATCH(فروق_السفر_والتدريب[[#Headers],[أكتوبر]],التدريب_والسفر_الفعليين[#Headers],0))</calculatedColumnFormula>
    </tableColumn>
    <tableColumn id="12" xr3:uid="{00000000-0010-0000-0B00-00000C000000}" name="نوفمبر" totalsRowFunction="sum" dataDxfId="211" totalsRowDxfId="210">
      <calculatedColumnFormula>INDEX(خطة_السفر_والتدريب[],MATCH(INDEX(فروق_السفر_والتدريب[],ROW()-ROW(فروق_السفر_والتدريب[[#Headers],[نوفمبر]]),1),INDEX(خطة_السفر_والتدريب[],,1),0),MATCH(فروق_السفر_والتدريب[[#Headers],[نوفمبر]],خطة_السفر_والتدريب[#Headers],0))-INDEX(التدريب_والسفر_الفعليين[],MATCH(INDEX(فروق_السفر_والتدريب[],ROW()-ROW(فروق_السفر_والتدريب[[#Headers],[نوفمبر]]),1),INDEX(خطة_السفر_والتدريب[],,1),0),MATCH(فروق_السفر_والتدريب[[#Headers],[نوفمبر]],التدريب_والسفر_الفعليين[#Headers],0))</calculatedColumnFormula>
    </tableColumn>
    <tableColumn id="13" xr3:uid="{00000000-0010-0000-0B00-00000D000000}" name="ديسمبر" totalsRowFunction="sum" dataDxfId="209" totalsRowDxfId="208">
      <calculatedColumnFormula>INDEX(خطة_السفر_والتدريب[],MATCH(INDEX(فروق_السفر_والتدريب[],ROW()-ROW(فروق_السفر_والتدريب[[#Headers],[ديسمبر]]),1),INDEX(خطة_السفر_والتدريب[],,1),0),MATCH(فروق_السفر_والتدريب[[#Headers],[ديسمبر]],خطة_السفر_والتدريب[#Headers],0))-INDEX(التدريب_والسفر_الفعليين[],MATCH(INDEX(فروق_السفر_والتدريب[],ROW()-ROW(فروق_السفر_والتدريب[[#Headers],[ديسمبر]]),1),INDEX(خطة_السفر_والتدريب[],,1),0),MATCH(فروق_السفر_والتدريب[[#Headers],[ديسمبر]],التدريب_والسفر_الفعليين[#Headers],0))</calculatedColumnFormula>
    </tableColumn>
    <tableColumn id="14" xr3:uid="{00000000-0010-0000-0B00-00000E000000}" name="السنة" totalsRowFunction="sum" dataDxfId="207" totalsRowDxfId="206">
      <calculatedColumnFormula>SUM(فروق_السفر_والتدريب[[#This Row],[يناير]:[ديسمبر]])</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يتم حساب الفرق في تكاليف السفر والتدريب شهرياً في هذا الجدول"/>
    </ext>
  </extLst>
</table>
</file>

<file path=xl/tables/table15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إجمالي_الفروق" displayName="إجمالي_الفروق" ref="B35:O37" headerRowDxfId="205" dataDxfId="204" totalsRowDxfId="202" tableBorderDxfId="203">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الإجماليات" totalsRowLabel="الإجمالي" dataDxfId="201" totalsRowDxfId="200"/>
    <tableColumn id="2" xr3:uid="{AE0C21A5-398B-42DE-950D-8AE4AD1A8551}" name="يناير" dataDxfId="199" totalsRowDxfId="198">
      <calculatedColumnFormula>SUM($C35:C$36)</calculatedColumnFormula>
    </tableColumn>
    <tableColumn id="3" xr3:uid="{A43B0B0E-F35F-4E04-8A0D-11BB7356D5F1}" name="فبراير" dataDxfId="197" totalsRowDxfId="196">
      <calculatedColumnFormula>SUM($C35:D$36)</calculatedColumnFormula>
    </tableColumn>
    <tableColumn id="4" xr3:uid="{F14459A4-8E61-4E04-9A53-A7DA16CE366A}" name="مارس" dataDxfId="195" totalsRowDxfId="194">
      <calculatedColumnFormula>SUM($C35:E$36)</calculatedColumnFormula>
    </tableColumn>
    <tableColumn id="5" xr3:uid="{1C90C974-8801-4A11-B3AF-1DC144BB0C14}" name="أبريل" dataDxfId="193" totalsRowDxfId="192">
      <calculatedColumnFormula>SUM($C35:F$36)</calculatedColumnFormula>
    </tableColumn>
    <tableColumn id="6" xr3:uid="{C8E3F4F6-5F27-4CC7-9916-6D86833782C1}" name="مايو" dataDxfId="191" totalsRowDxfId="190">
      <calculatedColumnFormula>SUM($C35:G$36)</calculatedColumnFormula>
    </tableColumn>
    <tableColumn id="7" xr3:uid="{AF75D92B-7578-4087-BB78-DD5AD8165117}" name="يونيو" dataDxfId="189" totalsRowDxfId="188">
      <calculatedColumnFormula>SUM($C35:H$36)</calculatedColumnFormula>
    </tableColumn>
    <tableColumn id="8" xr3:uid="{35F61ABA-09FB-4695-B0F5-A2C6B6580A2E}" name="يوليو" dataDxfId="187" totalsRowDxfId="186">
      <calculatedColumnFormula>SUM($C35:I$36)</calculatedColumnFormula>
    </tableColumn>
    <tableColumn id="9" xr3:uid="{59F62437-45DC-439F-945A-D0E79C444E8E}" name="أغسطس" dataDxfId="185" totalsRowDxfId="184">
      <calculatedColumnFormula>SUM($C35:J$36)</calculatedColumnFormula>
    </tableColumn>
    <tableColumn id="10" xr3:uid="{2BF9DCC5-B211-44A6-BD40-E91602CDA85C}" name="سبتمبر" dataDxfId="183" totalsRowDxfId="182">
      <calculatedColumnFormula>SUM($C35:K$36)</calculatedColumnFormula>
    </tableColumn>
    <tableColumn id="11" xr3:uid="{4280684A-CD23-4103-8664-029757D0A2A2}" name="أكتوبر" dataDxfId="181" totalsRowDxfId="180">
      <calculatedColumnFormula>SUM($C35:L$36)</calculatedColumnFormula>
    </tableColumn>
    <tableColumn id="12" xr3:uid="{07DED434-EC8F-4DAF-83E3-E350A33F2EAE}" name="نوفمبر" dataDxfId="179" totalsRowDxfId="178">
      <calculatedColumnFormula>SUM($C35:M$36)</calculatedColumnFormula>
    </tableColumn>
    <tableColumn id="13" xr3:uid="{32BA0102-0F05-43CF-91BA-724F1FE01DAA}" name="ديسمبر" dataDxfId="177" totalsRowDxfId="176">
      <calculatedColumnFormula>SUM($C35:N$36)</calculatedColumnFormula>
    </tableColumn>
    <tableColumn id="14" xr3:uid="{57A0D710-AEB8-4057-928D-010058E02081}" name="السنة" totalsRowFunction="sum" dataDxfId="175" totalsRowDxfId="174"/>
  </tableColumns>
  <tableStyleInfo showFirstColumn="1" showLastColumn="0" showRowStripes="0" showColumnStripes="0"/>
  <extLst>
    <ext xmlns:x14="http://schemas.microsoft.com/office/spreadsheetml/2009/9/main" uri="{504A1905-F514-4f6f-8877-14C23A59335A}">
      <x14:table altTextSummary="يتم حساب &quot;الفروق الشهرية&quot; و&quot;فروق المصروفات الإجمالية&quot; في هذا الجدول"/>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خطة_المكتب" displayName="خطة_المكتب" ref="B10:O19" totalsRowCount="1" headerRowDxfId="131" dataDxfId="129" totalsRowDxfId="130" headerRowBorderDxfId="524" tableBorderDxfId="523" totalsRowBorderDxfId="522">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تكاليف المكتب" totalsRowLabel="الإجمالي الفرعي" dataDxfId="159" totalsRowDxfId="158"/>
    <tableColumn id="2" xr3:uid="{00000000-0010-0000-0000-000002000000}" name="يناير" totalsRowFunction="sum" dataDxfId="157" totalsRowDxfId="156"/>
    <tableColumn id="3" xr3:uid="{00000000-0010-0000-0000-000003000000}" name="فبراير" totalsRowFunction="sum" dataDxfId="155" totalsRowDxfId="154"/>
    <tableColumn id="4" xr3:uid="{00000000-0010-0000-0000-000004000000}" name="مارس" totalsRowFunction="sum" dataDxfId="153" totalsRowDxfId="152"/>
    <tableColumn id="5" xr3:uid="{00000000-0010-0000-0000-000005000000}" name="أبريل" totalsRowFunction="sum" dataDxfId="151" totalsRowDxfId="150"/>
    <tableColumn id="6" xr3:uid="{00000000-0010-0000-0000-000006000000}" name="مايو" totalsRowFunction="sum" dataDxfId="149" totalsRowDxfId="148"/>
    <tableColumn id="7" xr3:uid="{00000000-0010-0000-0000-000007000000}" name="يونيو" totalsRowFunction="sum" dataDxfId="147" totalsRowDxfId="146"/>
    <tableColumn id="8" xr3:uid="{00000000-0010-0000-0000-000008000000}" name="يوليو" totalsRowFunction="sum" dataDxfId="145" totalsRowDxfId="144"/>
    <tableColumn id="9" xr3:uid="{00000000-0010-0000-0000-000009000000}" name="أغسطس" totalsRowFunction="sum" dataDxfId="143" totalsRowDxfId="142"/>
    <tableColumn id="10" xr3:uid="{00000000-0010-0000-0000-00000A000000}" name="سبتمبر" totalsRowFunction="sum" dataDxfId="141" totalsRowDxfId="140"/>
    <tableColumn id="11" xr3:uid="{00000000-0010-0000-0000-00000B000000}" name="أكتوبر" totalsRowFunction="sum" dataDxfId="139" totalsRowDxfId="138"/>
    <tableColumn id="12" xr3:uid="{00000000-0010-0000-0000-00000C000000}" name="نوفمبر" totalsRowFunction="sum" dataDxfId="137" totalsRowDxfId="136"/>
    <tableColumn id="13" xr3:uid="{00000000-0010-0000-0000-00000D000000}" name="ديسمبر" totalsRowFunction="sum" dataDxfId="135" totalsRowDxfId="134"/>
    <tableColumn id="14" xr3:uid="{00000000-0010-0000-0000-00000E000000}" name="السنة" totalsRowFunction="sum" dataDxfId="133" totalsRowDxfId="132">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أدخل تكاليف المكتب الشهرية المخططة في هذا الجدول. الإجمالي محسوب تلقائيًا في النهاية"/>
    </ext>
  </extLst>
</table>
</file>

<file path=xl/tables/table1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التحليل" displayName="التحليل" ref="B5:F10" headerRowDxfId="173" dataDxfId="172" totalsRowDxfId="170" tableBorderDxfId="171">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فئة المصروفات" totalsRowLabel="الإجمالي" dataDxfId="169" totalsRowDxfId="168"/>
    <tableColumn id="2" xr3:uid="{71038352-BC76-49DD-9F6C-B394E5F033ED}" name="المصروفات المخططة" dataDxfId="167" totalsRowDxfId="166"/>
    <tableColumn id="3" xr3:uid="{19ED3EBC-BC10-47F6-9800-62129A32BC8E}" name="المصاريف الفعلية" dataDxfId="165" totalsRowDxfId="164"/>
    <tableColumn id="4" xr3:uid="{E8D5E1DD-7CB1-4A1A-8F42-EFBF70790FE7}" name="فروق المصاريف" dataDxfId="163" totalsRowDxfId="162">
      <calculatedColumnFormula>C6-D6</calculatedColumnFormula>
    </tableColumn>
    <tableColumn id="5" xr3:uid="{47E1881E-12A2-4F0E-8364-B79F2DC5D0B1}" name="نسبة الفرق" totalsRowFunction="sum" dataDxfId="161" totalsRowDxfId="160">
      <calculatedColumnFormula>E6/C6</calculatedColumnFormula>
    </tableColumn>
  </tableColumns>
  <tableStyleInfo showFirstColumn="1" showLastColumn="0" showRowStripes="0"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خطة_التسويق" displayName="خطة_التسويق" ref="B21:O28" totalsRowCount="1" headerRowDxfId="100" dataDxfId="98" totalsRowDxfId="99" headerRowBorderDxfId="521" tableBorderDxfId="520" totalsRowBorderDxfId="519">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تكاليف التسويق" totalsRowLabel="الإجمالي الفرعي" dataDxfId="128" totalsRowDxfId="127"/>
    <tableColumn id="2" xr3:uid="{00000000-0010-0000-0100-000002000000}" name="يناير" totalsRowFunction="sum" dataDxfId="126" totalsRowDxfId="125"/>
    <tableColumn id="3" xr3:uid="{00000000-0010-0000-0100-000003000000}" name="فبراير" totalsRowFunction="sum" dataDxfId="124" totalsRowDxfId="123"/>
    <tableColumn id="4" xr3:uid="{00000000-0010-0000-0100-000004000000}" name="مارس" totalsRowFunction="sum" dataDxfId="122" totalsRowDxfId="121"/>
    <tableColumn id="5" xr3:uid="{00000000-0010-0000-0100-000005000000}" name="أبريل" totalsRowFunction="sum" dataDxfId="120" totalsRowDxfId="119"/>
    <tableColumn id="6" xr3:uid="{00000000-0010-0000-0100-000006000000}" name="مايو" totalsRowFunction="sum" dataDxfId="118" totalsRowDxfId="117"/>
    <tableColumn id="7" xr3:uid="{00000000-0010-0000-0100-000007000000}" name="يونيو" totalsRowFunction="sum" dataDxfId="116" totalsRowDxfId="115"/>
    <tableColumn id="8" xr3:uid="{00000000-0010-0000-0100-000008000000}" name="يوليو" totalsRowFunction="sum" dataDxfId="114" totalsRowDxfId="113"/>
    <tableColumn id="9" xr3:uid="{00000000-0010-0000-0100-000009000000}" name="أغسطس" totalsRowFunction="sum" dataDxfId="112" totalsRowDxfId="111"/>
    <tableColumn id="10" xr3:uid="{00000000-0010-0000-0100-00000A000000}" name="سبتمبر" totalsRowFunction="sum" dataDxfId="110" totalsRowDxfId="109"/>
    <tableColumn id="11" xr3:uid="{00000000-0010-0000-0100-00000B000000}" name="أكتوبر" totalsRowFunction="sum" dataDxfId="108" totalsRowDxfId="107"/>
    <tableColumn id="12" xr3:uid="{00000000-0010-0000-0100-00000C000000}" name="نوفمبر" totalsRowFunction="sum" dataDxfId="106" totalsRowDxfId="105"/>
    <tableColumn id="13" xr3:uid="{00000000-0010-0000-0100-00000D000000}" name="ديسمبر" totalsRowFunction="sum" dataDxfId="104" totalsRowDxfId="103"/>
    <tableColumn id="14" xr3:uid="{00000000-0010-0000-0100-00000E000000}" name="السنة" totalsRowFunction="sum" dataDxfId="102" totalsRowDxfId="101">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تكاليف التسويق الشهرية المخططة في هذا الجدول. الإجمالي محسوب تلقائيًا في النهاية"/>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خطة_السفر_والتدريب" displayName="خطة_السفر_والتدريب" ref="B30:O33" totalsRowCount="1" headerRowDxfId="69" dataDxfId="67" totalsRowDxfId="68" headerRowBorderDxfId="518" tableBorderDxfId="517" totalsRowBorderDxfId="516">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التدريب/السفر" totalsRowLabel="الإجمالي الفرعي" dataDxfId="97" totalsRowDxfId="96"/>
    <tableColumn id="2" xr3:uid="{00000000-0010-0000-0200-000002000000}" name="يناير" totalsRowFunction="sum" dataDxfId="95" totalsRowDxfId="94"/>
    <tableColumn id="3" xr3:uid="{00000000-0010-0000-0200-000003000000}" name="فبراير" totalsRowFunction="sum" dataDxfId="93" totalsRowDxfId="92"/>
    <tableColumn id="4" xr3:uid="{00000000-0010-0000-0200-000004000000}" name="مارس" totalsRowFunction="sum" dataDxfId="91" totalsRowDxfId="90"/>
    <tableColumn id="5" xr3:uid="{00000000-0010-0000-0200-000005000000}" name="أبريل" totalsRowFunction="sum" dataDxfId="89" totalsRowDxfId="88"/>
    <tableColumn id="6" xr3:uid="{00000000-0010-0000-0200-000006000000}" name="مايو" totalsRowFunction="sum" dataDxfId="87" totalsRowDxfId="86"/>
    <tableColumn id="7" xr3:uid="{00000000-0010-0000-0200-000007000000}" name="يونيو" totalsRowFunction="sum" dataDxfId="85" totalsRowDxfId="84"/>
    <tableColumn id="8" xr3:uid="{00000000-0010-0000-0200-000008000000}" name="يوليو" totalsRowFunction="sum" dataDxfId="83" totalsRowDxfId="82"/>
    <tableColumn id="9" xr3:uid="{00000000-0010-0000-0200-000009000000}" name="أغسطس" totalsRowFunction="sum" dataDxfId="81" totalsRowDxfId="80"/>
    <tableColumn id="10" xr3:uid="{00000000-0010-0000-0200-00000A000000}" name="سبتمبر" totalsRowFunction="sum" dataDxfId="79" totalsRowDxfId="78"/>
    <tableColumn id="11" xr3:uid="{00000000-0010-0000-0200-00000B000000}" name="أكتوبر" totalsRowFunction="sum" dataDxfId="77" totalsRowDxfId="76"/>
    <tableColumn id="12" xr3:uid="{00000000-0010-0000-0200-00000C000000}" name="نوفمبر" totalsRowFunction="sum" dataDxfId="75" totalsRowDxfId="74"/>
    <tableColumn id="13" xr3:uid="{00000000-0010-0000-0200-00000D000000}" name="ديسمبر" totalsRowFunction="sum" dataDxfId="73" totalsRowDxfId="72"/>
    <tableColumn id="14" xr3:uid="{00000000-0010-0000-0200-00000E000000}" name="السنة" totalsRowFunction="sum" dataDxfId="71" totalsRowDxfId="70">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تكاليف السفر والتدريب الشهري المخطط في هذا الجدول. الإجمالي محسوب تلقائيًا في النهاية"/>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خطة_الموظفين" displayName="خطة_الموظفين" ref="B5:O8" totalsRowCount="1" headerRowDxfId="38" dataDxfId="36" totalsRowDxfId="37" headerRowBorderDxfId="515" tableBorderDxfId="514" totalsRowBorderDxfId="513">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تكاليف الموظفين" totalsRowLabel="الإجمالي الفرعي" dataDxfId="66" totalsRowDxfId="65"/>
    <tableColumn id="2" xr3:uid="{00000000-0010-0000-0300-000002000000}" name="يناير" totalsRowFunction="sum" dataDxfId="64" totalsRowDxfId="63">
      <calculatedColumnFormula>C5*0.27</calculatedColumnFormula>
    </tableColumn>
    <tableColumn id="3" xr3:uid="{00000000-0010-0000-0300-000003000000}" name="فبراير" totalsRowFunction="sum" dataDxfId="62" totalsRowDxfId="61">
      <calculatedColumnFormula>D5*0.27</calculatedColumnFormula>
    </tableColumn>
    <tableColumn id="4" xr3:uid="{00000000-0010-0000-0300-000004000000}" name="مارس" totalsRowFunction="sum" dataDxfId="60" totalsRowDxfId="59">
      <calculatedColumnFormula>E5*0.27</calculatedColumnFormula>
    </tableColumn>
    <tableColumn id="5" xr3:uid="{00000000-0010-0000-0300-000005000000}" name="أبريل" totalsRowFunction="sum" dataDxfId="58" totalsRowDxfId="57">
      <calculatedColumnFormula>F5*0.27</calculatedColumnFormula>
    </tableColumn>
    <tableColumn id="6" xr3:uid="{00000000-0010-0000-0300-000006000000}" name="مايو" totalsRowFunction="sum" dataDxfId="56" totalsRowDxfId="55">
      <calculatedColumnFormula>G5*0.27</calculatedColumnFormula>
    </tableColumn>
    <tableColumn id="7" xr3:uid="{00000000-0010-0000-0300-000007000000}" name="يونيو" totalsRowFunction="sum" dataDxfId="54" totalsRowDxfId="53">
      <calculatedColumnFormula>H5*0.27</calculatedColumnFormula>
    </tableColumn>
    <tableColumn id="8" xr3:uid="{00000000-0010-0000-0300-000008000000}" name="يوليو" totalsRowFunction="sum" dataDxfId="52" totalsRowDxfId="51">
      <calculatedColumnFormula>I5*0.27</calculatedColumnFormula>
    </tableColumn>
    <tableColumn id="9" xr3:uid="{00000000-0010-0000-0300-000009000000}" name="أغسطس" totalsRowFunction="sum" dataDxfId="50" totalsRowDxfId="49">
      <calculatedColumnFormula>J5*0.27</calculatedColumnFormula>
    </tableColumn>
    <tableColumn id="10" xr3:uid="{00000000-0010-0000-0300-00000A000000}" name="سبتمبر" totalsRowFunction="sum" dataDxfId="48" totalsRowDxfId="47">
      <calculatedColumnFormula>K5*0.27</calculatedColumnFormula>
    </tableColumn>
    <tableColumn id="11" xr3:uid="{00000000-0010-0000-0300-00000B000000}" name="أكتوبر" totalsRowFunction="sum" dataDxfId="46" totalsRowDxfId="45">
      <calculatedColumnFormula>L5*0.27</calculatedColumnFormula>
    </tableColumn>
    <tableColumn id="12" xr3:uid="{00000000-0010-0000-0300-00000C000000}" name="نوفمبر" totalsRowFunction="sum" dataDxfId="44" totalsRowDxfId="43">
      <calculatedColumnFormula>M5*0.27</calculatedColumnFormula>
    </tableColumn>
    <tableColumn id="13" xr3:uid="{00000000-0010-0000-0300-00000D000000}" name="ديسمبر" totalsRowFunction="sum" dataDxfId="42" totalsRowDxfId="41">
      <calculatedColumnFormula>N5*0.27</calculatedColumnFormula>
    </tableColumn>
    <tableColumn id="14" xr3:uid="{00000000-0010-0000-0300-00000E000000}" name="السنة" totalsRowFunction="sum" dataDxfId="40" totalsRowDxfId="39">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أدخل تكاليف الموظفين الشهرية المخططة في هذا الجدول. الإجمالي محسوب تلقائيًا في النهاية"/>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الإجمالي_المخطط" displayName="الإجمالي_المخطط" ref="B35:O37" headerRowDxfId="21" dataDxfId="19" totalsRowDxfId="20" headerRowBorderDxfId="512" tableBorderDxfId="511" totalsRowBorderDxfId="510">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الإجماليات" totalsRowLabel="الإجمالي" dataDxfId="35" totalsRowDxfId="5"/>
    <tableColumn id="2" xr3:uid="{3CBCAAC6-5850-43CE-8A4B-7299FADFEA94}" name="يناير" dataDxfId="34" totalsRowDxfId="6">
      <calculatedColumnFormula>SUM($C35:C$36)</calculatedColumnFormula>
    </tableColumn>
    <tableColumn id="3" xr3:uid="{E78EAAAB-F732-4079-94F1-D17531764B41}" name="فبراير" dataDxfId="33" totalsRowDxfId="7">
      <calculatedColumnFormula>SUM($C35:D$36)</calculatedColumnFormula>
    </tableColumn>
    <tableColumn id="4" xr3:uid="{7E178853-B334-4E02-A0B5-9E8AC39D6929}" name="مارس" dataDxfId="32" totalsRowDxfId="8">
      <calculatedColumnFormula>SUM($C35:E$36)</calculatedColumnFormula>
    </tableColumn>
    <tableColumn id="5" xr3:uid="{901BCAA1-7C45-46E6-9DAA-C055B5CC4D9E}" name="أبريل" dataDxfId="31" totalsRowDxfId="9">
      <calculatedColumnFormula>SUM($C35:F$36)</calculatedColumnFormula>
    </tableColumn>
    <tableColumn id="6" xr3:uid="{FDC62F5A-FCA8-49DA-AFE4-FBDA22CB588C}" name="مايو" dataDxfId="30" totalsRowDxfId="10">
      <calculatedColumnFormula>SUM($C35:G$36)</calculatedColumnFormula>
    </tableColumn>
    <tableColumn id="7" xr3:uid="{6B7E4F62-6387-4545-9593-FCFE8EB0E87B}" name="يونيو" dataDxfId="29" totalsRowDxfId="11">
      <calculatedColumnFormula>SUM($C35:H$36)</calculatedColumnFormula>
    </tableColumn>
    <tableColumn id="8" xr3:uid="{29C96D76-82C3-4C86-A866-135D2B5F6766}" name="يوليو" dataDxfId="28" totalsRowDxfId="12">
      <calculatedColumnFormula>SUM($C35:I$36)</calculatedColumnFormula>
    </tableColumn>
    <tableColumn id="9" xr3:uid="{8EAF7A8A-BCFD-4A07-ADFE-7B3A8A367BB3}" name="أغسطس" dataDxfId="27" totalsRowDxfId="13">
      <calculatedColumnFormula>SUM($C35:J$36)</calculatedColumnFormula>
    </tableColumn>
    <tableColumn id="10" xr3:uid="{F40CD844-EFB4-4B82-8FEA-F130D1DDE9B6}" name="سبتمبر" dataDxfId="26" totalsRowDxfId="14">
      <calculatedColumnFormula>SUM($C35:K$36)</calculatedColumnFormula>
    </tableColumn>
    <tableColumn id="11" xr3:uid="{42E3BDAF-1274-4A42-93E1-A70D8EFF4D76}" name="أكتوبر" dataDxfId="25" totalsRowDxfId="15">
      <calculatedColumnFormula>SUM($C35:L$36)</calculatedColumnFormula>
    </tableColumn>
    <tableColumn id="12" xr3:uid="{4F7ADDB3-3705-4D5F-B56D-EBBC8E7DFAFB}" name="نوفمبر" dataDxfId="24" totalsRowDxfId="16">
      <calculatedColumnFormula>SUM($C35:M$36)</calculatedColumnFormula>
    </tableColumn>
    <tableColumn id="13" xr3:uid="{56789314-1137-4ED4-BA2B-969187ADECB2}" name="ديسمبر" dataDxfId="23" totalsRowDxfId="17">
      <calculatedColumnFormula>SUM($C35:N$36)</calculatedColumnFormula>
    </tableColumn>
    <tableColumn id="14" xr3:uid="{284F34B8-8D32-4E44-96FD-25CE69A931D2}" name="السنة" totalsRowFunction="sum" dataDxfId="22" totalsRowDxfId="18"/>
  </tableColumns>
  <tableStyleInfo showFirstColumn="1" showLastColumn="0" showRowStripes="0" showColumnStripes="0"/>
  <extLst>
    <ext xmlns:x14="http://schemas.microsoft.com/office/spreadsheetml/2009/9/main" uri="{504A1905-F514-4f6f-8877-14C23A59335A}">
      <x14:table altTextSummary="يتم حساب &quot;المصروفات الشهرية&quot; و&quot;المصروفات الإجمالية المخططة&quot; في هذا الجدول"/>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المكتب_الفعلي" displayName="المكتب_الفعلي" ref="B10:O19" totalsRowCount="1" headerRowDxfId="509" dataDxfId="507" totalsRowDxfId="505" headerRowBorderDxfId="508" tableBorderDxfId="506" totalsRowBorderDxfId="504">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تكاليف المكتب" totalsRowLabel="الإجمالي الفرعي" dataDxfId="503" totalsRowDxfId="502"/>
    <tableColumn id="2" xr3:uid="{00000000-0010-0000-0400-000002000000}" name="يناير" totalsRowFunction="sum" dataDxfId="501" totalsRowDxfId="500"/>
    <tableColumn id="3" xr3:uid="{00000000-0010-0000-0400-000003000000}" name="فبراير" totalsRowFunction="sum" dataDxfId="499" totalsRowDxfId="498"/>
    <tableColumn id="4" xr3:uid="{00000000-0010-0000-0400-000004000000}" name="مارس" totalsRowFunction="sum" dataDxfId="497" totalsRowDxfId="496"/>
    <tableColumn id="5" xr3:uid="{00000000-0010-0000-0400-000005000000}" name="أبريل" totalsRowFunction="sum" dataDxfId="495" totalsRowDxfId="494"/>
    <tableColumn id="6" xr3:uid="{00000000-0010-0000-0400-000006000000}" name="مايو" totalsRowFunction="sum" dataDxfId="493" totalsRowDxfId="492"/>
    <tableColumn id="7" xr3:uid="{00000000-0010-0000-0400-000007000000}" name="يونيو" totalsRowFunction="sum" dataDxfId="491" totalsRowDxfId="490"/>
    <tableColumn id="8" xr3:uid="{00000000-0010-0000-0400-000008000000}" name="يوليو" totalsRowFunction="sum" dataDxfId="489" totalsRowDxfId="488"/>
    <tableColumn id="9" xr3:uid="{00000000-0010-0000-0400-000009000000}" name="أغسطس" totalsRowFunction="sum" dataDxfId="487" totalsRowDxfId="486"/>
    <tableColumn id="10" xr3:uid="{00000000-0010-0000-0400-00000A000000}" name="سبتمبر" totalsRowFunction="sum" dataDxfId="485" totalsRowDxfId="484"/>
    <tableColumn id="11" xr3:uid="{00000000-0010-0000-0400-00000B000000}" name="أكتوبر" totalsRowFunction="sum" dataDxfId="483" totalsRowDxfId="482"/>
    <tableColumn id="12" xr3:uid="{00000000-0010-0000-0400-00000C000000}" name="نوفمبر" totalsRowFunction="sum" dataDxfId="481" totalsRowDxfId="480"/>
    <tableColumn id="13" xr3:uid="{00000000-0010-0000-0400-00000D000000}" name="ديسمبر" totalsRowFunction="sum" dataDxfId="479" totalsRowDxfId="478"/>
    <tableColumn id="14" xr3:uid="{00000000-0010-0000-0400-00000E000000}" name="السنة" totalsRowFunction="sum" dataDxfId="477" totalsRowDxfId="476">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تكاليف المكتب الشهرية الفعلية في هذا الجدول. الإجمالي محسوب تلقائيًا في النهاية"/>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التسويق_الفعلي" displayName="التسويق_الفعلي" ref="B21:O28" totalsRowCount="1" headerRowDxfId="475" dataDxfId="473" totalsRowDxfId="471" headerRowBorderDxfId="474" tableBorderDxfId="472" totalsRowBorderDxfId="470">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تكاليف التسويق" totalsRowLabel="الإجمالي الفرعي" dataDxfId="469" totalsRowDxfId="468"/>
    <tableColumn id="2" xr3:uid="{00000000-0010-0000-0500-000002000000}" name="يناير" totalsRowFunction="sum" dataDxfId="467" totalsRowDxfId="466"/>
    <tableColumn id="3" xr3:uid="{00000000-0010-0000-0500-000003000000}" name="فبراير" totalsRowFunction="sum" dataDxfId="465" totalsRowDxfId="464"/>
    <tableColumn id="4" xr3:uid="{00000000-0010-0000-0500-000004000000}" name="مارس" totalsRowFunction="sum" dataDxfId="463" totalsRowDxfId="462"/>
    <tableColumn id="5" xr3:uid="{00000000-0010-0000-0500-000005000000}" name="أبريل" totalsRowFunction="sum" dataDxfId="461" totalsRowDxfId="460"/>
    <tableColumn id="6" xr3:uid="{00000000-0010-0000-0500-000006000000}" name="مايو" totalsRowFunction="sum" dataDxfId="459" totalsRowDxfId="458"/>
    <tableColumn id="7" xr3:uid="{00000000-0010-0000-0500-000007000000}" name="يونيو" totalsRowFunction="sum" dataDxfId="457" totalsRowDxfId="456"/>
    <tableColumn id="8" xr3:uid="{00000000-0010-0000-0500-000008000000}" name="يوليو" totalsRowFunction="sum" dataDxfId="455" totalsRowDxfId="454"/>
    <tableColumn id="9" xr3:uid="{00000000-0010-0000-0500-000009000000}" name="أغسطس" totalsRowFunction="sum" dataDxfId="453" totalsRowDxfId="452"/>
    <tableColumn id="10" xr3:uid="{00000000-0010-0000-0500-00000A000000}" name="سبتمبر" totalsRowFunction="sum" dataDxfId="451" totalsRowDxfId="450"/>
    <tableColumn id="11" xr3:uid="{00000000-0010-0000-0500-00000B000000}" name="أكتوبر" totalsRowFunction="sum" dataDxfId="449" totalsRowDxfId="448"/>
    <tableColumn id="12" xr3:uid="{00000000-0010-0000-0500-00000C000000}" name="نوفمبر" totalsRowFunction="sum" dataDxfId="447" totalsRowDxfId="446"/>
    <tableColumn id="13" xr3:uid="{00000000-0010-0000-0500-00000D000000}" name="ديسمبر" totalsRowFunction="sum" dataDxfId="445" totalsRowDxfId="444"/>
    <tableColumn id="14" xr3:uid="{00000000-0010-0000-0500-00000E000000}" name="السنة" totalsRowFunction="sum" dataDxfId="443" totalsRowDxfId="442">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تكاليف التسويق الشهرية الفعلية في هذا الجدول. الإجمالي محسوب تلقائيًا في النهاية"/>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التدريب_والسفر_الفعليين" displayName="التدريب_والسفر_الفعليين" ref="B30:O33" totalsRowCount="1" headerRowDxfId="441" dataDxfId="439" totalsRowDxfId="437" headerRowBorderDxfId="440" tableBorderDxfId="438" totalsRowBorderDxfId="436">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التدريب/السفر" totalsRowLabel="الإجمالي الفرعي" dataDxfId="435" totalsRowDxfId="434"/>
    <tableColumn id="2" xr3:uid="{00000000-0010-0000-0600-000002000000}" name="يناير" totalsRowFunction="sum" dataDxfId="433" totalsRowDxfId="432"/>
    <tableColumn id="3" xr3:uid="{00000000-0010-0000-0600-000003000000}" name="فبراير" totalsRowFunction="sum" dataDxfId="431" totalsRowDxfId="430"/>
    <tableColumn id="4" xr3:uid="{00000000-0010-0000-0600-000004000000}" name="مارس" totalsRowFunction="sum" dataDxfId="429" totalsRowDxfId="428"/>
    <tableColumn id="5" xr3:uid="{00000000-0010-0000-0600-000005000000}" name="أبريل" totalsRowFunction="sum" dataDxfId="427" totalsRowDxfId="426"/>
    <tableColumn id="6" xr3:uid="{00000000-0010-0000-0600-000006000000}" name="مايو" totalsRowFunction="sum" dataDxfId="425" totalsRowDxfId="424"/>
    <tableColumn id="7" xr3:uid="{00000000-0010-0000-0600-000007000000}" name="يونيو" totalsRowFunction="sum" dataDxfId="423" totalsRowDxfId="422"/>
    <tableColumn id="8" xr3:uid="{00000000-0010-0000-0600-000008000000}" name="يوليو" totalsRowFunction="sum" dataDxfId="421" totalsRowDxfId="420"/>
    <tableColumn id="9" xr3:uid="{00000000-0010-0000-0600-000009000000}" name="أغسطس" totalsRowFunction="sum" dataDxfId="419" totalsRowDxfId="418"/>
    <tableColumn id="10" xr3:uid="{00000000-0010-0000-0600-00000A000000}" name="سبتمبر" totalsRowFunction="sum" dataDxfId="417" totalsRowDxfId="416"/>
    <tableColumn id="11" xr3:uid="{00000000-0010-0000-0600-00000B000000}" name="أكتوبر" totalsRowFunction="sum" dataDxfId="415" totalsRowDxfId="414"/>
    <tableColumn id="12" xr3:uid="{00000000-0010-0000-0600-00000C000000}" name="نوفمبر" totalsRowFunction="sum" dataDxfId="413" totalsRowDxfId="412"/>
    <tableColumn id="13" xr3:uid="{00000000-0010-0000-0600-00000D000000}" name="ديسمبر" totalsRowFunction="sum" dataDxfId="411" totalsRowDxfId="410"/>
    <tableColumn id="14" xr3:uid="{00000000-0010-0000-0600-00000E000000}" name="السنة" totalsRowFunction="sum" dataDxfId="409" totalsRowDxfId="408">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تكاليف السفر والتدريب الشهرية الفعلية في هذا الجدول. الإجمالي محسوب تلقائيًا في النهاية"/>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تكاليف_الموظفين_الفعلية" displayName="تكاليف_الموظفين_الفعلية" ref="B5:O8" totalsRowCount="1" headerRowDxfId="407" dataDxfId="405" totalsRowDxfId="403" headerRowBorderDxfId="406" tableBorderDxfId="404" totalsRowBorderDxfId="402">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تكاليف الموظفين" totalsRowLabel="الإجمالي الفرعي" dataDxfId="401" totalsRowDxfId="400"/>
    <tableColumn id="2" xr3:uid="{00000000-0010-0000-0700-000002000000}" name="يناير" totalsRowFunction="sum" dataDxfId="399" totalsRowDxfId="398">
      <calculatedColumnFormula>C5*0.27</calculatedColumnFormula>
    </tableColumn>
    <tableColumn id="3" xr3:uid="{00000000-0010-0000-0700-000003000000}" name="فبراير" totalsRowFunction="sum" dataDxfId="397" totalsRowDxfId="396">
      <calculatedColumnFormula>D5*0.27</calculatedColumnFormula>
    </tableColumn>
    <tableColumn id="4" xr3:uid="{00000000-0010-0000-0700-000004000000}" name="مارس" totalsRowFunction="sum" dataDxfId="395" totalsRowDxfId="394">
      <calculatedColumnFormula>E5*0.27</calculatedColumnFormula>
    </tableColumn>
    <tableColumn id="5" xr3:uid="{00000000-0010-0000-0700-000005000000}" name="أبريل" totalsRowFunction="sum" dataDxfId="393" totalsRowDxfId="392">
      <calculatedColumnFormula>F5*0.27</calculatedColumnFormula>
    </tableColumn>
    <tableColumn id="6" xr3:uid="{00000000-0010-0000-0700-000006000000}" name="مايو" totalsRowFunction="sum" dataDxfId="391" totalsRowDxfId="390">
      <calculatedColumnFormula>G5*0.27</calculatedColumnFormula>
    </tableColumn>
    <tableColumn id="7" xr3:uid="{00000000-0010-0000-0700-000007000000}" name="يونيو" totalsRowFunction="sum" dataDxfId="389" totalsRowDxfId="388">
      <calculatedColumnFormula>H5*0.27</calculatedColumnFormula>
    </tableColumn>
    <tableColumn id="8" xr3:uid="{00000000-0010-0000-0700-000008000000}" name="يوليو" totalsRowFunction="sum" dataDxfId="387" totalsRowDxfId="386"/>
    <tableColumn id="9" xr3:uid="{00000000-0010-0000-0700-000009000000}" name="أغسطس" totalsRowFunction="sum" dataDxfId="385" totalsRowDxfId="384"/>
    <tableColumn id="10" xr3:uid="{00000000-0010-0000-0700-00000A000000}" name="سبتمبر" totalsRowFunction="sum" dataDxfId="383" totalsRowDxfId="382"/>
    <tableColumn id="11" xr3:uid="{00000000-0010-0000-0700-00000B000000}" name="أكتوبر" totalsRowFunction="sum" dataDxfId="381" totalsRowDxfId="380"/>
    <tableColumn id="12" xr3:uid="{00000000-0010-0000-0700-00000C000000}" name="نوفمبر" totalsRowFunction="sum" dataDxfId="379" totalsRowDxfId="378"/>
    <tableColumn id="13" xr3:uid="{00000000-0010-0000-0700-00000D000000}" name="ديسمبر" totalsRowFunction="sum" dataDxfId="377" totalsRowDxfId="376"/>
    <tableColumn id="14" xr3:uid="{00000000-0010-0000-0700-00000E000000}" name="السنة" totalsRowFunction="sum" dataDxfId="375" totalsRowDxfId="374">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أدخل التكاليف الشهرية الفعلية للموظفين في هذا الجدول. الإجمالي محسوب تلقائيًا في النهاية"/>
    </ext>
  </extLst>
</table>
</file>

<file path=xl/theme/theme1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6.xml" Id="rId3" /><Relationship Type="http://schemas.openxmlformats.org/officeDocument/2006/relationships/table" Target="/xl/tables/table57.xml" Id="rId7" /><Relationship Type="http://schemas.openxmlformats.org/officeDocument/2006/relationships/drawing" Target="/xl/drawings/drawing12.xml" Id="rId2" /><Relationship Type="http://schemas.openxmlformats.org/officeDocument/2006/relationships/printerSettings" Target="/xl/printerSettings/printerSettings22.bin" Id="rId1" /><Relationship Type="http://schemas.openxmlformats.org/officeDocument/2006/relationships/table" Target="/xl/tables/table48.xml" Id="rId6" /><Relationship Type="http://schemas.openxmlformats.org/officeDocument/2006/relationships/table" Target="/xl/tables/table39.xml" Id="rId5" /><Relationship Type="http://schemas.openxmlformats.org/officeDocument/2006/relationships/table" Target="/xl/tables/table210.xml" Id="rId4" /></Relationships>
</file>

<file path=xl/worksheets/_rels/sheet3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table" Target="/xl/tables/table102.xml" Id="rId7" /><Relationship Type="http://schemas.openxmlformats.org/officeDocument/2006/relationships/drawing" Target="/xl/drawings/drawing21.xml" Id="rId2" /><Relationship Type="http://schemas.openxmlformats.org/officeDocument/2006/relationships/printerSettings" Target="/xl/printerSettings/printerSettings31.bin" Id="rId1" /><Relationship Type="http://schemas.openxmlformats.org/officeDocument/2006/relationships/table" Target="/xl/tables/table93.xml" Id="rId6" /><Relationship Type="http://schemas.openxmlformats.org/officeDocument/2006/relationships/table" Target="/xl/tables/table84.xml" Id="rId5" /><Relationship Type="http://schemas.openxmlformats.org/officeDocument/2006/relationships/table" Target="/xl/tables/table75.xml" Id="rId4" /></Relationships>
</file>

<file path=xl/worksheets/_rels/sheet45.xml.rels>&#65279;<?xml version="1.0" encoding="utf-8"?><Relationships xmlns="http://schemas.openxmlformats.org/package/2006/relationships"><Relationship Type="http://schemas.openxmlformats.org/officeDocument/2006/relationships/table" Target="/xl/tables/table1112.xml" Id="rId3" /><Relationship Type="http://schemas.openxmlformats.org/officeDocument/2006/relationships/table" Target="/xl/tables/table1513.xml" Id="rId7" /><Relationship Type="http://schemas.openxmlformats.org/officeDocument/2006/relationships/drawing" Target="/xl/drawings/drawing34.xml" Id="rId2" /><Relationship Type="http://schemas.openxmlformats.org/officeDocument/2006/relationships/printerSettings" Target="/xl/printerSettings/printerSettings45.bin" Id="rId1" /><Relationship Type="http://schemas.openxmlformats.org/officeDocument/2006/relationships/table" Target="/xl/tables/table1414.xml" Id="rId6" /><Relationship Type="http://schemas.openxmlformats.org/officeDocument/2006/relationships/table" Target="/xl/tables/table1315.xml" Id="rId5" /><Relationship Type="http://schemas.openxmlformats.org/officeDocument/2006/relationships/table" Target="/xl/tables/table1216.xml" Id="rId4" /></Relationships>
</file>

<file path=xl/worksheets/_rels/sheet54.xml.rels>&#65279;<?xml version="1.0" encoding="utf-8"?><Relationships xmlns="http://schemas.openxmlformats.org/package/2006/relationships"><Relationship Type="http://schemas.openxmlformats.org/officeDocument/2006/relationships/table" Target="/xl/tables/table1611.xml" Id="rId3" /><Relationship Type="http://schemas.openxmlformats.org/officeDocument/2006/relationships/drawing" Target="/xl/drawings/drawing43.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A1:B8"/>
  <sheetViews>
    <sheetView rightToLeft="1" tabSelected="1" workbookViewId="0"/>
  </sheetViews>
  <sheetFormatPr defaultRowHeight="11.4" x14ac:dyDescent="0.2"/>
  <cols>
    <col min="1" max="1" width="2.75" style="67" customWidth="1"/>
    <col min="2" max="2" width="75.375" style="67" customWidth="1"/>
    <col min="3" max="3" width="2.75" style="67" customWidth="1"/>
    <col min="4" max="16384" width="9" style="67"/>
  </cols>
  <sheetData>
    <row r="1" spans="1:2" s="65" customFormat="1" ht="30" customHeight="1" x14ac:dyDescent="0.2">
      <c r="A1" s="64"/>
      <c r="B1" s="1" t="s">
        <v>0</v>
      </c>
    </row>
    <row r="2" spans="1:2" ht="36.75" customHeight="1" x14ac:dyDescent="0.2">
      <c r="A2" s="66"/>
      <c r="B2" s="2" t="s">
        <v>1</v>
      </c>
    </row>
    <row r="3" spans="1:2" ht="30" customHeight="1" x14ac:dyDescent="0.2">
      <c r="A3" s="66"/>
      <c r="B3" s="2" t="s">
        <v>2</v>
      </c>
    </row>
    <row r="4" spans="1:2" ht="40.5" customHeight="1" x14ac:dyDescent="0.2">
      <c r="A4" s="66"/>
      <c r="B4" s="2" t="s">
        <v>3</v>
      </c>
    </row>
    <row r="5" spans="1:2" ht="36" customHeight="1" x14ac:dyDescent="0.2">
      <c r="A5" s="66"/>
      <c r="B5" s="2" t="s">
        <v>4</v>
      </c>
    </row>
    <row r="6" spans="1:2" ht="36" customHeight="1" x14ac:dyDescent="0.2">
      <c r="A6" s="66"/>
      <c r="B6" s="3" t="s">
        <v>5</v>
      </c>
    </row>
    <row r="7" spans="1:2" ht="53.25" customHeight="1" x14ac:dyDescent="0.2">
      <c r="A7" s="66"/>
      <c r="B7" s="2" t="s">
        <v>6</v>
      </c>
    </row>
    <row r="8" spans="1:2" ht="40.5" customHeight="1" x14ac:dyDescent="0.25">
      <c r="A8" s="66"/>
      <c r="B8" s="4"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sheetPr>
  <dimension ref="A1:T38"/>
  <sheetViews>
    <sheetView showGridLines="0" rightToLeft="1" zoomScaleNormal="100" workbookViewId="0"/>
  </sheetViews>
  <sheetFormatPr defaultColWidth="9.125" defaultRowHeight="21" customHeight="1" x14ac:dyDescent="0.3"/>
  <cols>
    <col min="1" max="1" width="4.75" style="106" customWidth="1"/>
    <col min="2" max="2" width="40.625" style="106" customWidth="1"/>
    <col min="3" max="14" width="19.625" style="106" customWidth="1"/>
    <col min="15" max="15" width="20.625" style="106" customWidth="1"/>
    <col min="16" max="16" width="4.75" style="106" customWidth="1"/>
    <col min="17" max="17" width="1.75" style="106" customWidth="1"/>
    <col min="18" max="19" width="9.125" style="106"/>
    <col min="20" max="20" width="11.125" style="106" customWidth="1"/>
    <col min="21" max="16384" width="9.125" style="106"/>
  </cols>
  <sheetData>
    <row r="1" spans="1:20" ht="24" customHeight="1" x14ac:dyDescent="0.3">
      <c r="A1" s="5"/>
      <c r="B1" s="6"/>
      <c r="C1" s="6"/>
      <c r="D1" s="6"/>
      <c r="E1" s="6"/>
      <c r="F1" s="7"/>
      <c r="G1" s="7"/>
      <c r="H1" s="7"/>
      <c r="I1" s="7"/>
      <c r="J1" s="7"/>
      <c r="K1" s="7"/>
      <c r="L1" s="7"/>
      <c r="M1" s="7"/>
      <c r="N1" s="7"/>
      <c r="O1" s="7"/>
      <c r="P1" s="8" t="s">
        <v>51</v>
      </c>
      <c r="Q1" s="9"/>
      <c r="R1" s="9"/>
      <c r="S1" s="9"/>
      <c r="T1" s="9"/>
    </row>
    <row r="2" spans="1:20" ht="45" customHeight="1" x14ac:dyDescent="0.35">
      <c r="A2" s="10"/>
      <c r="B2" s="11" t="s">
        <v>8</v>
      </c>
      <c r="C2" s="11"/>
      <c r="D2" s="11"/>
      <c r="E2" s="104"/>
      <c r="F2" s="12"/>
      <c r="G2" s="12"/>
      <c r="H2" s="12"/>
      <c r="I2" s="12"/>
      <c r="J2" s="12"/>
      <c r="K2" s="133" t="s">
        <v>44</v>
      </c>
      <c r="L2" s="133"/>
      <c r="M2" s="133"/>
      <c r="N2" s="13"/>
      <c r="O2" s="13"/>
      <c r="P2" s="7"/>
      <c r="Q2" s="9"/>
      <c r="R2" s="9"/>
      <c r="S2" s="9"/>
      <c r="T2" s="9"/>
    </row>
    <row r="3" spans="1:20" ht="30" customHeight="1" x14ac:dyDescent="0.3">
      <c r="A3" s="10"/>
      <c r="B3" s="11"/>
      <c r="C3" s="11"/>
      <c r="D3" s="11"/>
      <c r="E3" s="105"/>
      <c r="F3" s="14"/>
      <c r="G3" s="14"/>
      <c r="H3" s="14"/>
      <c r="I3" s="14"/>
      <c r="J3" s="14"/>
      <c r="K3" s="137" t="s">
        <v>45</v>
      </c>
      <c r="L3" s="137"/>
      <c r="M3" s="137"/>
      <c r="N3" s="13"/>
      <c r="O3" s="13"/>
      <c r="P3" s="7"/>
      <c r="Q3" s="9"/>
      <c r="R3" s="9"/>
      <c r="S3" s="9"/>
      <c r="T3" s="9"/>
    </row>
    <row r="4" spans="1:20" s="125" customFormat="1" ht="49.5" customHeight="1" x14ac:dyDescent="0.3">
      <c r="A4" s="15"/>
      <c r="B4" s="16" t="s">
        <v>9</v>
      </c>
      <c r="C4" s="68" t="s">
        <v>36</v>
      </c>
      <c r="D4" s="68" t="s">
        <v>37</v>
      </c>
      <c r="E4" s="68" t="s">
        <v>38</v>
      </c>
      <c r="F4" s="68" t="s">
        <v>39</v>
      </c>
      <c r="G4" s="68" t="s">
        <v>40</v>
      </c>
      <c r="H4" s="68" t="s">
        <v>41</v>
      </c>
      <c r="I4" s="68" t="s">
        <v>42</v>
      </c>
      <c r="J4" s="68" t="s">
        <v>43</v>
      </c>
      <c r="K4" s="68" t="s">
        <v>46</v>
      </c>
      <c r="L4" s="68" t="s">
        <v>47</v>
      </c>
      <c r="M4" s="68" t="s">
        <v>48</v>
      </c>
      <c r="N4" s="68" t="s">
        <v>49</v>
      </c>
      <c r="O4" s="68" t="s">
        <v>50</v>
      </c>
      <c r="P4" s="17"/>
      <c r="Q4" s="18"/>
      <c r="R4" s="132"/>
      <c r="S4" s="132"/>
      <c r="T4" s="132"/>
    </row>
    <row r="5" spans="1:20" ht="24.9" customHeight="1" thickBot="1" x14ac:dyDescent="0.35">
      <c r="A5" s="15"/>
      <c r="B5" s="19" t="s">
        <v>10</v>
      </c>
      <c r="C5" s="88" t="s">
        <v>36</v>
      </c>
      <c r="D5" s="89" t="s">
        <v>37</v>
      </c>
      <c r="E5" s="89" t="s">
        <v>38</v>
      </c>
      <c r="F5" s="89" t="s">
        <v>39</v>
      </c>
      <c r="G5" s="89" t="s">
        <v>40</v>
      </c>
      <c r="H5" s="89" t="s">
        <v>41</v>
      </c>
      <c r="I5" s="89" t="s">
        <v>42</v>
      </c>
      <c r="J5" s="89" t="s">
        <v>43</v>
      </c>
      <c r="K5" s="89" t="s">
        <v>46</v>
      </c>
      <c r="L5" s="89" t="s">
        <v>47</v>
      </c>
      <c r="M5" s="89" t="s">
        <v>48</v>
      </c>
      <c r="N5" s="89" t="s">
        <v>49</v>
      </c>
      <c r="O5" s="90" t="s">
        <v>50</v>
      </c>
      <c r="P5" s="20"/>
      <c r="Q5" s="9"/>
      <c r="R5" s="132"/>
      <c r="S5" s="132"/>
      <c r="T5" s="132"/>
    </row>
    <row r="6" spans="1:20" ht="24.9" customHeight="1" thickBot="1" x14ac:dyDescent="0.35">
      <c r="A6" s="15"/>
      <c r="B6" s="21" t="s">
        <v>11</v>
      </c>
      <c r="C6" s="99">
        <v>85000</v>
      </c>
      <c r="D6" s="100">
        <v>85000</v>
      </c>
      <c r="E6" s="100">
        <v>85000</v>
      </c>
      <c r="F6" s="100">
        <v>87500</v>
      </c>
      <c r="G6" s="100">
        <v>87500</v>
      </c>
      <c r="H6" s="100">
        <v>87500</v>
      </c>
      <c r="I6" s="100">
        <v>87500</v>
      </c>
      <c r="J6" s="100">
        <v>92400</v>
      </c>
      <c r="K6" s="100">
        <v>92400</v>
      </c>
      <c r="L6" s="100">
        <v>92400</v>
      </c>
      <c r="M6" s="100">
        <v>92400</v>
      </c>
      <c r="N6" s="100">
        <v>92400</v>
      </c>
      <c r="O6" s="96">
        <f>SUM(C6:N6)</f>
        <v>1067000</v>
      </c>
      <c r="P6" s="20"/>
      <c r="Q6" s="9"/>
      <c r="R6" s="132"/>
      <c r="S6" s="132"/>
      <c r="T6" s="132"/>
    </row>
    <row r="7" spans="1:20" ht="24.9" customHeight="1" thickBot="1" x14ac:dyDescent="0.35">
      <c r="A7" s="15"/>
      <c r="B7" s="21" t="s">
        <v>12</v>
      </c>
      <c r="C7" s="99">
        <f t="shared" ref="C7:N7" si="0">C6*0.27</f>
        <v>22950</v>
      </c>
      <c r="D7" s="100">
        <f t="shared" si="0"/>
        <v>22950</v>
      </c>
      <c r="E7" s="100">
        <f t="shared" si="0"/>
        <v>22950</v>
      </c>
      <c r="F7" s="100">
        <f t="shared" si="0"/>
        <v>23625</v>
      </c>
      <c r="G7" s="100">
        <f t="shared" si="0"/>
        <v>23625</v>
      </c>
      <c r="H7" s="100">
        <f t="shared" si="0"/>
        <v>23625</v>
      </c>
      <c r="I7" s="100">
        <f t="shared" si="0"/>
        <v>23625</v>
      </c>
      <c r="J7" s="100">
        <f t="shared" si="0"/>
        <v>24948</v>
      </c>
      <c r="K7" s="100">
        <f t="shared" si="0"/>
        <v>24948</v>
      </c>
      <c r="L7" s="100">
        <f t="shared" si="0"/>
        <v>24948</v>
      </c>
      <c r="M7" s="100">
        <f t="shared" si="0"/>
        <v>24948</v>
      </c>
      <c r="N7" s="100">
        <f t="shared" si="0"/>
        <v>24948</v>
      </c>
      <c r="O7" s="96">
        <f>SUM(C7:N7)</f>
        <v>288090</v>
      </c>
      <c r="P7" s="20"/>
      <c r="Q7" s="9"/>
      <c r="R7" s="132"/>
      <c r="S7" s="132"/>
      <c r="T7" s="132"/>
    </row>
    <row r="8" spans="1:20" ht="24.9" customHeight="1" x14ac:dyDescent="0.3">
      <c r="A8" s="15"/>
      <c r="B8" s="22" t="s">
        <v>13</v>
      </c>
      <c r="C8" s="97">
        <f>SUBTOTAL(109,خطة_الموظفين[يناير])</f>
        <v>107950</v>
      </c>
      <c r="D8" s="80">
        <f>SUBTOTAL(109,خطة_الموظفين[فبراير])</f>
        <v>107950</v>
      </c>
      <c r="E8" s="80">
        <f>SUBTOTAL(109,خطة_الموظفين[مارس])</f>
        <v>107950</v>
      </c>
      <c r="F8" s="80">
        <f>SUBTOTAL(109,خطة_الموظفين[أبريل])</f>
        <v>111125</v>
      </c>
      <c r="G8" s="80">
        <f>SUBTOTAL(109,خطة_الموظفين[مايو])</f>
        <v>111125</v>
      </c>
      <c r="H8" s="80">
        <f>SUBTOTAL(109,خطة_الموظفين[يونيو])</f>
        <v>111125</v>
      </c>
      <c r="I8" s="80">
        <f>SUBTOTAL(109,خطة_الموظفين[يوليو])</f>
        <v>111125</v>
      </c>
      <c r="J8" s="80">
        <f>SUBTOTAL(109,خطة_الموظفين[أغسطس])</f>
        <v>117348</v>
      </c>
      <c r="K8" s="80">
        <f>SUBTOTAL(109,خطة_الموظفين[سبتمبر])</f>
        <v>117348</v>
      </c>
      <c r="L8" s="80">
        <f>SUBTOTAL(109,خطة_الموظفين[أكتوبر])</f>
        <v>117348</v>
      </c>
      <c r="M8" s="80">
        <f>SUBTOTAL(109,خطة_الموظفين[نوفمبر])</f>
        <v>117348</v>
      </c>
      <c r="N8" s="80">
        <f>SUBTOTAL(109,خطة_الموظفين[ديسمبر])</f>
        <v>117348</v>
      </c>
      <c r="O8" s="98">
        <f>SUBTOTAL(109,خطة_الموظفين[السنة])</f>
        <v>1355090</v>
      </c>
      <c r="P8" s="20"/>
      <c r="Q8" s="9"/>
      <c r="R8" s="132"/>
      <c r="S8" s="132"/>
      <c r="T8" s="132"/>
    </row>
    <row r="9" spans="1:20" ht="21" customHeight="1" thickBot="1" x14ac:dyDescent="0.35">
      <c r="A9" s="15"/>
      <c r="B9" s="23"/>
      <c r="C9" s="71"/>
      <c r="D9" s="72"/>
      <c r="E9" s="72"/>
      <c r="F9" s="72"/>
      <c r="G9" s="72"/>
      <c r="H9" s="72"/>
      <c r="I9" s="72"/>
      <c r="J9" s="72"/>
      <c r="K9" s="72"/>
      <c r="L9" s="72"/>
      <c r="M9" s="72"/>
      <c r="N9" s="72"/>
      <c r="O9" s="73"/>
      <c r="P9" s="20"/>
      <c r="Q9" s="9"/>
      <c r="R9" s="132"/>
      <c r="S9" s="132"/>
      <c r="T9" s="132"/>
    </row>
    <row r="10" spans="1:20" ht="24.9" customHeight="1" thickBot="1" x14ac:dyDescent="0.35">
      <c r="A10" s="15"/>
      <c r="B10" s="24" t="s">
        <v>14</v>
      </c>
      <c r="C10" s="91" t="s">
        <v>36</v>
      </c>
      <c r="D10" s="92" t="s">
        <v>37</v>
      </c>
      <c r="E10" s="92" t="s">
        <v>38</v>
      </c>
      <c r="F10" s="92" t="s">
        <v>39</v>
      </c>
      <c r="G10" s="92" t="s">
        <v>40</v>
      </c>
      <c r="H10" s="92" t="s">
        <v>41</v>
      </c>
      <c r="I10" s="92" t="s">
        <v>42</v>
      </c>
      <c r="J10" s="92" t="s">
        <v>43</v>
      </c>
      <c r="K10" s="92" t="s">
        <v>46</v>
      </c>
      <c r="L10" s="92" t="s">
        <v>47</v>
      </c>
      <c r="M10" s="92" t="s">
        <v>48</v>
      </c>
      <c r="N10" s="92" t="s">
        <v>49</v>
      </c>
      <c r="O10" s="93" t="s">
        <v>50</v>
      </c>
      <c r="P10" s="20"/>
      <c r="Q10" s="9"/>
      <c r="R10" s="132"/>
      <c r="S10" s="132"/>
      <c r="T10" s="132"/>
    </row>
    <row r="11" spans="1:20" ht="24.9" customHeight="1" thickBot="1" x14ac:dyDescent="0.35">
      <c r="A11" s="15"/>
      <c r="B11" s="25" t="s">
        <v>15</v>
      </c>
      <c r="C11" s="99">
        <v>9800</v>
      </c>
      <c r="D11" s="100">
        <v>9800</v>
      </c>
      <c r="E11" s="100">
        <v>9800</v>
      </c>
      <c r="F11" s="100">
        <v>9800</v>
      </c>
      <c r="G11" s="100">
        <v>9800</v>
      </c>
      <c r="H11" s="100">
        <v>9800</v>
      </c>
      <c r="I11" s="100">
        <v>9800</v>
      </c>
      <c r="J11" s="100">
        <v>9800</v>
      </c>
      <c r="K11" s="100">
        <v>9800</v>
      </c>
      <c r="L11" s="100">
        <v>9800</v>
      </c>
      <c r="M11" s="100">
        <v>9800</v>
      </c>
      <c r="N11" s="100">
        <v>9800</v>
      </c>
      <c r="O11" s="96">
        <f t="shared" ref="O11:O18" si="1">SUM(C11:N11)</f>
        <v>117600</v>
      </c>
      <c r="P11" s="20"/>
      <c r="Q11" s="9"/>
      <c r="R11" s="132"/>
      <c r="S11" s="132"/>
      <c r="T11" s="132"/>
    </row>
    <row r="12" spans="1:20" ht="24.9" customHeight="1" thickBot="1" x14ac:dyDescent="0.35">
      <c r="A12" s="15"/>
      <c r="B12" s="25" t="s">
        <v>16</v>
      </c>
      <c r="C12" s="99"/>
      <c r="D12" s="100">
        <v>400</v>
      </c>
      <c r="E12" s="100">
        <v>400</v>
      </c>
      <c r="F12" s="100">
        <v>100</v>
      </c>
      <c r="G12" s="100">
        <v>100</v>
      </c>
      <c r="H12" s="100">
        <v>100</v>
      </c>
      <c r="I12" s="100">
        <v>100</v>
      </c>
      <c r="J12" s="100">
        <v>100</v>
      </c>
      <c r="K12" s="100">
        <v>100</v>
      </c>
      <c r="L12" s="100">
        <v>100</v>
      </c>
      <c r="M12" s="100">
        <v>400</v>
      </c>
      <c r="N12" s="100">
        <v>400</v>
      </c>
      <c r="O12" s="96">
        <f t="shared" si="1"/>
        <v>2300</v>
      </c>
      <c r="P12" s="20"/>
      <c r="Q12" s="9"/>
      <c r="R12" s="132"/>
      <c r="S12" s="132"/>
      <c r="T12" s="132"/>
    </row>
    <row r="13" spans="1:20" ht="24.9" customHeight="1" thickBot="1" x14ac:dyDescent="0.35">
      <c r="A13" s="15"/>
      <c r="B13" s="25" t="s">
        <v>17</v>
      </c>
      <c r="C13" s="99">
        <v>300</v>
      </c>
      <c r="D13" s="100">
        <v>300</v>
      </c>
      <c r="E13" s="100">
        <v>300</v>
      </c>
      <c r="F13" s="100">
        <v>300</v>
      </c>
      <c r="G13" s="100">
        <v>300</v>
      </c>
      <c r="H13" s="100">
        <v>300</v>
      </c>
      <c r="I13" s="100">
        <v>300</v>
      </c>
      <c r="J13" s="100">
        <v>300</v>
      </c>
      <c r="K13" s="100">
        <v>300</v>
      </c>
      <c r="L13" s="100">
        <v>300</v>
      </c>
      <c r="M13" s="100">
        <v>300</v>
      </c>
      <c r="N13" s="100">
        <v>300</v>
      </c>
      <c r="O13" s="96">
        <f t="shared" si="1"/>
        <v>3600</v>
      </c>
      <c r="P13" s="20"/>
      <c r="Q13" s="9"/>
      <c r="R13" s="132"/>
      <c r="S13" s="132"/>
      <c r="T13" s="132"/>
    </row>
    <row r="14" spans="1:20" ht="24.9" customHeight="1" thickBot="1" x14ac:dyDescent="0.35">
      <c r="A14" s="15"/>
      <c r="B14" s="25" t="s">
        <v>18</v>
      </c>
      <c r="C14" s="99">
        <v>40</v>
      </c>
      <c r="D14" s="100">
        <v>40</v>
      </c>
      <c r="E14" s="100">
        <v>40</v>
      </c>
      <c r="F14" s="100">
        <v>40</v>
      </c>
      <c r="G14" s="100">
        <v>40</v>
      </c>
      <c r="H14" s="100">
        <v>40</v>
      </c>
      <c r="I14" s="100">
        <v>40</v>
      </c>
      <c r="J14" s="100">
        <v>40</v>
      </c>
      <c r="K14" s="100">
        <v>40</v>
      </c>
      <c r="L14" s="100">
        <v>40</v>
      </c>
      <c r="M14" s="100">
        <v>40</v>
      </c>
      <c r="N14" s="100">
        <v>40</v>
      </c>
      <c r="O14" s="96">
        <f t="shared" si="1"/>
        <v>480</v>
      </c>
      <c r="P14" s="20"/>
      <c r="Q14" s="9"/>
      <c r="R14" s="9"/>
      <c r="S14" s="9"/>
      <c r="T14" s="9"/>
    </row>
    <row r="15" spans="1:20" ht="24.9" customHeight="1" thickBot="1" x14ac:dyDescent="0.35">
      <c r="A15" s="15"/>
      <c r="B15" s="25" t="s">
        <v>19</v>
      </c>
      <c r="C15" s="99">
        <v>250</v>
      </c>
      <c r="D15" s="100">
        <v>250</v>
      </c>
      <c r="E15" s="100">
        <v>250</v>
      </c>
      <c r="F15" s="100">
        <v>250</v>
      </c>
      <c r="G15" s="100">
        <v>250</v>
      </c>
      <c r="H15" s="100">
        <v>250</v>
      </c>
      <c r="I15" s="100">
        <v>250</v>
      </c>
      <c r="J15" s="100">
        <v>250</v>
      </c>
      <c r="K15" s="100">
        <v>250</v>
      </c>
      <c r="L15" s="100">
        <v>250</v>
      </c>
      <c r="M15" s="100">
        <v>250</v>
      </c>
      <c r="N15" s="100">
        <v>250</v>
      </c>
      <c r="O15" s="96">
        <f t="shared" si="1"/>
        <v>3000</v>
      </c>
      <c r="P15" s="20"/>
      <c r="Q15" s="9"/>
      <c r="R15" s="9"/>
      <c r="S15" s="9"/>
      <c r="T15" s="9"/>
    </row>
    <row r="16" spans="1:20" ht="24.9" customHeight="1" thickBot="1" x14ac:dyDescent="0.35">
      <c r="A16" s="15"/>
      <c r="B16" s="25" t="s">
        <v>20</v>
      </c>
      <c r="C16" s="99">
        <v>180</v>
      </c>
      <c r="D16" s="100">
        <v>180</v>
      </c>
      <c r="E16" s="100">
        <v>180</v>
      </c>
      <c r="F16" s="100">
        <v>180</v>
      </c>
      <c r="G16" s="100">
        <v>180</v>
      </c>
      <c r="H16" s="100">
        <v>180</v>
      </c>
      <c r="I16" s="100">
        <v>180</v>
      </c>
      <c r="J16" s="100">
        <v>180</v>
      </c>
      <c r="K16" s="100">
        <v>180</v>
      </c>
      <c r="L16" s="100">
        <v>180</v>
      </c>
      <c r="M16" s="100">
        <v>180</v>
      </c>
      <c r="N16" s="100">
        <v>180</v>
      </c>
      <c r="O16" s="96">
        <f t="shared" si="1"/>
        <v>2160</v>
      </c>
      <c r="P16" s="20"/>
      <c r="Q16" s="9"/>
      <c r="R16" s="9"/>
      <c r="S16" s="9"/>
      <c r="T16" s="9"/>
    </row>
    <row r="17" spans="1:20" ht="24.9" customHeight="1" thickBot="1" x14ac:dyDescent="0.35">
      <c r="A17" s="15"/>
      <c r="B17" s="25" t="s">
        <v>21</v>
      </c>
      <c r="C17" s="99">
        <v>200</v>
      </c>
      <c r="D17" s="100">
        <v>200</v>
      </c>
      <c r="E17" s="100">
        <v>200</v>
      </c>
      <c r="F17" s="100">
        <v>200</v>
      </c>
      <c r="G17" s="100">
        <v>200</v>
      </c>
      <c r="H17" s="100">
        <v>200</v>
      </c>
      <c r="I17" s="100">
        <v>200</v>
      </c>
      <c r="J17" s="100">
        <v>200</v>
      </c>
      <c r="K17" s="100">
        <v>200</v>
      </c>
      <c r="L17" s="100">
        <v>200</v>
      </c>
      <c r="M17" s="100">
        <v>200</v>
      </c>
      <c r="N17" s="100">
        <v>200</v>
      </c>
      <c r="O17" s="96">
        <f t="shared" si="1"/>
        <v>2400</v>
      </c>
      <c r="P17" s="20"/>
      <c r="Q17" s="9"/>
      <c r="R17" s="9"/>
      <c r="S17" s="9"/>
      <c r="T17" s="9"/>
    </row>
    <row r="18" spans="1:20" ht="24.9" customHeight="1" thickBot="1" x14ac:dyDescent="0.35">
      <c r="A18" s="15"/>
      <c r="B18" s="25" t="s">
        <v>22</v>
      </c>
      <c r="C18" s="99">
        <v>600</v>
      </c>
      <c r="D18" s="100">
        <v>600</v>
      </c>
      <c r="E18" s="100">
        <v>600</v>
      </c>
      <c r="F18" s="100">
        <v>600</v>
      </c>
      <c r="G18" s="100">
        <v>600</v>
      </c>
      <c r="H18" s="100">
        <v>600</v>
      </c>
      <c r="I18" s="100">
        <v>600</v>
      </c>
      <c r="J18" s="100">
        <v>600</v>
      </c>
      <c r="K18" s="100">
        <v>600</v>
      </c>
      <c r="L18" s="100">
        <v>600</v>
      </c>
      <c r="M18" s="100">
        <v>600</v>
      </c>
      <c r="N18" s="100">
        <v>600</v>
      </c>
      <c r="O18" s="96">
        <f t="shared" si="1"/>
        <v>7200</v>
      </c>
      <c r="P18" s="20"/>
      <c r="Q18" s="9"/>
      <c r="R18" s="9"/>
      <c r="S18" s="9"/>
      <c r="T18" s="9"/>
    </row>
    <row r="19" spans="1:20" ht="24.9" customHeight="1" thickBot="1" x14ac:dyDescent="0.35">
      <c r="A19" s="15"/>
      <c r="B19" s="26" t="s">
        <v>13</v>
      </c>
      <c r="C19" s="101">
        <f>SUBTOTAL(109,خطة_المكتب[يناير])</f>
        <v>11370</v>
      </c>
      <c r="D19" s="102">
        <f>SUBTOTAL(109,خطة_المكتب[فبراير])</f>
        <v>11770</v>
      </c>
      <c r="E19" s="102">
        <f>SUBTOTAL(109,خطة_المكتب[مارس])</f>
        <v>11770</v>
      </c>
      <c r="F19" s="102">
        <f>SUBTOTAL(109,خطة_المكتب[أبريل])</f>
        <v>11470</v>
      </c>
      <c r="G19" s="102">
        <f>SUBTOTAL(109,خطة_المكتب[مايو])</f>
        <v>11470</v>
      </c>
      <c r="H19" s="102">
        <f>SUBTOTAL(109,خطة_المكتب[يونيو])</f>
        <v>11470</v>
      </c>
      <c r="I19" s="102">
        <f>SUBTOTAL(109,خطة_المكتب[يوليو])</f>
        <v>11470</v>
      </c>
      <c r="J19" s="102">
        <f>SUBTOTAL(109,خطة_المكتب[أغسطس])</f>
        <v>11470</v>
      </c>
      <c r="K19" s="102">
        <f>SUBTOTAL(109,خطة_المكتب[سبتمبر])</f>
        <v>11470</v>
      </c>
      <c r="L19" s="102">
        <f>SUBTOTAL(109,خطة_المكتب[أكتوبر])</f>
        <v>11470</v>
      </c>
      <c r="M19" s="102">
        <f>SUBTOTAL(109,خطة_المكتب[نوفمبر])</f>
        <v>11770</v>
      </c>
      <c r="N19" s="102">
        <f>SUBTOTAL(109,خطة_المكتب[ديسمبر])</f>
        <v>11770</v>
      </c>
      <c r="O19" s="103">
        <f>SUBTOTAL(109,خطة_المكتب[السنة])</f>
        <v>138740</v>
      </c>
      <c r="P19" s="20"/>
      <c r="Q19" s="9"/>
      <c r="R19" s="9"/>
      <c r="S19" s="9"/>
      <c r="T19" s="9"/>
    </row>
    <row r="20" spans="1:20" ht="21" customHeight="1" x14ac:dyDescent="0.3">
      <c r="A20" s="15"/>
      <c r="B20" s="27"/>
      <c r="C20" s="76"/>
      <c r="D20" s="72"/>
      <c r="E20" s="72"/>
      <c r="F20" s="77"/>
      <c r="G20" s="77"/>
      <c r="H20" s="77"/>
      <c r="I20" s="77"/>
      <c r="J20" s="77"/>
      <c r="K20" s="77"/>
      <c r="L20" s="77"/>
      <c r="M20" s="77"/>
      <c r="N20" s="77"/>
      <c r="O20" s="73"/>
      <c r="P20" s="20"/>
      <c r="Q20" s="9"/>
      <c r="R20" s="9"/>
      <c r="S20" s="9"/>
      <c r="T20" s="9"/>
    </row>
    <row r="21" spans="1:20" ht="24.9" customHeight="1" thickBot="1" x14ac:dyDescent="0.35">
      <c r="A21" s="15"/>
      <c r="B21" s="28" t="s">
        <v>23</v>
      </c>
      <c r="C21" s="74" t="s">
        <v>36</v>
      </c>
      <c r="D21" s="74" t="s">
        <v>37</v>
      </c>
      <c r="E21" s="74" t="s">
        <v>38</v>
      </c>
      <c r="F21" s="74" t="s">
        <v>39</v>
      </c>
      <c r="G21" s="74" t="s">
        <v>40</v>
      </c>
      <c r="H21" s="74" t="s">
        <v>41</v>
      </c>
      <c r="I21" s="74" t="s">
        <v>42</v>
      </c>
      <c r="J21" s="74" t="s">
        <v>43</v>
      </c>
      <c r="K21" s="74" t="s">
        <v>46</v>
      </c>
      <c r="L21" s="74" t="s">
        <v>47</v>
      </c>
      <c r="M21" s="74" t="s">
        <v>48</v>
      </c>
      <c r="N21" s="74" t="s">
        <v>49</v>
      </c>
      <c r="O21" s="75" t="s">
        <v>50</v>
      </c>
      <c r="P21" s="20"/>
      <c r="Q21" s="9"/>
      <c r="R21" s="9"/>
      <c r="S21" s="9"/>
      <c r="T21" s="9"/>
    </row>
    <row r="22" spans="1:20" ht="24.9" customHeight="1" thickBot="1" x14ac:dyDescent="0.35">
      <c r="A22" s="15"/>
      <c r="B22" s="21" t="s">
        <v>24</v>
      </c>
      <c r="C22" s="126">
        <v>500</v>
      </c>
      <c r="D22" s="127">
        <v>500</v>
      </c>
      <c r="E22" s="127">
        <v>500</v>
      </c>
      <c r="F22" s="127">
        <v>500</v>
      </c>
      <c r="G22" s="127">
        <v>500</v>
      </c>
      <c r="H22" s="127">
        <v>500</v>
      </c>
      <c r="I22" s="127">
        <v>500</v>
      </c>
      <c r="J22" s="127">
        <v>500</v>
      </c>
      <c r="K22" s="127">
        <v>500</v>
      </c>
      <c r="L22" s="127">
        <v>500</v>
      </c>
      <c r="M22" s="127">
        <v>500</v>
      </c>
      <c r="N22" s="127">
        <v>500</v>
      </c>
      <c r="O22" s="96">
        <f t="shared" ref="O22:O27" si="2">SUM(C22:N22)</f>
        <v>6000</v>
      </c>
      <c r="P22" s="20"/>
      <c r="Q22" s="9"/>
      <c r="R22" s="9"/>
      <c r="S22" s="9"/>
      <c r="T22" s="9"/>
    </row>
    <row r="23" spans="1:20" ht="24.9" customHeight="1" thickBot="1" x14ac:dyDescent="0.35">
      <c r="A23" s="15"/>
      <c r="B23" s="21" t="s">
        <v>25</v>
      </c>
      <c r="C23" s="126">
        <v>200</v>
      </c>
      <c r="D23" s="127">
        <v>200</v>
      </c>
      <c r="E23" s="127">
        <v>200</v>
      </c>
      <c r="F23" s="127">
        <v>200</v>
      </c>
      <c r="G23" s="127">
        <v>200</v>
      </c>
      <c r="H23" s="127">
        <v>1000</v>
      </c>
      <c r="I23" s="127">
        <v>200</v>
      </c>
      <c r="J23" s="127">
        <v>200</v>
      </c>
      <c r="K23" s="127">
        <v>200</v>
      </c>
      <c r="L23" s="127">
        <v>200</v>
      </c>
      <c r="M23" s="127">
        <v>200</v>
      </c>
      <c r="N23" s="127">
        <v>1000</v>
      </c>
      <c r="O23" s="96">
        <f t="shared" si="2"/>
        <v>4000</v>
      </c>
      <c r="P23" s="20"/>
      <c r="Q23" s="9"/>
      <c r="R23" s="9"/>
      <c r="S23" s="9"/>
      <c r="T23" s="9"/>
    </row>
    <row r="24" spans="1:20" ht="24.9" customHeight="1" thickBot="1" x14ac:dyDescent="0.35">
      <c r="A24" s="15"/>
      <c r="B24" s="21" t="s">
        <v>26</v>
      </c>
      <c r="C24" s="126">
        <v>5000</v>
      </c>
      <c r="D24" s="127">
        <v>0</v>
      </c>
      <c r="E24" s="127">
        <v>0</v>
      </c>
      <c r="F24" s="127">
        <v>5000</v>
      </c>
      <c r="G24" s="127">
        <v>0</v>
      </c>
      <c r="H24" s="127">
        <v>0</v>
      </c>
      <c r="I24" s="127">
        <v>5000</v>
      </c>
      <c r="J24" s="127">
        <v>0</v>
      </c>
      <c r="K24" s="127">
        <v>0</v>
      </c>
      <c r="L24" s="127">
        <v>5000</v>
      </c>
      <c r="M24" s="127">
        <v>0</v>
      </c>
      <c r="N24" s="127">
        <v>0</v>
      </c>
      <c r="O24" s="96">
        <f t="shared" si="2"/>
        <v>20000</v>
      </c>
      <c r="P24" s="20"/>
      <c r="Q24" s="9"/>
      <c r="R24" s="9"/>
      <c r="S24" s="9"/>
      <c r="T24" s="9"/>
    </row>
    <row r="25" spans="1:20" ht="24.9" customHeight="1" thickBot="1" x14ac:dyDescent="0.35">
      <c r="A25" s="15"/>
      <c r="B25" s="21" t="s">
        <v>27</v>
      </c>
      <c r="C25" s="126">
        <v>200</v>
      </c>
      <c r="D25" s="127">
        <v>200</v>
      </c>
      <c r="E25" s="127">
        <v>200</v>
      </c>
      <c r="F25" s="127">
        <v>200</v>
      </c>
      <c r="G25" s="127">
        <v>200</v>
      </c>
      <c r="H25" s="127">
        <v>200</v>
      </c>
      <c r="I25" s="127">
        <v>200</v>
      </c>
      <c r="J25" s="127">
        <v>200</v>
      </c>
      <c r="K25" s="127">
        <v>200</v>
      </c>
      <c r="L25" s="127">
        <v>200</v>
      </c>
      <c r="M25" s="127">
        <v>200</v>
      </c>
      <c r="N25" s="127">
        <v>200</v>
      </c>
      <c r="O25" s="96">
        <f t="shared" si="2"/>
        <v>2400</v>
      </c>
      <c r="P25" s="20"/>
      <c r="Q25" s="9"/>
      <c r="R25" s="9"/>
      <c r="S25" s="9"/>
      <c r="T25" s="9"/>
    </row>
    <row r="26" spans="1:20" ht="24.9" customHeight="1" thickBot="1" x14ac:dyDescent="0.35">
      <c r="A26" s="15"/>
      <c r="B26" s="21" t="s">
        <v>28</v>
      </c>
      <c r="C26" s="126">
        <v>2000</v>
      </c>
      <c r="D26" s="127">
        <v>2000</v>
      </c>
      <c r="E26" s="127">
        <v>2000</v>
      </c>
      <c r="F26" s="127">
        <v>5000</v>
      </c>
      <c r="G26" s="127">
        <v>2000</v>
      </c>
      <c r="H26" s="127">
        <v>2000</v>
      </c>
      <c r="I26" s="127">
        <v>2000</v>
      </c>
      <c r="J26" s="127">
        <v>5000</v>
      </c>
      <c r="K26" s="127">
        <v>2000</v>
      </c>
      <c r="L26" s="127">
        <v>2000</v>
      </c>
      <c r="M26" s="127">
        <v>2000</v>
      </c>
      <c r="N26" s="127">
        <v>5000</v>
      </c>
      <c r="O26" s="96">
        <f t="shared" si="2"/>
        <v>33000</v>
      </c>
      <c r="P26" s="20"/>
      <c r="Q26" s="9"/>
      <c r="R26" s="9"/>
      <c r="S26" s="9"/>
      <c r="T26" s="9"/>
    </row>
    <row r="27" spans="1:20" ht="24.9" customHeight="1" thickBot="1" x14ac:dyDescent="0.35">
      <c r="A27" s="15"/>
      <c r="B27" s="21" t="s">
        <v>29</v>
      </c>
      <c r="C27" s="126">
        <v>200</v>
      </c>
      <c r="D27" s="127">
        <v>200</v>
      </c>
      <c r="E27" s="127">
        <v>200</v>
      </c>
      <c r="F27" s="127">
        <v>200</v>
      </c>
      <c r="G27" s="127">
        <v>200</v>
      </c>
      <c r="H27" s="127">
        <v>200</v>
      </c>
      <c r="I27" s="127">
        <v>200</v>
      </c>
      <c r="J27" s="127">
        <v>200</v>
      </c>
      <c r="K27" s="127">
        <v>200</v>
      </c>
      <c r="L27" s="127">
        <v>200</v>
      </c>
      <c r="M27" s="127">
        <v>200</v>
      </c>
      <c r="N27" s="127">
        <v>200</v>
      </c>
      <c r="O27" s="96">
        <f t="shared" si="2"/>
        <v>2400</v>
      </c>
      <c r="P27" s="20"/>
      <c r="Q27" s="9"/>
      <c r="R27" s="9"/>
      <c r="S27" s="9"/>
      <c r="T27" s="9"/>
    </row>
    <row r="28" spans="1:20" ht="24.9" customHeight="1" x14ac:dyDescent="0.3">
      <c r="A28" s="15"/>
      <c r="B28" s="29" t="s">
        <v>13</v>
      </c>
      <c r="C28" s="97">
        <f>SUBTOTAL(109,خطة_التسويق[يناير])</f>
        <v>8100</v>
      </c>
      <c r="D28" s="80">
        <f>SUBTOTAL(109,خطة_التسويق[فبراير])</f>
        <v>3100</v>
      </c>
      <c r="E28" s="80">
        <f>SUBTOTAL(109,خطة_التسويق[مارس])</f>
        <v>3100</v>
      </c>
      <c r="F28" s="80">
        <f>SUBTOTAL(109,خطة_التسويق[أبريل])</f>
        <v>11100</v>
      </c>
      <c r="G28" s="80">
        <f>SUBTOTAL(109,خطة_التسويق[مايو])</f>
        <v>3100</v>
      </c>
      <c r="H28" s="80">
        <f>SUBTOTAL(109,خطة_التسويق[يونيو])</f>
        <v>3900</v>
      </c>
      <c r="I28" s="80">
        <f>SUBTOTAL(109,خطة_التسويق[يوليو])</f>
        <v>8100</v>
      </c>
      <c r="J28" s="80">
        <f>SUBTOTAL(109,خطة_التسويق[أغسطس])</f>
        <v>6100</v>
      </c>
      <c r="K28" s="80">
        <f>SUBTOTAL(109,خطة_التسويق[سبتمبر])</f>
        <v>3100</v>
      </c>
      <c r="L28" s="80">
        <f>SUBTOTAL(109,خطة_التسويق[أكتوبر])</f>
        <v>8100</v>
      </c>
      <c r="M28" s="80">
        <f>SUBTOTAL(109,خطة_التسويق[نوفمبر])</f>
        <v>3100</v>
      </c>
      <c r="N28" s="80">
        <f>SUBTOTAL(109,خطة_التسويق[ديسمبر])</f>
        <v>6900</v>
      </c>
      <c r="O28" s="98">
        <f>SUBTOTAL(109,خطة_التسويق[السنة])</f>
        <v>67800</v>
      </c>
      <c r="P28" s="20"/>
      <c r="Q28" s="9"/>
      <c r="R28" s="9"/>
      <c r="S28" s="9"/>
      <c r="T28" s="9"/>
    </row>
    <row r="29" spans="1:20" ht="21" customHeight="1" x14ac:dyDescent="0.3">
      <c r="A29" s="15"/>
      <c r="B29" s="23"/>
      <c r="C29" s="71"/>
      <c r="D29" s="77"/>
      <c r="E29" s="77"/>
      <c r="F29" s="77"/>
      <c r="G29" s="77"/>
      <c r="H29" s="77"/>
      <c r="I29" s="77"/>
      <c r="J29" s="77"/>
      <c r="K29" s="77"/>
      <c r="L29" s="77"/>
      <c r="M29" s="77"/>
      <c r="N29" s="77"/>
      <c r="O29" s="73"/>
      <c r="P29" s="20"/>
      <c r="Q29" s="9"/>
      <c r="R29" s="9"/>
      <c r="S29" s="9"/>
      <c r="T29" s="9"/>
    </row>
    <row r="30" spans="1:20" ht="21" customHeight="1" thickBot="1" x14ac:dyDescent="0.35">
      <c r="A30" s="15"/>
      <c r="B30" s="30" t="s">
        <v>30</v>
      </c>
      <c r="C30" s="74" t="s">
        <v>36</v>
      </c>
      <c r="D30" s="74" t="s">
        <v>37</v>
      </c>
      <c r="E30" s="74" t="s">
        <v>38</v>
      </c>
      <c r="F30" s="74" t="s">
        <v>39</v>
      </c>
      <c r="G30" s="74" t="s">
        <v>40</v>
      </c>
      <c r="H30" s="74" t="s">
        <v>41</v>
      </c>
      <c r="I30" s="74" t="s">
        <v>42</v>
      </c>
      <c r="J30" s="74" t="s">
        <v>43</v>
      </c>
      <c r="K30" s="74" t="s">
        <v>46</v>
      </c>
      <c r="L30" s="74" t="s">
        <v>47</v>
      </c>
      <c r="M30" s="74" t="s">
        <v>48</v>
      </c>
      <c r="N30" s="74" t="s">
        <v>49</v>
      </c>
      <c r="O30" s="75" t="s">
        <v>50</v>
      </c>
      <c r="P30" s="20"/>
      <c r="Q30" s="9"/>
      <c r="R30" s="9"/>
      <c r="S30" s="9"/>
      <c r="T30" s="9"/>
    </row>
    <row r="31" spans="1:20" ht="21" customHeight="1" thickBot="1" x14ac:dyDescent="0.35">
      <c r="A31" s="15"/>
      <c r="B31" s="21" t="s">
        <v>31</v>
      </c>
      <c r="C31" s="126">
        <v>2000</v>
      </c>
      <c r="D31" s="127">
        <v>2000</v>
      </c>
      <c r="E31" s="127">
        <v>2000</v>
      </c>
      <c r="F31" s="127">
        <v>2000</v>
      </c>
      <c r="G31" s="127">
        <v>2000</v>
      </c>
      <c r="H31" s="127">
        <v>2000</v>
      </c>
      <c r="I31" s="127">
        <v>2000</v>
      </c>
      <c r="J31" s="127">
        <v>2000</v>
      </c>
      <c r="K31" s="127">
        <v>2000</v>
      </c>
      <c r="L31" s="127">
        <v>2000</v>
      </c>
      <c r="M31" s="127">
        <v>2000</v>
      </c>
      <c r="N31" s="127">
        <v>2000</v>
      </c>
      <c r="O31" s="128">
        <f>SUM(C31:N31)</f>
        <v>24000</v>
      </c>
      <c r="P31" s="20"/>
      <c r="Q31" s="9"/>
      <c r="R31" s="9"/>
      <c r="S31" s="9"/>
      <c r="T31" s="9"/>
    </row>
    <row r="32" spans="1:20" ht="21" customHeight="1" thickBot="1" x14ac:dyDescent="0.35">
      <c r="A32" s="15"/>
      <c r="B32" s="21" t="s">
        <v>32</v>
      </c>
      <c r="C32" s="126">
        <v>2000</v>
      </c>
      <c r="D32" s="127">
        <v>2000</v>
      </c>
      <c r="E32" s="127">
        <v>2000</v>
      </c>
      <c r="F32" s="127">
        <v>2000</v>
      </c>
      <c r="G32" s="127">
        <v>2000</v>
      </c>
      <c r="H32" s="127">
        <v>2000</v>
      </c>
      <c r="I32" s="127">
        <v>2000</v>
      </c>
      <c r="J32" s="127">
        <v>2000</v>
      </c>
      <c r="K32" s="127">
        <v>2000</v>
      </c>
      <c r="L32" s="127">
        <v>2000</v>
      </c>
      <c r="M32" s="127">
        <v>2000</v>
      </c>
      <c r="N32" s="127">
        <v>2000</v>
      </c>
      <c r="O32" s="128">
        <f>SUM(C32:N32)</f>
        <v>24000</v>
      </c>
      <c r="P32" s="20"/>
      <c r="Q32" s="9"/>
      <c r="R32" s="9"/>
      <c r="S32" s="9"/>
      <c r="T32" s="9"/>
    </row>
    <row r="33" spans="1:20" ht="21" customHeight="1" x14ac:dyDescent="0.3">
      <c r="A33" s="15"/>
      <c r="B33" s="29" t="s">
        <v>13</v>
      </c>
      <c r="C33" s="131">
        <f>SUBTOTAL(109,خطة_السفر_والتدريب[يناير])</f>
        <v>4000</v>
      </c>
      <c r="D33" s="129">
        <f>SUBTOTAL(109,خطة_السفر_والتدريب[فبراير])</f>
        <v>4000</v>
      </c>
      <c r="E33" s="129">
        <f>SUBTOTAL(109,خطة_السفر_والتدريب[مارس])</f>
        <v>4000</v>
      </c>
      <c r="F33" s="129">
        <f>SUBTOTAL(109,خطة_السفر_والتدريب[أبريل])</f>
        <v>4000</v>
      </c>
      <c r="G33" s="129">
        <f>SUBTOTAL(109,خطة_السفر_والتدريب[مايو])</f>
        <v>4000</v>
      </c>
      <c r="H33" s="129">
        <f>SUBTOTAL(109,خطة_السفر_والتدريب[يونيو])</f>
        <v>4000</v>
      </c>
      <c r="I33" s="129">
        <f>SUBTOTAL(109,خطة_السفر_والتدريب[يوليو])</f>
        <v>4000</v>
      </c>
      <c r="J33" s="129">
        <f>SUBTOTAL(109,خطة_السفر_والتدريب[أغسطس])</f>
        <v>4000</v>
      </c>
      <c r="K33" s="129">
        <f>SUBTOTAL(109,خطة_السفر_والتدريب[سبتمبر])</f>
        <v>4000</v>
      </c>
      <c r="L33" s="129">
        <f>SUBTOTAL(109,خطة_السفر_والتدريب[أكتوبر])</f>
        <v>4000</v>
      </c>
      <c r="M33" s="129">
        <f>SUBTOTAL(109,خطة_السفر_والتدريب[نوفمبر])</f>
        <v>4000</v>
      </c>
      <c r="N33" s="129">
        <f>SUBTOTAL(109,خطة_السفر_والتدريب[ديسمبر])</f>
        <v>4000</v>
      </c>
      <c r="O33" s="130">
        <f>SUBTOTAL(109,خطة_السفر_والتدريب[السنة])</f>
        <v>48000</v>
      </c>
      <c r="P33" s="20"/>
      <c r="Q33" s="9"/>
      <c r="R33" s="9"/>
      <c r="S33" s="9"/>
      <c r="T33" s="9"/>
    </row>
    <row r="34" spans="1:20" ht="21" customHeight="1" x14ac:dyDescent="0.3">
      <c r="A34" s="15"/>
      <c r="B34" s="23"/>
      <c r="C34" s="71"/>
      <c r="D34" s="73"/>
      <c r="E34" s="73"/>
      <c r="F34" s="73"/>
      <c r="G34" s="73"/>
      <c r="H34" s="73"/>
      <c r="I34" s="73"/>
      <c r="J34" s="73"/>
      <c r="K34" s="73"/>
      <c r="L34" s="73"/>
      <c r="M34" s="73"/>
      <c r="N34" s="73"/>
      <c r="O34" s="73"/>
      <c r="P34" s="20"/>
      <c r="Q34" s="9"/>
      <c r="R34" s="9"/>
      <c r="S34" s="9"/>
      <c r="T34" s="9"/>
    </row>
    <row r="35" spans="1:20" ht="24.9" customHeight="1" thickBot="1" x14ac:dyDescent="0.35">
      <c r="A35" s="15"/>
      <c r="B35" s="31" t="s">
        <v>33</v>
      </c>
      <c r="C35" s="32" t="s">
        <v>36</v>
      </c>
      <c r="D35" s="32" t="s">
        <v>37</v>
      </c>
      <c r="E35" s="32" t="s">
        <v>38</v>
      </c>
      <c r="F35" s="32" t="s">
        <v>39</v>
      </c>
      <c r="G35" s="32" t="s">
        <v>40</v>
      </c>
      <c r="H35" s="32" t="s">
        <v>41</v>
      </c>
      <c r="I35" s="32" t="s">
        <v>42</v>
      </c>
      <c r="J35" s="32" t="s">
        <v>43</v>
      </c>
      <c r="K35" s="32" t="s">
        <v>46</v>
      </c>
      <c r="L35" s="32" t="s">
        <v>47</v>
      </c>
      <c r="M35" s="32" t="s">
        <v>48</v>
      </c>
      <c r="N35" s="32" t="s">
        <v>49</v>
      </c>
      <c r="O35" s="32" t="s">
        <v>50</v>
      </c>
      <c r="P35" s="20"/>
      <c r="Q35" s="9"/>
      <c r="R35" s="9"/>
      <c r="S35" s="9"/>
      <c r="T35" s="9"/>
    </row>
    <row r="36" spans="1:20" ht="24.9" customHeight="1" thickBot="1" x14ac:dyDescent="0.35">
      <c r="A36" s="15"/>
      <c r="B36" s="33" t="s">
        <v>34</v>
      </c>
      <c r="C36" s="94">
        <f>خطة_السفر_والتدريب[[#Totals],[يناير]]+خطة_التسويق[[#Totals],[يناير]]+خطة_المكتب[[#Totals],[يناير]]+خطة_الموظفين[[#Totals],[يناير]]</f>
        <v>131420</v>
      </c>
      <c r="D36" s="94">
        <f>خطة_السفر_والتدريب[[#Totals],[فبراير]]+خطة_التسويق[[#Totals],[فبراير]]+خطة_المكتب[[#Totals],[فبراير]]+خطة_الموظفين[[#Totals],[فبراير]]</f>
        <v>126820</v>
      </c>
      <c r="E36" s="94">
        <f>خطة_السفر_والتدريب[[#Totals],[مارس]]+خطة_التسويق[[#Totals],[مارس]]+خطة_المكتب[[#Totals],[مارس]]+خطة_الموظفين[[#Totals],[مارس]]</f>
        <v>126820</v>
      </c>
      <c r="F36" s="94">
        <f>خطة_السفر_والتدريب[[#Totals],[أبريل]]+خطة_التسويق[[#Totals],[أبريل]]+خطة_المكتب[[#Totals],[أبريل]]+خطة_الموظفين[[#Totals],[أبريل]]</f>
        <v>137695</v>
      </c>
      <c r="G36" s="94">
        <f>خطة_السفر_والتدريب[[#Totals],[مايو]]+خطة_التسويق[[#Totals],[مايو]]+خطة_المكتب[[#Totals],[مايو]]+خطة_الموظفين[[#Totals],[مايو]]</f>
        <v>129695</v>
      </c>
      <c r="H36" s="94">
        <f>خطة_السفر_والتدريب[[#Totals],[يونيو]]+خطة_التسويق[[#Totals],[يونيو]]+خطة_المكتب[[#Totals],[يونيو]]+خطة_الموظفين[[#Totals],[يونيو]]</f>
        <v>130495</v>
      </c>
      <c r="I36" s="95">
        <f>خطة_السفر_والتدريب[[#Totals],[يوليو]]+خطة_التسويق[[#Totals],[يوليو]]+خطة_المكتب[[#Totals],[يوليو]]+خطة_الموظفين[[#Totals],[يوليو]]</f>
        <v>134695</v>
      </c>
      <c r="J36" s="94">
        <f>خطة_السفر_والتدريب[[#Totals],[أغسطس]]+خطة_التسويق[[#Totals],[أغسطس]]+خطة_المكتب[[#Totals],[أغسطس]]+خطة_الموظفين[[#Totals],[أغسطس]]</f>
        <v>138918</v>
      </c>
      <c r="K36" s="94">
        <f>خطة_السفر_والتدريب[[#Totals],[سبتمبر]]+خطة_التسويق[[#Totals],[سبتمبر]]+خطة_المكتب[[#Totals],[سبتمبر]]+خطة_الموظفين[[#Totals],[سبتمبر]]</f>
        <v>135918</v>
      </c>
      <c r="L36" s="94">
        <f>خطة_السفر_والتدريب[[#Totals],[أكتوبر]]+خطة_التسويق[[#Totals],[أكتوبر]]+خطة_المكتب[[#Totals],[أكتوبر]]+خطة_الموظفين[[#Totals],[أكتوبر]]</f>
        <v>140918</v>
      </c>
      <c r="M36" s="94">
        <f>خطة_السفر_والتدريب[[#Totals],[نوفمبر]]+خطة_التسويق[[#Totals],[نوفمبر]]+خطة_المكتب[[#Totals],[نوفمبر]]+خطة_الموظفين[[#Totals],[نوفمبر]]</f>
        <v>136218</v>
      </c>
      <c r="N36" s="94">
        <f>خطة_السفر_والتدريب[[#Totals],[ديسمبر]]+خطة_التسويق[[#Totals],[ديسمبر]]+خطة_المكتب[[#Totals],[ديسمبر]]+خطة_الموظفين[[#Totals],[ديسمبر]]</f>
        <v>140018</v>
      </c>
      <c r="O36" s="94">
        <f>خطة_السفر_والتدريب[[#Totals],[السنة]]+خطة_التسويق[[#Totals],[السنة]]+خطة_المكتب[[#Totals],[السنة]]+خطة_الموظفين[[#Totals],[السنة]]</f>
        <v>1609630</v>
      </c>
      <c r="P36" s="20"/>
      <c r="Q36" s="9"/>
      <c r="R36" s="9"/>
      <c r="S36" s="9"/>
      <c r="T36" s="9"/>
    </row>
    <row r="37" spans="1:20" ht="24.9" customHeight="1" x14ac:dyDescent="0.3">
      <c r="A37" s="15"/>
      <c r="B37" s="33" t="s">
        <v>35</v>
      </c>
      <c r="C37" s="94">
        <f>SUM($C$36:C36)</f>
        <v>131420</v>
      </c>
      <c r="D37" s="94">
        <f>SUM($C$36:D36)</f>
        <v>258240</v>
      </c>
      <c r="E37" s="94">
        <f>SUM($C$36:E36)</f>
        <v>385060</v>
      </c>
      <c r="F37" s="94">
        <f>SUM($C$36:F36)</f>
        <v>522755</v>
      </c>
      <c r="G37" s="94">
        <f>SUM($C$36:G36)</f>
        <v>652450</v>
      </c>
      <c r="H37" s="94">
        <f>SUM($C$36:H36)</f>
        <v>782945</v>
      </c>
      <c r="I37" s="94">
        <f>SUM($C$36:I36)</f>
        <v>917640</v>
      </c>
      <c r="J37" s="94">
        <f>SUM($C$36:J36)</f>
        <v>1056558</v>
      </c>
      <c r="K37" s="94">
        <f>SUM($C$36:K36)</f>
        <v>1192476</v>
      </c>
      <c r="L37" s="94">
        <f>SUM($C$36:L36)</f>
        <v>1333394</v>
      </c>
      <c r="M37" s="94">
        <f>SUM($C$36:M36)</f>
        <v>1469612</v>
      </c>
      <c r="N37" s="94">
        <f>SUM($C$36:N36)</f>
        <v>1609630</v>
      </c>
      <c r="O37" s="94"/>
      <c r="P37" s="20"/>
      <c r="Q37" s="9"/>
      <c r="R37" s="9"/>
      <c r="S37" s="9"/>
      <c r="T37" s="9"/>
    </row>
    <row r="38" spans="1:20" ht="21" customHeight="1" x14ac:dyDescent="0.3">
      <c r="A38" s="34"/>
      <c r="B38" s="9"/>
      <c r="C38" s="9"/>
      <c r="D38" s="9"/>
      <c r="E38" s="9"/>
      <c r="F38" s="9"/>
      <c r="G38" s="9"/>
      <c r="H38" s="9"/>
      <c r="I38" s="9"/>
      <c r="J38" s="9"/>
      <c r="K38" s="9"/>
      <c r="L38" s="9"/>
      <c r="M38" s="9"/>
      <c r="N38" s="9"/>
      <c r="O38" s="9"/>
      <c r="P38" s="9"/>
      <c r="Q38" s="9"/>
      <c r="R38" s="9"/>
      <c r="S38" s="9"/>
      <c r="T38" s="9"/>
    </row>
  </sheetData>
  <mergeCells count="3">
    <mergeCell ref="R4:T13"/>
    <mergeCell ref="K2:M2"/>
    <mergeCell ref="K3:M3"/>
  </mergeCells>
  <dataValidations count="9">
    <dataValidation allowBlank="1" showInputMessage="1" showErrorMessage="1" prompt="يوجد العنصر النائب للشعار في هذه الخلية." sqref="N2" xr:uid="{945E4055-1BEA-4F2B-AF1A-B15640887A38}"/>
    <dataValidation allowBlank="1" showInputMessage="1" showErrorMessage="1" prompt="توجد التسمية &quot;المصروفات المخططة&quot; في الخلية الموجودة على اليسار، والأشهر في الخلايا من C4 إلى N4، والتسمية &quot;السنة&quot; في O4، وإرشادات &quot;كيفية استخدام هذا القالب&quot; في الخلية R4." sqref="A4" xr:uid="{FC1A50C5-6C61-4FA0-BFBA-2CC82DE4DC0B}"/>
    <dataValidation allowBlank="1" showInputMessage="1" showErrorMessage="1" prompt="أدخل &quot;تكاليف الموظفين&quot; في الجدول &quot;خطة الموظفين&quot; بدءاً من الخلية الموجودة على اليسار. التعليمات التالية موجودة في الخلية A10." sqref="A5" xr:uid="{EED19FC0-ADDC-4580-BE69-2FEDE2EE49A6}"/>
    <dataValidation allowBlank="1" showInputMessage="1" showErrorMessage="1" prompt="أدخل تكاليف المكتب في جدول خطة المكتب بدءاً من الخلية الموجودة على اليسار. التعليمات التالية موجودة في الخلية A21." sqref="A10" xr:uid="{8C5477C2-13FC-4F55-AAB3-60246BBB7A64}"/>
    <dataValidation allowBlank="1" showInputMessage="1" showErrorMessage="1" prompt="أدخل تكاليف التسويق في جدول خطة التسويق بدءاً من الخلية الموجودة على اليمين. التعليمات التالية موجودة في الخلية A30." sqref="A21" xr:uid="{66411362-0BD5-4E49-BFA8-E0A0A55D07AD}"/>
    <dataValidation allowBlank="1" showInputMessage="1" showErrorMessage="1" prompt="يتم حساب الإجماليات تلقائياً في الجدول &quot;المخطط الإجمالي&quot; بدءاً من الخلية الموجودة على اليسار." sqref="A30" xr:uid="{6B0B8404-700F-48B3-AD96-0ED1CE7011E9}"/>
    <dataValidation allowBlank="1" showInputMessage="1" showErrorMessage="1" prompt="أدخل تكاليف الموظف المخططة، وتكاليف المكتب، وتكاليف التسويق، والتدريب أو تكلفة السفر في الجداول المعنية في ورقة العمل هذه. المجاميع يتم حسابها تلقائياً. توجد إرشادات حول كيفية استخدام ورقة العمل هذه في الخلايا الموجودة في هذا العمود. سهم لأسفل لتبدأ." sqref="A1" xr:uid="{C6D84CBA-4A3E-4161-9004-1D9F785E5541}"/>
    <dataValidation allowBlank="1" showInputMessage="1" showErrorMessage="1" prompt="أدخل اسم الشركة في الخلية على اليسار والشعار في الخلية N2. عنوان ورقة العمل هذه موجود في الخلية K2." sqref="A2" xr:uid="{B4473BB7-021E-4A63-A5F5-4234C1B5B724}"/>
    <dataValidation allowBlank="1" showInputMessage="1" showErrorMessage="1" prompt="يوجد تلميح في الخلية K3." sqref="A3" xr:uid="{3ECF8058-2463-465E-ADF4-F540ECB4A91E}"/>
  </dataValidations>
  <pageMargins left="0.7" right="0.7" top="0.75" bottom="0.75" header="0.3" footer="0.3"/>
  <pageSetup paperSize="9" fitToHeight="0" orientation="portrait" r:id="rId1"/>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autoPageBreaks="0"/>
  </sheetPr>
  <dimension ref="A1:P38"/>
  <sheetViews>
    <sheetView showGridLines="0" rightToLeft="1" zoomScaleNormal="100" workbookViewId="0"/>
  </sheetViews>
  <sheetFormatPr defaultColWidth="9.125" defaultRowHeight="21" customHeight="1" x14ac:dyDescent="0.3"/>
  <cols>
    <col min="1" max="1" width="4.75" style="106" customWidth="1"/>
    <col min="2" max="2" width="40.625" style="112" customWidth="1"/>
    <col min="3" max="14" width="19.625" style="112" customWidth="1"/>
    <col min="15" max="15" width="20.625" style="112" customWidth="1"/>
    <col min="16" max="16" width="4.75" style="106" customWidth="1"/>
    <col min="17" max="16384" width="9.125" style="112"/>
  </cols>
  <sheetData>
    <row r="1" spans="1:16" s="106" customFormat="1" ht="24" customHeight="1" x14ac:dyDescent="0.3">
      <c r="A1" s="5"/>
      <c r="B1" s="6"/>
      <c r="C1" s="6"/>
      <c r="D1" s="6"/>
      <c r="E1" s="6"/>
      <c r="F1" s="7"/>
      <c r="G1" s="7"/>
      <c r="H1" s="7"/>
      <c r="I1" s="7"/>
      <c r="J1" s="7"/>
      <c r="K1" s="7"/>
      <c r="L1" s="7"/>
      <c r="M1" s="7"/>
      <c r="N1" s="7"/>
      <c r="O1" s="7"/>
      <c r="P1" s="8" t="s">
        <v>51</v>
      </c>
    </row>
    <row r="2" spans="1:16" s="106" customFormat="1" ht="45" customHeight="1" x14ac:dyDescent="0.35">
      <c r="A2" s="10"/>
      <c r="B2" s="11" t="str">
        <f>'المصروفات المخططة'!B2:D3</f>
        <v>اسم الشركة</v>
      </c>
      <c r="C2" s="11"/>
      <c r="D2" s="11"/>
      <c r="E2" s="104"/>
      <c r="F2" s="12"/>
      <c r="G2" s="12"/>
      <c r="H2" s="12"/>
      <c r="I2" s="12"/>
      <c r="J2" s="12"/>
      <c r="K2" s="133" t="str">
        <f>عنوان_ورقة_العمل</f>
        <v>تقديرات المصروفات التفصيلية</v>
      </c>
      <c r="L2" s="133"/>
      <c r="M2" s="133"/>
      <c r="N2" s="13"/>
      <c r="O2" s="13"/>
      <c r="P2" s="7"/>
    </row>
    <row r="3" spans="1:16" s="106" customFormat="1" ht="30" customHeight="1" x14ac:dyDescent="0.3">
      <c r="A3" s="10"/>
      <c r="B3" s="11"/>
      <c r="C3" s="11"/>
      <c r="D3" s="11"/>
      <c r="E3" s="105"/>
      <c r="F3" s="14"/>
      <c r="G3" s="14"/>
      <c r="H3" s="14"/>
      <c r="I3" s="14"/>
      <c r="J3" s="14"/>
      <c r="K3" s="134" t="s">
        <v>45</v>
      </c>
      <c r="L3" s="134"/>
      <c r="M3" s="134"/>
      <c r="N3" s="13"/>
      <c r="O3" s="13"/>
      <c r="P3" s="7"/>
    </row>
    <row r="4" spans="1:16" s="125" customFormat="1" ht="49.5" customHeight="1" x14ac:dyDescent="0.3">
      <c r="A4" s="15"/>
      <c r="B4" s="16" t="s">
        <v>52</v>
      </c>
      <c r="C4" s="68" t="s">
        <v>36</v>
      </c>
      <c r="D4" s="68" t="s">
        <v>37</v>
      </c>
      <c r="E4" s="68" t="s">
        <v>38</v>
      </c>
      <c r="F4" s="68" t="s">
        <v>39</v>
      </c>
      <c r="G4" s="68" t="s">
        <v>40</v>
      </c>
      <c r="H4" s="68" t="s">
        <v>41</v>
      </c>
      <c r="I4" s="68" t="s">
        <v>42</v>
      </c>
      <c r="J4" s="68" t="s">
        <v>43</v>
      </c>
      <c r="K4" s="68" t="s">
        <v>46</v>
      </c>
      <c r="L4" s="68" t="s">
        <v>47</v>
      </c>
      <c r="M4" s="68" t="s">
        <v>48</v>
      </c>
      <c r="N4" s="68" t="s">
        <v>49</v>
      </c>
      <c r="O4" s="68" t="s">
        <v>50</v>
      </c>
      <c r="P4" s="17"/>
    </row>
    <row r="5" spans="1:16" ht="24.9" customHeight="1" thickBot="1" x14ac:dyDescent="0.35">
      <c r="A5" s="15"/>
      <c r="B5" s="19" t="s">
        <v>10</v>
      </c>
      <c r="C5" s="81" t="s">
        <v>36</v>
      </c>
      <c r="D5" s="74" t="s">
        <v>37</v>
      </c>
      <c r="E5" s="74" t="s">
        <v>38</v>
      </c>
      <c r="F5" s="74" t="s">
        <v>39</v>
      </c>
      <c r="G5" s="74" t="s">
        <v>40</v>
      </c>
      <c r="H5" s="74" t="s">
        <v>41</v>
      </c>
      <c r="I5" s="74" t="s">
        <v>42</v>
      </c>
      <c r="J5" s="74" t="s">
        <v>43</v>
      </c>
      <c r="K5" s="74" t="s">
        <v>46</v>
      </c>
      <c r="L5" s="74" t="s">
        <v>47</v>
      </c>
      <c r="M5" s="74" t="s">
        <v>48</v>
      </c>
      <c r="N5" s="74" t="s">
        <v>49</v>
      </c>
      <c r="O5" s="75" t="s">
        <v>50</v>
      </c>
      <c r="P5" s="20"/>
    </row>
    <row r="6" spans="1:16" ht="24.9" customHeight="1" thickBot="1" x14ac:dyDescent="0.35">
      <c r="A6" s="15"/>
      <c r="B6" s="21" t="s">
        <v>11</v>
      </c>
      <c r="C6" s="126">
        <v>85000</v>
      </c>
      <c r="D6" s="127">
        <v>85000</v>
      </c>
      <c r="E6" s="127">
        <v>85000</v>
      </c>
      <c r="F6" s="127">
        <v>88000</v>
      </c>
      <c r="G6" s="127">
        <v>88000</v>
      </c>
      <c r="H6" s="127">
        <v>88000</v>
      </c>
      <c r="I6" s="127"/>
      <c r="J6" s="127"/>
      <c r="K6" s="127"/>
      <c r="L6" s="127"/>
      <c r="M6" s="127"/>
      <c r="N6" s="127"/>
      <c r="O6" s="128">
        <f>SUM(C6:N6)</f>
        <v>519000</v>
      </c>
      <c r="P6" s="20"/>
    </row>
    <row r="7" spans="1:16" ht="24.9" customHeight="1" thickBot="1" x14ac:dyDescent="0.35">
      <c r="A7" s="15"/>
      <c r="B7" s="21" t="s">
        <v>12</v>
      </c>
      <c r="C7" s="126">
        <f t="shared" ref="C7:N7" si="0">C6*0.27</f>
        <v>22950</v>
      </c>
      <c r="D7" s="127">
        <f t="shared" si="0"/>
        <v>22950</v>
      </c>
      <c r="E7" s="127">
        <f t="shared" si="0"/>
        <v>22950</v>
      </c>
      <c r="F7" s="127">
        <f t="shared" si="0"/>
        <v>23760</v>
      </c>
      <c r="G7" s="127">
        <f t="shared" si="0"/>
        <v>23760</v>
      </c>
      <c r="H7" s="127">
        <f t="shared" si="0"/>
        <v>23760</v>
      </c>
      <c r="I7" s="127">
        <f t="shared" si="0"/>
        <v>0</v>
      </c>
      <c r="J7" s="127">
        <f t="shared" si="0"/>
        <v>0</v>
      </c>
      <c r="K7" s="127">
        <f t="shared" si="0"/>
        <v>0</v>
      </c>
      <c r="L7" s="127">
        <f t="shared" si="0"/>
        <v>0</v>
      </c>
      <c r="M7" s="127">
        <f t="shared" si="0"/>
        <v>0</v>
      </c>
      <c r="N7" s="127">
        <f t="shared" si="0"/>
        <v>0</v>
      </c>
      <c r="O7" s="128">
        <f>SUM(C7:N7)</f>
        <v>140130</v>
      </c>
      <c r="P7" s="20"/>
    </row>
    <row r="8" spans="1:16" ht="24.9" customHeight="1" x14ac:dyDescent="0.3">
      <c r="A8" s="15"/>
      <c r="B8" s="35" t="s">
        <v>13</v>
      </c>
      <c r="C8" s="131">
        <f>SUBTOTAL(109,تكاليف_الموظفين_الفعلية[يناير])</f>
        <v>107950</v>
      </c>
      <c r="D8" s="129">
        <f>SUBTOTAL(109,تكاليف_الموظفين_الفعلية[فبراير])</f>
        <v>107950</v>
      </c>
      <c r="E8" s="129">
        <f>SUBTOTAL(109,تكاليف_الموظفين_الفعلية[مارس])</f>
        <v>107950</v>
      </c>
      <c r="F8" s="129">
        <f>SUBTOTAL(109,تكاليف_الموظفين_الفعلية[أبريل])</f>
        <v>111760</v>
      </c>
      <c r="G8" s="129">
        <f>SUBTOTAL(109,تكاليف_الموظفين_الفعلية[مايو])</f>
        <v>111760</v>
      </c>
      <c r="H8" s="129">
        <f>SUBTOTAL(109,تكاليف_الموظفين_الفعلية[يونيو])</f>
        <v>111760</v>
      </c>
      <c r="I8" s="129">
        <f>SUBTOTAL(109,تكاليف_الموظفين_الفعلية[يوليو])</f>
        <v>0</v>
      </c>
      <c r="J8" s="129">
        <f>SUBTOTAL(109,تكاليف_الموظفين_الفعلية[أغسطس])</f>
        <v>0</v>
      </c>
      <c r="K8" s="129">
        <f>SUBTOTAL(109,تكاليف_الموظفين_الفعلية[سبتمبر])</f>
        <v>0</v>
      </c>
      <c r="L8" s="129">
        <f>SUBTOTAL(109,تكاليف_الموظفين_الفعلية[أكتوبر])</f>
        <v>0</v>
      </c>
      <c r="M8" s="129">
        <f>SUBTOTAL(109,تكاليف_الموظفين_الفعلية[نوفمبر])</f>
        <v>0</v>
      </c>
      <c r="N8" s="129">
        <f>SUBTOTAL(109,تكاليف_الموظفين_الفعلية[ديسمبر])</f>
        <v>0</v>
      </c>
      <c r="O8" s="130">
        <f>SUBTOTAL(109,تكاليف_الموظفين_الفعلية[السنة])</f>
        <v>659130</v>
      </c>
      <c r="P8" s="20"/>
    </row>
    <row r="9" spans="1:16" s="106" customFormat="1" ht="21" customHeight="1" x14ac:dyDescent="0.3">
      <c r="A9" s="15"/>
      <c r="B9" s="23"/>
      <c r="C9" s="71"/>
      <c r="D9" s="72"/>
      <c r="E9" s="72"/>
      <c r="F9" s="72"/>
      <c r="G9" s="72"/>
      <c r="H9" s="72"/>
      <c r="I9" s="72"/>
      <c r="J9" s="72"/>
      <c r="K9" s="72"/>
      <c r="L9" s="72"/>
      <c r="M9" s="72"/>
      <c r="N9" s="72"/>
      <c r="O9" s="73"/>
      <c r="P9" s="20"/>
    </row>
    <row r="10" spans="1:16" ht="24.9" customHeight="1" thickBot="1" x14ac:dyDescent="0.35">
      <c r="A10" s="15"/>
      <c r="B10" s="36" t="s">
        <v>14</v>
      </c>
      <c r="C10" s="81" t="s">
        <v>36</v>
      </c>
      <c r="D10" s="74" t="s">
        <v>37</v>
      </c>
      <c r="E10" s="74" t="s">
        <v>38</v>
      </c>
      <c r="F10" s="74" t="s">
        <v>39</v>
      </c>
      <c r="G10" s="74" t="s">
        <v>40</v>
      </c>
      <c r="H10" s="74" t="s">
        <v>41</v>
      </c>
      <c r="I10" s="74" t="s">
        <v>42</v>
      </c>
      <c r="J10" s="74" t="s">
        <v>43</v>
      </c>
      <c r="K10" s="74" t="s">
        <v>46</v>
      </c>
      <c r="L10" s="74" t="s">
        <v>47</v>
      </c>
      <c r="M10" s="74" t="s">
        <v>48</v>
      </c>
      <c r="N10" s="74" t="s">
        <v>49</v>
      </c>
      <c r="O10" s="75" t="s">
        <v>50</v>
      </c>
      <c r="P10" s="20"/>
    </row>
    <row r="11" spans="1:16" ht="24.9" customHeight="1" thickBot="1" x14ac:dyDescent="0.35">
      <c r="A11" s="15"/>
      <c r="B11" s="21" t="s">
        <v>15</v>
      </c>
      <c r="C11" s="126">
        <v>9800</v>
      </c>
      <c r="D11" s="127">
        <v>9800</v>
      </c>
      <c r="E11" s="127">
        <v>9800</v>
      </c>
      <c r="F11" s="127">
        <v>9800</v>
      </c>
      <c r="G11" s="127">
        <v>9800</v>
      </c>
      <c r="H11" s="127">
        <v>9800</v>
      </c>
      <c r="I11" s="127"/>
      <c r="J11" s="127"/>
      <c r="K11" s="127"/>
      <c r="L11" s="127"/>
      <c r="M11" s="127"/>
      <c r="N11" s="127"/>
      <c r="O11" s="128">
        <f t="shared" ref="O11:O18" si="1">SUM(C11:N11)</f>
        <v>58800</v>
      </c>
      <c r="P11" s="20"/>
    </row>
    <row r="12" spans="1:16" ht="24.9" customHeight="1" thickBot="1" x14ac:dyDescent="0.35">
      <c r="A12" s="15"/>
      <c r="B12" s="21" t="s">
        <v>16</v>
      </c>
      <c r="C12" s="126">
        <v>4</v>
      </c>
      <c r="D12" s="127">
        <v>430</v>
      </c>
      <c r="E12" s="127">
        <v>385</v>
      </c>
      <c r="F12" s="127">
        <v>230</v>
      </c>
      <c r="G12" s="127">
        <v>87</v>
      </c>
      <c r="H12" s="127">
        <v>88</v>
      </c>
      <c r="I12" s="127"/>
      <c r="J12" s="127"/>
      <c r="K12" s="127"/>
      <c r="L12" s="127"/>
      <c r="M12" s="127"/>
      <c r="N12" s="127"/>
      <c r="O12" s="128">
        <f t="shared" si="1"/>
        <v>1224</v>
      </c>
      <c r="P12" s="20"/>
    </row>
    <row r="13" spans="1:16" ht="24.9" customHeight="1" thickBot="1" x14ac:dyDescent="0.35">
      <c r="A13" s="15"/>
      <c r="B13" s="21" t="s">
        <v>17</v>
      </c>
      <c r="C13" s="126">
        <v>288</v>
      </c>
      <c r="D13" s="127">
        <v>278</v>
      </c>
      <c r="E13" s="127">
        <v>268</v>
      </c>
      <c r="F13" s="127">
        <v>299</v>
      </c>
      <c r="G13" s="127">
        <v>306</v>
      </c>
      <c r="H13" s="127">
        <v>290</v>
      </c>
      <c r="I13" s="127"/>
      <c r="J13" s="127"/>
      <c r="K13" s="127"/>
      <c r="L13" s="127"/>
      <c r="M13" s="127"/>
      <c r="N13" s="127"/>
      <c r="O13" s="128">
        <f t="shared" si="1"/>
        <v>1729</v>
      </c>
      <c r="P13" s="20"/>
    </row>
    <row r="14" spans="1:16" ht="24.9" customHeight="1" thickBot="1" x14ac:dyDescent="0.35">
      <c r="A14" s="15"/>
      <c r="B14" s="21" t="s">
        <v>18</v>
      </c>
      <c r="C14" s="126">
        <v>35</v>
      </c>
      <c r="D14" s="127">
        <v>33</v>
      </c>
      <c r="E14" s="127">
        <v>34</v>
      </c>
      <c r="F14" s="127">
        <v>36</v>
      </c>
      <c r="G14" s="127">
        <v>34</v>
      </c>
      <c r="H14" s="127">
        <v>36</v>
      </c>
      <c r="I14" s="127"/>
      <c r="J14" s="127"/>
      <c r="K14" s="127"/>
      <c r="L14" s="127"/>
      <c r="M14" s="127"/>
      <c r="N14" s="127"/>
      <c r="O14" s="128">
        <f t="shared" si="1"/>
        <v>208</v>
      </c>
      <c r="P14" s="20"/>
    </row>
    <row r="15" spans="1:16" ht="24.9" customHeight="1" thickBot="1" x14ac:dyDescent="0.35">
      <c r="A15" s="15"/>
      <c r="B15" s="21" t="s">
        <v>19</v>
      </c>
      <c r="C15" s="126">
        <v>224</v>
      </c>
      <c r="D15" s="127">
        <v>235</v>
      </c>
      <c r="E15" s="127">
        <v>265</v>
      </c>
      <c r="F15" s="127">
        <v>245</v>
      </c>
      <c r="G15" s="127">
        <v>245</v>
      </c>
      <c r="H15" s="127">
        <v>220</v>
      </c>
      <c r="I15" s="127"/>
      <c r="J15" s="127"/>
      <c r="K15" s="127"/>
      <c r="L15" s="127"/>
      <c r="M15" s="127"/>
      <c r="N15" s="127"/>
      <c r="O15" s="128">
        <f t="shared" si="1"/>
        <v>1434</v>
      </c>
      <c r="P15" s="20"/>
    </row>
    <row r="16" spans="1:16" ht="24.9" customHeight="1" thickBot="1" x14ac:dyDescent="0.35">
      <c r="A16" s="15"/>
      <c r="B16" s="21" t="s">
        <v>20</v>
      </c>
      <c r="C16" s="126">
        <v>180</v>
      </c>
      <c r="D16" s="127">
        <v>180</v>
      </c>
      <c r="E16" s="127">
        <v>180</v>
      </c>
      <c r="F16" s="127">
        <v>180</v>
      </c>
      <c r="G16" s="127">
        <v>180</v>
      </c>
      <c r="H16" s="127">
        <v>180</v>
      </c>
      <c r="I16" s="127"/>
      <c r="J16" s="127"/>
      <c r="K16" s="127"/>
      <c r="L16" s="127"/>
      <c r="M16" s="127"/>
      <c r="N16" s="127"/>
      <c r="O16" s="128">
        <f t="shared" si="1"/>
        <v>1080</v>
      </c>
      <c r="P16" s="20"/>
    </row>
    <row r="17" spans="1:16" ht="24.9" customHeight="1" thickBot="1" x14ac:dyDescent="0.35">
      <c r="A17" s="15"/>
      <c r="B17" s="21" t="s">
        <v>21</v>
      </c>
      <c r="C17" s="126">
        <v>256</v>
      </c>
      <c r="D17" s="127">
        <v>142</v>
      </c>
      <c r="E17" s="127">
        <v>160</v>
      </c>
      <c r="F17" s="127">
        <v>221</v>
      </c>
      <c r="G17" s="127">
        <v>256</v>
      </c>
      <c r="H17" s="127">
        <v>240</v>
      </c>
      <c r="I17" s="127"/>
      <c r="J17" s="127"/>
      <c r="K17" s="127"/>
      <c r="L17" s="127"/>
      <c r="M17" s="127"/>
      <c r="N17" s="127"/>
      <c r="O17" s="128">
        <f t="shared" si="1"/>
        <v>1275</v>
      </c>
      <c r="P17" s="20"/>
    </row>
    <row r="18" spans="1:16" ht="24.9" customHeight="1" thickBot="1" x14ac:dyDescent="0.35">
      <c r="A18" s="15"/>
      <c r="B18" s="21" t="s">
        <v>22</v>
      </c>
      <c r="C18" s="126">
        <v>600</v>
      </c>
      <c r="D18" s="127">
        <v>600</v>
      </c>
      <c r="E18" s="127">
        <v>600</v>
      </c>
      <c r="F18" s="127">
        <v>600</v>
      </c>
      <c r="G18" s="127">
        <v>600</v>
      </c>
      <c r="H18" s="127">
        <v>600</v>
      </c>
      <c r="I18" s="127"/>
      <c r="J18" s="127"/>
      <c r="K18" s="127"/>
      <c r="L18" s="127"/>
      <c r="M18" s="127"/>
      <c r="N18" s="127"/>
      <c r="O18" s="128">
        <f t="shared" si="1"/>
        <v>3600</v>
      </c>
      <c r="P18" s="20"/>
    </row>
    <row r="19" spans="1:16" ht="24.9" customHeight="1" x14ac:dyDescent="0.3">
      <c r="A19" s="15"/>
      <c r="B19" s="37" t="s">
        <v>13</v>
      </c>
      <c r="C19" s="129">
        <f>SUBTOTAL(109,المكتب_الفعلي[يناير])</f>
        <v>11387</v>
      </c>
      <c r="D19" s="129">
        <f>SUBTOTAL(109,المكتب_الفعلي[فبراير])</f>
        <v>11698</v>
      </c>
      <c r="E19" s="129">
        <f>SUBTOTAL(109,المكتب_الفعلي[مارس])</f>
        <v>11692</v>
      </c>
      <c r="F19" s="129">
        <f>SUBTOTAL(109,المكتب_الفعلي[أبريل])</f>
        <v>11611</v>
      </c>
      <c r="G19" s="129">
        <f>SUBTOTAL(109,المكتب_الفعلي[مايو])</f>
        <v>11508</v>
      </c>
      <c r="H19" s="129">
        <f>SUBTOTAL(109,المكتب_الفعلي[يونيو])</f>
        <v>11454</v>
      </c>
      <c r="I19" s="129">
        <f>SUBTOTAL(109,المكتب_الفعلي[يوليو])</f>
        <v>0</v>
      </c>
      <c r="J19" s="129">
        <f>SUBTOTAL(109,المكتب_الفعلي[أغسطس])</f>
        <v>0</v>
      </c>
      <c r="K19" s="129">
        <f>SUBTOTAL(109,المكتب_الفعلي[سبتمبر])</f>
        <v>0</v>
      </c>
      <c r="L19" s="129">
        <f>SUBTOTAL(109,المكتب_الفعلي[أكتوبر])</f>
        <v>0</v>
      </c>
      <c r="M19" s="129">
        <f>SUBTOTAL(109,المكتب_الفعلي[نوفمبر])</f>
        <v>0</v>
      </c>
      <c r="N19" s="129">
        <f>SUBTOTAL(109,المكتب_الفعلي[ديسمبر])</f>
        <v>0</v>
      </c>
      <c r="O19" s="130">
        <f>SUBTOTAL(109,المكتب_الفعلي[السنة])</f>
        <v>69350</v>
      </c>
      <c r="P19" s="20"/>
    </row>
    <row r="20" spans="1:16" ht="21" customHeight="1" x14ac:dyDescent="0.3">
      <c r="A20" s="15"/>
      <c r="B20" s="27"/>
      <c r="C20" s="76"/>
      <c r="D20" s="72"/>
      <c r="E20" s="72"/>
      <c r="F20" s="77"/>
      <c r="G20" s="77"/>
      <c r="H20" s="77"/>
      <c r="I20" s="77"/>
      <c r="J20" s="77"/>
      <c r="K20" s="77"/>
      <c r="L20" s="77"/>
      <c r="M20" s="77"/>
      <c r="N20" s="77"/>
      <c r="O20" s="73"/>
      <c r="P20" s="20"/>
    </row>
    <row r="21" spans="1:16" ht="24.9" customHeight="1" thickBot="1" x14ac:dyDescent="0.35">
      <c r="A21" s="15"/>
      <c r="B21" s="38" t="s">
        <v>23</v>
      </c>
      <c r="C21" s="81" t="s">
        <v>36</v>
      </c>
      <c r="D21" s="74" t="s">
        <v>37</v>
      </c>
      <c r="E21" s="74" t="s">
        <v>38</v>
      </c>
      <c r="F21" s="74" t="s">
        <v>39</v>
      </c>
      <c r="G21" s="74" t="s">
        <v>40</v>
      </c>
      <c r="H21" s="74" t="s">
        <v>41</v>
      </c>
      <c r="I21" s="74" t="s">
        <v>42</v>
      </c>
      <c r="J21" s="74" t="s">
        <v>43</v>
      </c>
      <c r="K21" s="74" t="s">
        <v>46</v>
      </c>
      <c r="L21" s="74" t="s">
        <v>47</v>
      </c>
      <c r="M21" s="74" t="s">
        <v>48</v>
      </c>
      <c r="N21" s="74" t="s">
        <v>49</v>
      </c>
      <c r="O21" s="75" t="s">
        <v>50</v>
      </c>
      <c r="P21" s="20"/>
    </row>
    <row r="22" spans="1:16" ht="24.9" customHeight="1" thickBot="1" x14ac:dyDescent="0.35">
      <c r="A22" s="15"/>
      <c r="B22" s="21" t="s">
        <v>24</v>
      </c>
      <c r="C22" s="126">
        <v>500</v>
      </c>
      <c r="D22" s="127">
        <v>500</v>
      </c>
      <c r="E22" s="127">
        <v>500</v>
      </c>
      <c r="F22" s="127">
        <v>500</v>
      </c>
      <c r="G22" s="127">
        <v>500</v>
      </c>
      <c r="H22" s="127">
        <v>500</v>
      </c>
      <c r="I22" s="127"/>
      <c r="J22" s="127"/>
      <c r="K22" s="127"/>
      <c r="L22" s="127"/>
      <c r="M22" s="127"/>
      <c r="N22" s="127"/>
      <c r="O22" s="128">
        <f t="shared" ref="O22:O27" si="2">SUM(C22:N22)</f>
        <v>3000</v>
      </c>
      <c r="P22" s="20"/>
    </row>
    <row r="23" spans="1:16" ht="24.9" customHeight="1" thickBot="1" x14ac:dyDescent="0.35">
      <c r="A23" s="15"/>
      <c r="B23" s="21" t="s">
        <v>25</v>
      </c>
      <c r="C23" s="126">
        <v>200</v>
      </c>
      <c r="D23" s="127">
        <v>200</v>
      </c>
      <c r="E23" s="127">
        <v>200</v>
      </c>
      <c r="F23" s="127">
        <v>200</v>
      </c>
      <c r="G23" s="127">
        <v>200</v>
      </c>
      <c r="H23" s="127">
        <v>1500</v>
      </c>
      <c r="I23" s="127"/>
      <c r="J23" s="127"/>
      <c r="K23" s="127"/>
      <c r="L23" s="127"/>
      <c r="M23" s="127"/>
      <c r="N23" s="127"/>
      <c r="O23" s="128">
        <f t="shared" si="2"/>
        <v>2500</v>
      </c>
      <c r="P23" s="20"/>
    </row>
    <row r="24" spans="1:16" ht="24.9" customHeight="1" thickBot="1" x14ac:dyDescent="0.35">
      <c r="A24" s="15"/>
      <c r="B24" s="21" t="s">
        <v>26</v>
      </c>
      <c r="C24" s="126">
        <v>4800</v>
      </c>
      <c r="D24" s="127">
        <v>0</v>
      </c>
      <c r="E24" s="127">
        <v>0</v>
      </c>
      <c r="F24" s="127">
        <v>5500</v>
      </c>
      <c r="G24" s="127">
        <v>0</v>
      </c>
      <c r="H24" s="127">
        <v>0</v>
      </c>
      <c r="I24" s="127"/>
      <c r="J24" s="127"/>
      <c r="K24" s="127"/>
      <c r="L24" s="127"/>
      <c r="M24" s="127"/>
      <c r="N24" s="127"/>
      <c r="O24" s="128">
        <f t="shared" si="2"/>
        <v>10300</v>
      </c>
      <c r="P24" s="20"/>
    </row>
    <row r="25" spans="1:16" ht="24.9" customHeight="1" thickBot="1" x14ac:dyDescent="0.35">
      <c r="A25" s="15"/>
      <c r="B25" s="21" t="s">
        <v>27</v>
      </c>
      <c r="C25" s="126">
        <v>100</v>
      </c>
      <c r="D25" s="127">
        <v>500</v>
      </c>
      <c r="E25" s="127">
        <v>100</v>
      </c>
      <c r="F25" s="127">
        <v>100</v>
      </c>
      <c r="G25" s="127">
        <v>600</v>
      </c>
      <c r="H25" s="127">
        <v>180</v>
      </c>
      <c r="I25" s="127"/>
      <c r="J25" s="127"/>
      <c r="K25" s="127"/>
      <c r="L25" s="127"/>
      <c r="M25" s="127"/>
      <c r="N25" s="127"/>
      <c r="O25" s="128">
        <f t="shared" si="2"/>
        <v>1580</v>
      </c>
      <c r="P25" s="20"/>
    </row>
    <row r="26" spans="1:16" ht="24.9" customHeight="1" thickBot="1" x14ac:dyDescent="0.35">
      <c r="A26" s="15"/>
      <c r="B26" s="21" t="s">
        <v>28</v>
      </c>
      <c r="C26" s="126">
        <v>1800</v>
      </c>
      <c r="D26" s="127">
        <v>2200</v>
      </c>
      <c r="E26" s="127">
        <v>2200</v>
      </c>
      <c r="F26" s="127">
        <v>4700</v>
      </c>
      <c r="G26" s="127">
        <v>1500</v>
      </c>
      <c r="H26" s="127">
        <v>2300</v>
      </c>
      <c r="I26" s="127"/>
      <c r="J26" s="127"/>
      <c r="K26" s="127"/>
      <c r="L26" s="127"/>
      <c r="M26" s="127"/>
      <c r="N26" s="127"/>
      <c r="O26" s="128">
        <f t="shared" si="2"/>
        <v>14700</v>
      </c>
      <c r="P26" s="20"/>
    </row>
    <row r="27" spans="1:16" ht="24.9" customHeight="1" thickBot="1" x14ac:dyDescent="0.35">
      <c r="A27" s="15"/>
      <c r="B27" s="21" t="s">
        <v>29</v>
      </c>
      <c r="C27" s="126">
        <v>145</v>
      </c>
      <c r="D27" s="127">
        <v>156</v>
      </c>
      <c r="E27" s="127">
        <v>123</v>
      </c>
      <c r="F27" s="127">
        <v>223</v>
      </c>
      <c r="G27" s="127">
        <v>187</v>
      </c>
      <c r="H27" s="127">
        <v>245</v>
      </c>
      <c r="I27" s="127"/>
      <c r="J27" s="127"/>
      <c r="K27" s="127"/>
      <c r="L27" s="127"/>
      <c r="M27" s="127"/>
      <c r="N27" s="127"/>
      <c r="O27" s="128">
        <f t="shared" si="2"/>
        <v>1079</v>
      </c>
      <c r="P27" s="20"/>
    </row>
    <row r="28" spans="1:16" ht="24.9" customHeight="1" x14ac:dyDescent="0.3">
      <c r="A28" s="15"/>
      <c r="B28" s="39" t="s">
        <v>13</v>
      </c>
      <c r="C28" s="87">
        <f>SUBTOTAL(109,التسويق_الفعلي[يناير])</f>
        <v>7545</v>
      </c>
      <c r="D28" s="129">
        <f>SUBTOTAL(109,التسويق_الفعلي[فبراير])</f>
        <v>3556</v>
      </c>
      <c r="E28" s="129">
        <f>SUBTOTAL(109,التسويق_الفعلي[مارس])</f>
        <v>3123</v>
      </c>
      <c r="F28" s="129">
        <f>SUBTOTAL(109,التسويق_الفعلي[أبريل])</f>
        <v>11223</v>
      </c>
      <c r="G28" s="129">
        <f>SUBTOTAL(109,التسويق_الفعلي[مايو])</f>
        <v>2987</v>
      </c>
      <c r="H28" s="129">
        <f>SUBTOTAL(109,التسويق_الفعلي[يونيو])</f>
        <v>4725</v>
      </c>
      <c r="I28" s="129">
        <f>SUBTOTAL(109,التسويق_الفعلي[يوليو])</f>
        <v>0</v>
      </c>
      <c r="J28" s="129">
        <f>SUBTOTAL(109,التسويق_الفعلي[أغسطس])</f>
        <v>0</v>
      </c>
      <c r="K28" s="129">
        <f>SUBTOTAL(109,التسويق_الفعلي[سبتمبر])</f>
        <v>0</v>
      </c>
      <c r="L28" s="129">
        <f>SUBTOTAL(109,التسويق_الفعلي[أكتوبر])</f>
        <v>0</v>
      </c>
      <c r="M28" s="129">
        <f>SUBTOTAL(109,التسويق_الفعلي[نوفمبر])</f>
        <v>0</v>
      </c>
      <c r="N28" s="129">
        <f>SUBTOTAL(109,التسويق_الفعلي[ديسمبر])</f>
        <v>0</v>
      </c>
      <c r="O28" s="130">
        <f>SUBTOTAL(109,التسويق_الفعلي[السنة])</f>
        <v>33159</v>
      </c>
      <c r="P28" s="20"/>
    </row>
    <row r="29" spans="1:16" ht="21" customHeight="1" x14ac:dyDescent="0.3">
      <c r="A29" s="15"/>
      <c r="B29" s="23"/>
      <c r="C29" s="71"/>
      <c r="D29" s="77"/>
      <c r="E29" s="77"/>
      <c r="F29" s="77"/>
      <c r="G29" s="77"/>
      <c r="H29" s="77"/>
      <c r="I29" s="77"/>
      <c r="J29" s="77"/>
      <c r="K29" s="77"/>
      <c r="L29" s="77"/>
      <c r="M29" s="77"/>
      <c r="N29" s="77"/>
      <c r="O29" s="73"/>
      <c r="P29" s="20"/>
    </row>
    <row r="30" spans="1:16" ht="24.9" customHeight="1" thickBot="1" x14ac:dyDescent="0.35">
      <c r="A30" s="15"/>
      <c r="B30" s="30" t="s">
        <v>30</v>
      </c>
      <c r="C30" s="74" t="s">
        <v>36</v>
      </c>
      <c r="D30" s="74" t="s">
        <v>37</v>
      </c>
      <c r="E30" s="74" t="s">
        <v>38</v>
      </c>
      <c r="F30" s="74" t="s">
        <v>39</v>
      </c>
      <c r="G30" s="74" t="s">
        <v>40</v>
      </c>
      <c r="H30" s="74" t="s">
        <v>41</v>
      </c>
      <c r="I30" s="74" t="s">
        <v>42</v>
      </c>
      <c r="J30" s="74" t="s">
        <v>43</v>
      </c>
      <c r="K30" s="74" t="s">
        <v>46</v>
      </c>
      <c r="L30" s="74" t="s">
        <v>47</v>
      </c>
      <c r="M30" s="74" t="s">
        <v>48</v>
      </c>
      <c r="N30" s="74" t="s">
        <v>49</v>
      </c>
      <c r="O30" s="75" t="s">
        <v>50</v>
      </c>
      <c r="P30" s="20"/>
    </row>
    <row r="31" spans="1:16" ht="24.9" customHeight="1" thickBot="1" x14ac:dyDescent="0.35">
      <c r="A31" s="15"/>
      <c r="B31" s="40" t="s">
        <v>31</v>
      </c>
      <c r="C31" s="127">
        <v>1600</v>
      </c>
      <c r="D31" s="127">
        <v>2400</v>
      </c>
      <c r="E31" s="127">
        <v>1400</v>
      </c>
      <c r="F31" s="127">
        <v>1600</v>
      </c>
      <c r="G31" s="127">
        <v>1200</v>
      </c>
      <c r="H31" s="127">
        <v>2800</v>
      </c>
      <c r="I31" s="127"/>
      <c r="J31" s="127"/>
      <c r="K31" s="127"/>
      <c r="L31" s="127"/>
      <c r="M31" s="127"/>
      <c r="N31" s="127"/>
      <c r="O31" s="128">
        <f>SUM(C31:N31)</f>
        <v>11000</v>
      </c>
      <c r="P31" s="20"/>
    </row>
    <row r="32" spans="1:16" ht="24.9" customHeight="1" thickBot="1" x14ac:dyDescent="0.35">
      <c r="A32" s="15"/>
      <c r="B32" s="40" t="s">
        <v>32</v>
      </c>
      <c r="C32" s="127">
        <v>1200</v>
      </c>
      <c r="D32" s="127">
        <v>2200</v>
      </c>
      <c r="E32" s="127">
        <v>1400</v>
      </c>
      <c r="F32" s="127">
        <v>1200</v>
      </c>
      <c r="G32" s="127">
        <v>800</v>
      </c>
      <c r="H32" s="127">
        <v>3500</v>
      </c>
      <c r="I32" s="127"/>
      <c r="J32" s="127"/>
      <c r="K32" s="127"/>
      <c r="L32" s="127"/>
      <c r="M32" s="127"/>
      <c r="N32" s="127"/>
      <c r="O32" s="128">
        <f>SUM(C32:N32)</f>
        <v>10300</v>
      </c>
      <c r="P32" s="20"/>
    </row>
    <row r="33" spans="1:16" ht="24.9" customHeight="1" x14ac:dyDescent="0.3">
      <c r="A33" s="15"/>
      <c r="B33" s="37" t="s">
        <v>13</v>
      </c>
      <c r="C33" s="129">
        <f>SUBTOTAL(109,التدريب_والسفر_الفعليين[يناير])</f>
        <v>2800</v>
      </c>
      <c r="D33" s="129">
        <f>SUBTOTAL(109,التدريب_والسفر_الفعليين[فبراير])</f>
        <v>4600</v>
      </c>
      <c r="E33" s="129">
        <f>SUBTOTAL(109,التدريب_والسفر_الفعليين[مارس])</f>
        <v>2800</v>
      </c>
      <c r="F33" s="129">
        <f>SUBTOTAL(109,التدريب_والسفر_الفعليين[أبريل])</f>
        <v>2800</v>
      </c>
      <c r="G33" s="129">
        <f>SUBTOTAL(109,التدريب_والسفر_الفعليين[مايو])</f>
        <v>2000</v>
      </c>
      <c r="H33" s="129">
        <f>SUBTOTAL(109,التدريب_والسفر_الفعليين[يونيو])</f>
        <v>6300</v>
      </c>
      <c r="I33" s="129">
        <f>SUBTOTAL(109,التدريب_والسفر_الفعليين[يوليو])</f>
        <v>0</v>
      </c>
      <c r="J33" s="129">
        <f>SUBTOTAL(109,التدريب_والسفر_الفعليين[أغسطس])</f>
        <v>0</v>
      </c>
      <c r="K33" s="129">
        <f>SUBTOTAL(109,التدريب_والسفر_الفعليين[سبتمبر])</f>
        <v>0</v>
      </c>
      <c r="L33" s="129">
        <f>SUBTOTAL(109,التدريب_والسفر_الفعليين[أكتوبر])</f>
        <v>0</v>
      </c>
      <c r="M33" s="129">
        <f>SUBTOTAL(109,التدريب_والسفر_الفعليين[نوفمبر])</f>
        <v>0</v>
      </c>
      <c r="N33" s="129">
        <f>SUBTOTAL(109,التدريب_والسفر_الفعليين[ديسمبر])</f>
        <v>0</v>
      </c>
      <c r="O33" s="130">
        <f>SUBTOTAL(109,التدريب_والسفر_الفعليين[السنة])</f>
        <v>21300</v>
      </c>
      <c r="P33" s="20"/>
    </row>
    <row r="34" spans="1:16" ht="21" customHeight="1" x14ac:dyDescent="0.3">
      <c r="A34" s="15"/>
      <c r="B34" s="23"/>
      <c r="C34" s="71"/>
      <c r="D34" s="73"/>
      <c r="E34" s="73"/>
      <c r="F34" s="73"/>
      <c r="G34" s="73"/>
      <c r="H34" s="73"/>
      <c r="I34" s="73"/>
      <c r="J34" s="73"/>
      <c r="K34" s="73"/>
      <c r="L34" s="73"/>
      <c r="M34" s="73"/>
      <c r="N34" s="73"/>
      <c r="O34" s="73"/>
      <c r="P34" s="20"/>
    </row>
    <row r="35" spans="1:16" ht="24.9" customHeight="1" thickBot="1" x14ac:dyDescent="0.35">
      <c r="A35" s="15"/>
      <c r="B35" s="41" t="s">
        <v>35</v>
      </c>
      <c r="C35" s="42" t="s">
        <v>36</v>
      </c>
      <c r="D35" s="42" t="s">
        <v>37</v>
      </c>
      <c r="E35" s="42" t="s">
        <v>38</v>
      </c>
      <c r="F35" s="42" t="s">
        <v>39</v>
      </c>
      <c r="G35" s="42" t="s">
        <v>40</v>
      </c>
      <c r="H35" s="42" t="s">
        <v>41</v>
      </c>
      <c r="I35" s="42" t="s">
        <v>42</v>
      </c>
      <c r="J35" s="42" t="s">
        <v>43</v>
      </c>
      <c r="K35" s="42" t="s">
        <v>46</v>
      </c>
      <c r="L35" s="42" t="s">
        <v>47</v>
      </c>
      <c r="M35" s="42" t="s">
        <v>48</v>
      </c>
      <c r="N35" s="42" t="s">
        <v>49</v>
      </c>
      <c r="O35" s="43" t="s">
        <v>50</v>
      </c>
      <c r="P35" s="20"/>
    </row>
    <row r="36" spans="1:16" ht="24.9" customHeight="1" thickBot="1" x14ac:dyDescent="0.35">
      <c r="A36" s="15"/>
      <c r="B36" s="44" t="s">
        <v>53</v>
      </c>
      <c r="C36" s="82">
        <f>التدريب_والسفر_الفعليين[[#Totals],[يناير]]+التسويق_الفعلي[[#Totals],[يناير]]+المكتب_الفعلي[[#Totals],[يناير]]+تكاليف_الموظفين_الفعلية[[#Totals],[يناير]]</f>
        <v>129682</v>
      </c>
      <c r="D36" s="83">
        <f>التدريب_والسفر_الفعليين[[#Totals],[فبراير]]+التسويق_الفعلي[[#Totals],[فبراير]]+المكتب_الفعلي[[#Totals],[فبراير]]+تكاليف_الموظفين_الفعلية[[#Totals],[فبراير]]</f>
        <v>127804</v>
      </c>
      <c r="E36" s="83">
        <f>التدريب_والسفر_الفعليين[[#Totals],[مارس]]+التسويق_الفعلي[[#Totals],[مارس]]+المكتب_الفعلي[[#Totals],[مارس]]+تكاليف_الموظفين_الفعلية[[#Totals],[مارس]]</f>
        <v>125565</v>
      </c>
      <c r="F36" s="83">
        <f>التدريب_والسفر_الفعليين[[#Totals],[أبريل]]+التسويق_الفعلي[[#Totals],[أبريل]]+المكتب_الفعلي[[#Totals],[أبريل]]+تكاليف_الموظفين_الفعلية[[#Totals],[أبريل]]</f>
        <v>137394</v>
      </c>
      <c r="G36" s="83">
        <f>التدريب_والسفر_الفعليين[[#Totals],[مايو]]+التسويق_الفعلي[[#Totals],[مايو]]+المكتب_الفعلي[[#Totals],[مايو]]+تكاليف_الموظفين_الفعلية[[#Totals],[مايو]]</f>
        <v>128255</v>
      </c>
      <c r="H36" s="83">
        <f>التدريب_والسفر_الفعليين[[#Totals],[يونيو]]+التسويق_الفعلي[[#Totals],[يونيو]]+المكتب_الفعلي[[#Totals],[يونيو]]+تكاليف_الموظفين_الفعلية[[#Totals],[يونيو]]</f>
        <v>134239</v>
      </c>
      <c r="I36" s="83">
        <f>التدريب_والسفر_الفعليين[[#Totals],[يوليو]]+التسويق_الفعلي[[#Totals],[يوليو]]+المكتب_الفعلي[[#Totals],[يوليو]]+تكاليف_الموظفين_الفعلية[[#Totals],[يوليو]]</f>
        <v>0</v>
      </c>
      <c r="J36" s="83">
        <f>التدريب_والسفر_الفعليين[[#Totals],[أغسطس]]+التسويق_الفعلي[[#Totals],[أغسطس]]+المكتب_الفعلي[[#Totals],[أغسطس]]+تكاليف_الموظفين_الفعلية[[#Totals],[أغسطس]]</f>
        <v>0</v>
      </c>
      <c r="K36" s="83">
        <f>التدريب_والسفر_الفعليين[[#Totals],[سبتمبر]]+التسويق_الفعلي[[#Totals],[سبتمبر]]+المكتب_الفعلي[[#Totals],[سبتمبر]]+تكاليف_الموظفين_الفعلية[[#Totals],[سبتمبر]]</f>
        <v>0</v>
      </c>
      <c r="L36" s="83">
        <f>التدريب_والسفر_الفعليين[[#Totals],[أكتوبر]]+التسويق_الفعلي[[#Totals],[أكتوبر]]+المكتب_الفعلي[[#Totals],[أكتوبر]]+تكاليف_الموظفين_الفعلية[[#Totals],[أكتوبر]]</f>
        <v>0</v>
      </c>
      <c r="M36" s="83">
        <f>التدريب_والسفر_الفعليين[[#Totals],[نوفمبر]]+التسويق_الفعلي[[#Totals],[نوفمبر]]+المكتب_الفعلي[[#Totals],[نوفمبر]]+تكاليف_الموظفين_الفعلية[[#Totals],[نوفمبر]]</f>
        <v>0</v>
      </c>
      <c r="N36" s="83">
        <f>التدريب_والسفر_الفعليين[[#Totals],[ديسمبر]]+التسويق_الفعلي[[#Totals],[ديسمبر]]+المكتب_الفعلي[[#Totals],[ديسمبر]]+تكاليف_الموظفين_الفعلية[[#Totals],[ديسمبر]]</f>
        <v>0</v>
      </c>
      <c r="O36" s="83">
        <f>التدريب_والسفر_الفعليين[[#Totals],[السنة]]+التسويق_الفعلي[[#Totals],[السنة]]+المكتب_الفعلي[[#Totals],[السنة]]+تكاليف_الموظفين_الفعلية[[#Totals],[السنة]]</f>
        <v>782939</v>
      </c>
      <c r="P36" s="66"/>
    </row>
    <row r="37" spans="1:16" ht="24.9" customHeight="1" thickBot="1" x14ac:dyDescent="0.35">
      <c r="A37" s="15"/>
      <c r="B37" s="44" t="s">
        <v>54</v>
      </c>
      <c r="C37" s="84">
        <f>SUM($C$36:C36)</f>
        <v>129682</v>
      </c>
      <c r="D37" s="85">
        <f>SUM($C$36:D36)</f>
        <v>257486</v>
      </c>
      <c r="E37" s="85">
        <f>SUM($C$36:E36)</f>
        <v>383051</v>
      </c>
      <c r="F37" s="85">
        <f>SUM($C$36:F36)</f>
        <v>520445</v>
      </c>
      <c r="G37" s="85">
        <f>SUM($C$36:G36)</f>
        <v>648700</v>
      </c>
      <c r="H37" s="86">
        <f>SUM($C$36:H36)</f>
        <v>782939</v>
      </c>
      <c r="I37" s="85">
        <f>SUM($C$36:I36)</f>
        <v>782939</v>
      </c>
      <c r="J37" s="85">
        <f>SUM($C$36:J36)</f>
        <v>782939</v>
      </c>
      <c r="K37" s="85">
        <f>SUM($C$36:K36)</f>
        <v>782939</v>
      </c>
      <c r="L37" s="85">
        <f>SUM($C$36:L36)</f>
        <v>782939</v>
      </c>
      <c r="M37" s="86">
        <f>SUM($C$36:M36)</f>
        <v>782939</v>
      </c>
      <c r="N37" s="85">
        <f>SUM($C$36:N36)</f>
        <v>782939</v>
      </c>
      <c r="O37" s="86"/>
      <c r="P37" s="66"/>
    </row>
    <row r="38" spans="1:16" ht="21" customHeight="1" x14ac:dyDescent="0.3">
      <c r="A38" s="9"/>
      <c r="B38" s="45"/>
      <c r="C38" s="45"/>
      <c r="D38" s="45"/>
      <c r="E38" s="45"/>
      <c r="F38" s="45"/>
      <c r="G38" s="45"/>
      <c r="H38" s="45"/>
      <c r="I38" s="45"/>
      <c r="J38" s="45"/>
      <c r="K38" s="45"/>
      <c r="L38" s="46"/>
      <c r="M38" s="46"/>
      <c r="N38" s="46"/>
      <c r="O38" s="46"/>
      <c r="P38" s="9"/>
    </row>
  </sheetData>
  <mergeCells count="2">
    <mergeCell ref="K2:M2"/>
    <mergeCell ref="K3:M3"/>
  </mergeCells>
  <dataValidations count="9">
    <dataValidation allowBlank="1" showInputMessage="1" showErrorMessage="1" prompt="يوجد العنصر النائب للشعار في هذه الخلية." sqref="N2" xr:uid="{C95257D8-3930-4F5C-8D70-88B292233801}"/>
    <dataValidation allowBlank="1" showInputMessage="1" showErrorMessage="1" prompt="يتم حساب &quot;إجمالي المصروفات الفعلية&quot; تلقائياً في الجدول &quot;الإجمالي الفعلي&quot; بدءاً من الخلية الموجودة على اليسار." sqref="A4" xr:uid="{177C6CBD-70F5-4EE0-A8BD-78C9CA33B2BD}"/>
    <dataValidation allowBlank="1" showInputMessage="1" showErrorMessage="1" prompt="أدخل تكاليف الموظف في الجدول الفعلي للموظف بدءاً من الخلية الموجودة على اليمين. التعليمات التالية موجودة في الخلية A10." sqref="A5" xr:uid="{C3141D3D-0B91-4F53-BE3F-38687FD87D6B}"/>
    <dataValidation allowBlank="1" showInputMessage="1" showErrorMessage="1" prompt="أدخل تكاليف المكتب في الجدول الفعلي للمكتب بدءاً من الخلية الموجودة على اليسار. التعليمات التالية موجودة في الخلية A21." sqref="A10" xr:uid="{6B251561-6C81-4CE6-8EBF-9D5790C7CB5E}"/>
    <dataValidation allowBlank="1" showInputMessage="1" showErrorMessage="1" prompt="أدخل تكاليف التسويق في الجدول الفعلي للتسويق بدءاً من الخلية الموجودة على اليمين. التعليمات التالية موجودة في الخلية A30." sqref="A21" xr:uid="{D284BFB1-3C99-4A34-BA1D-2099E5838FB2}"/>
    <dataValidation allowBlank="1" showInputMessage="1" showErrorMessage="1" prompt="أدخل &quot;تكاليف التدريب أو السفر&quot; في الجدول &quot;التدريب والسفر الفعليين&quot; بدءاً من الخلية الموجودة على اليسار. التعليمات التالية موجودة في الخلية A35." sqref="A30" xr:uid="{255C7F8A-67BD-4F48-9D93-C907D407CF4C}"/>
    <dataValidation allowBlank="1" showInputMessage="1" showErrorMessage="1" prompt="أدخل تكاليف الموظف المخططة، وتكاليف المكتب، وتكاليف التسويق، والتدريب أو تكلفة السفر في الجداول المعنية في ورقة العمل هذه. المجاميع يتم حسابها تلقائياً. توجد إرشادات حول كيفية استخدام ورقة العمل هذه في الخلايا الموجودة في هذا العمود. سهم لأسفل لتبدأ." sqref="A1" xr:uid="{79AE6394-A51C-466A-B4A1-C38D88BF4EBB}"/>
    <dataValidation allowBlank="1" showInputMessage="1" showErrorMessage="1" prompt="يتم تحديث اسم الشركة تلقائياً في الخلية على اليمين. عنوان ورقة العمل هذه موجود في الخلية K2. أدخل الشعار في الخلية N2." sqref="A2" xr:uid="{26A4B1D9-8F73-440F-9A07-A3F7DBC9AEEF}"/>
    <dataValidation allowBlank="1" showInputMessage="1" showErrorMessage="1" prompt="يوجد تلميح في الخلية K3." sqref="A3" xr:uid="{7DD6B845-A534-4A07-B96C-7DC7C0D747FC}"/>
  </dataValidations>
  <pageMargins left="0.7" right="0.7" top="0.75" bottom="0.75" header="0.3" footer="0.3"/>
  <pageSetup paperSize="9" fitToHeight="0" orientation="portrait" r:id="rId1"/>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sheetPr>
  <dimension ref="A1:P38"/>
  <sheetViews>
    <sheetView showGridLines="0" rightToLeft="1" zoomScaleNormal="100" workbookViewId="0"/>
  </sheetViews>
  <sheetFormatPr defaultColWidth="9.125" defaultRowHeight="21" customHeight="1" x14ac:dyDescent="0.3"/>
  <cols>
    <col min="1" max="1" width="4.75" style="106" customWidth="1"/>
    <col min="2" max="2" width="40.625" style="112" customWidth="1"/>
    <col min="3" max="14" width="19.625" style="112" customWidth="1"/>
    <col min="15" max="15" width="20.625" style="112" customWidth="1"/>
    <col min="16" max="16" width="4.75" style="106" customWidth="1"/>
    <col min="17" max="16384" width="9.125" style="112"/>
  </cols>
  <sheetData>
    <row r="1" spans="1:16" s="106" customFormat="1" ht="24" customHeight="1" x14ac:dyDescent="0.3">
      <c r="A1" s="5"/>
      <c r="B1" s="6"/>
      <c r="C1" s="6"/>
      <c r="D1" s="6"/>
      <c r="E1" s="6"/>
      <c r="F1" s="7"/>
      <c r="G1" s="7"/>
      <c r="H1" s="7"/>
      <c r="I1" s="7"/>
      <c r="J1" s="7"/>
      <c r="K1" s="7"/>
      <c r="L1" s="7"/>
      <c r="M1" s="7"/>
      <c r="N1" s="7"/>
      <c r="O1" s="7"/>
      <c r="P1" s="8" t="s">
        <v>51</v>
      </c>
    </row>
    <row r="2" spans="1:16" s="106" customFormat="1" ht="45" customHeight="1" x14ac:dyDescent="0.35">
      <c r="A2" s="10"/>
      <c r="B2" s="11" t="str">
        <f>'المصروفات المخططة'!B2:D3</f>
        <v>اسم الشركة</v>
      </c>
      <c r="C2" s="11"/>
      <c r="D2" s="11"/>
      <c r="E2" s="104"/>
      <c r="F2" s="12"/>
      <c r="G2" s="12"/>
      <c r="H2" s="12"/>
      <c r="I2" s="12"/>
      <c r="J2" s="12"/>
      <c r="K2" s="133" t="str">
        <f>عنوان_ورقة_العمل</f>
        <v>تقديرات المصروفات التفصيلية</v>
      </c>
      <c r="L2" s="133"/>
      <c r="M2" s="133"/>
      <c r="N2" s="13"/>
      <c r="O2" s="13"/>
      <c r="P2" s="7"/>
    </row>
    <row r="3" spans="1:16" s="106" customFormat="1" ht="30" customHeight="1" x14ac:dyDescent="0.3">
      <c r="A3" s="10"/>
      <c r="B3" s="11"/>
      <c r="C3" s="11"/>
      <c r="D3" s="11"/>
      <c r="E3" s="105"/>
      <c r="F3" s="14"/>
      <c r="G3" s="14"/>
      <c r="H3" s="14"/>
      <c r="I3" s="14"/>
      <c r="J3" s="14"/>
      <c r="K3" s="134" t="s">
        <v>45</v>
      </c>
      <c r="L3" s="134"/>
      <c r="M3" s="134"/>
      <c r="N3" s="13"/>
      <c r="O3" s="13"/>
      <c r="P3" s="7"/>
    </row>
    <row r="4" spans="1:16" s="125" customFormat="1" ht="49.5" customHeight="1" x14ac:dyDescent="0.3">
      <c r="A4" s="15"/>
      <c r="B4" s="16" t="s">
        <v>55</v>
      </c>
      <c r="C4" s="68" t="s">
        <v>36</v>
      </c>
      <c r="D4" s="68" t="s">
        <v>37</v>
      </c>
      <c r="E4" s="68" t="s">
        <v>38</v>
      </c>
      <c r="F4" s="68" t="s">
        <v>39</v>
      </c>
      <c r="G4" s="68" t="s">
        <v>40</v>
      </c>
      <c r="H4" s="68" t="s">
        <v>41</v>
      </c>
      <c r="I4" s="68" t="s">
        <v>42</v>
      </c>
      <c r="J4" s="68" t="s">
        <v>43</v>
      </c>
      <c r="K4" s="68" t="s">
        <v>46</v>
      </c>
      <c r="L4" s="68" t="s">
        <v>47</v>
      </c>
      <c r="M4" s="68" t="s">
        <v>48</v>
      </c>
      <c r="N4" s="68" t="s">
        <v>49</v>
      </c>
      <c r="O4" s="68" t="s">
        <v>50</v>
      </c>
      <c r="P4" s="17"/>
    </row>
    <row r="5" spans="1:16" ht="24.9" customHeight="1" thickBot="1" x14ac:dyDescent="0.35">
      <c r="A5" s="15"/>
      <c r="B5" s="30" t="s">
        <v>10</v>
      </c>
      <c r="C5" s="69" t="s">
        <v>36</v>
      </c>
      <c r="D5" s="69" t="s">
        <v>37</v>
      </c>
      <c r="E5" s="69" t="s">
        <v>38</v>
      </c>
      <c r="F5" s="69" t="s">
        <v>39</v>
      </c>
      <c r="G5" s="69" t="s">
        <v>40</v>
      </c>
      <c r="H5" s="69" t="s">
        <v>41</v>
      </c>
      <c r="I5" s="69" t="s">
        <v>42</v>
      </c>
      <c r="J5" s="69" t="s">
        <v>43</v>
      </c>
      <c r="K5" s="69" t="s">
        <v>46</v>
      </c>
      <c r="L5" s="69" t="s">
        <v>47</v>
      </c>
      <c r="M5" s="69" t="s">
        <v>48</v>
      </c>
      <c r="N5" s="69" t="s">
        <v>49</v>
      </c>
      <c r="O5" s="70" t="s">
        <v>50</v>
      </c>
      <c r="P5" s="20"/>
    </row>
    <row r="6" spans="1:16" ht="24.9" customHeight="1" thickBot="1" x14ac:dyDescent="0.35">
      <c r="A6" s="15"/>
      <c r="B6" s="21" t="s">
        <v>11</v>
      </c>
      <c r="C6" s="126">
        <f>INDEX(خطة_الموظفين[],MATCH(INDEX(فروق_المصروفات[],ROW()-ROW(فروق_المصروفات[[#Headers],[يناير]]),1),INDEX(خطة_الموظفين[],,1),0),MATCH(فروق_المصروفات[[#Headers],[يناير]],خطة_الموظفين[#Headers],0))-INDEX(تكاليف_الموظفين_الفعلية[],MATCH(INDEX(فروق_المصروفات[],ROW()-ROW(فروق_المصروفات[[#Headers],[يناير]]),1),INDEX(خطة_الموظفين[],,1),0),MATCH(فروق_المصروفات[[#Headers],[يناير]],تكاليف_الموظفين_الفعلية[#Headers],0))</f>
        <v>0</v>
      </c>
      <c r="D6" s="127">
        <f>INDEX(خطة_الموظفين[],MATCH(INDEX(فروق_المصروفات[],ROW()-ROW(فروق_المصروفات[[#Headers],[فبراير]]),1),INDEX(خطة_الموظفين[],,1),0),MATCH(فروق_المصروفات[[#Headers],[فبراير]],خطة_الموظفين[#Headers],0))-INDEX(تكاليف_الموظفين_الفعلية[],MATCH(INDEX(فروق_المصروفات[],ROW()-ROW(فروق_المصروفات[[#Headers],[فبراير]]),1),INDEX(خطة_الموظفين[],,1),0),MATCH(فروق_المصروفات[[#Headers],[فبراير]],تكاليف_الموظفين_الفعلية[#Headers],0))</f>
        <v>0</v>
      </c>
      <c r="E6" s="127">
        <f>INDEX(خطة_الموظفين[],MATCH(INDEX(فروق_المصروفات[],ROW()-ROW(فروق_المصروفات[[#Headers],[مارس]]),1),INDEX(خطة_الموظفين[],,1),0),MATCH(فروق_المصروفات[[#Headers],[مارس]],خطة_الموظفين[#Headers],0))-INDEX(تكاليف_الموظفين_الفعلية[],MATCH(INDEX(فروق_المصروفات[],ROW()-ROW(فروق_المصروفات[[#Headers],[مارس]]),1),INDEX(خطة_الموظفين[],,1),0),MATCH(فروق_المصروفات[[#Headers],[مارس]],تكاليف_الموظفين_الفعلية[#Headers],0))</f>
        <v>0</v>
      </c>
      <c r="F6" s="127">
        <f>INDEX(خطة_الموظفين[],MATCH(INDEX(فروق_المصروفات[],ROW()-ROW(فروق_المصروفات[[#Headers],[أبريل]]),1),INDEX(خطة_الموظفين[],,1),0),MATCH(فروق_المصروفات[[#Headers],[أبريل]],خطة_الموظفين[#Headers],0))-INDEX(تكاليف_الموظفين_الفعلية[],MATCH(INDEX(فروق_المصروفات[],ROW()-ROW(فروق_المصروفات[[#Headers],[أبريل]]),1),INDEX(خطة_الموظفين[],,1),0),MATCH(فروق_المصروفات[[#Headers],[أبريل]],تكاليف_الموظفين_الفعلية[#Headers],0))</f>
        <v>-500</v>
      </c>
      <c r="G6" s="127">
        <f>INDEX(خطة_الموظفين[],MATCH(INDEX(فروق_المصروفات[],ROW()-ROW(فروق_المصروفات[[#Headers],[مايو]]),1),INDEX(خطة_الموظفين[],,1),0),MATCH(فروق_المصروفات[[#Headers],[مايو]],خطة_الموظفين[#Headers],0))-INDEX(تكاليف_الموظفين_الفعلية[],MATCH(INDEX(فروق_المصروفات[],ROW()-ROW(فروق_المصروفات[[#Headers],[مايو]]),1),INDEX(خطة_الموظفين[],,1),0),MATCH(فروق_المصروفات[[#Headers],[مايو]],تكاليف_الموظفين_الفعلية[#Headers],0))</f>
        <v>-500</v>
      </c>
      <c r="H6" s="127">
        <f>INDEX(خطة_الموظفين[],MATCH(INDEX(فروق_المصروفات[],ROW()-ROW(فروق_المصروفات[[#Headers],[يونيو]]),1),INDEX(خطة_الموظفين[],,1),0),MATCH(فروق_المصروفات[[#Headers],[يونيو]],خطة_الموظفين[#Headers],0))-INDEX(تكاليف_الموظفين_الفعلية[],MATCH(INDEX(فروق_المصروفات[],ROW()-ROW(فروق_المصروفات[[#Headers],[يونيو]]),1),INDEX(خطة_الموظفين[],,1),0),MATCH(فروق_المصروفات[[#Headers],[يونيو]],تكاليف_الموظفين_الفعلية[#Headers],0))</f>
        <v>-500</v>
      </c>
      <c r="I6" s="127">
        <f>INDEX(خطة_الموظفين[],MATCH(INDEX(فروق_المصروفات[],ROW()-ROW(فروق_المصروفات[[#Headers],[يوليو]]),1),INDEX(خطة_الموظفين[],,1),0),MATCH(فروق_المصروفات[[#Headers],[يوليو]],خطة_الموظفين[#Headers],0))-INDEX(تكاليف_الموظفين_الفعلية[],MATCH(INDEX(فروق_المصروفات[],ROW()-ROW(فروق_المصروفات[[#Headers],[يوليو]]),1),INDEX(خطة_الموظفين[],,1),0),MATCH(فروق_المصروفات[[#Headers],[يوليو]],تكاليف_الموظفين_الفعلية[#Headers],0))</f>
        <v>87500</v>
      </c>
      <c r="J6" s="127">
        <f>INDEX(خطة_الموظفين[],MATCH(INDEX(فروق_المصروفات[],ROW()-ROW(فروق_المصروفات[[#Headers],[أغسطس]]),1),INDEX(خطة_الموظفين[],,1),0),MATCH(فروق_المصروفات[[#Headers],[أغسطس]],خطة_الموظفين[#Headers],0))-INDEX(تكاليف_الموظفين_الفعلية[],MATCH(INDEX(فروق_المصروفات[],ROW()-ROW(فروق_المصروفات[[#Headers],[أغسطس]]),1),INDEX(خطة_الموظفين[],,1),0),MATCH(فروق_المصروفات[[#Headers],[أغسطس]],تكاليف_الموظفين_الفعلية[#Headers],0))</f>
        <v>92400</v>
      </c>
      <c r="K6" s="127">
        <f>INDEX(خطة_الموظفين[],MATCH(INDEX(فروق_المصروفات[],ROW()-ROW(فروق_المصروفات[[#Headers],[سبتمبر]]),1),INDEX(خطة_الموظفين[],,1),0),MATCH(فروق_المصروفات[[#Headers],[سبتمبر]],خطة_الموظفين[#Headers],0))-INDEX(تكاليف_الموظفين_الفعلية[],MATCH(INDEX(فروق_المصروفات[],ROW()-ROW(فروق_المصروفات[[#Headers],[سبتمبر]]),1),INDEX(خطة_الموظفين[],,1),0),MATCH(فروق_المصروفات[[#Headers],[سبتمبر]],تكاليف_الموظفين_الفعلية[#Headers],0))</f>
        <v>92400</v>
      </c>
      <c r="L6" s="127">
        <f>INDEX(خطة_الموظفين[],MATCH(INDEX(فروق_المصروفات[],ROW()-ROW(فروق_المصروفات[[#Headers],[أكتوبر]]),1),INDEX(خطة_الموظفين[],,1),0),MATCH(فروق_المصروفات[[#Headers],[أكتوبر]],خطة_الموظفين[#Headers],0))-INDEX(تكاليف_الموظفين_الفعلية[],MATCH(INDEX(فروق_المصروفات[],ROW()-ROW(فروق_المصروفات[[#Headers],[أكتوبر]]),1),INDEX(خطة_الموظفين[],,1),0),MATCH(فروق_المصروفات[[#Headers],[أكتوبر]],تكاليف_الموظفين_الفعلية[#Headers],0))</f>
        <v>92400</v>
      </c>
      <c r="M6" s="127">
        <f>INDEX(خطة_الموظفين[],MATCH(INDEX(فروق_المصروفات[],ROW()-ROW(فروق_المصروفات[[#Headers],[نوفمبر]]),1),INDEX(خطة_الموظفين[],,1),0),MATCH(فروق_المصروفات[[#Headers],[نوفمبر]],خطة_الموظفين[#Headers],0))-INDEX(تكاليف_الموظفين_الفعلية[],MATCH(INDEX(فروق_المصروفات[],ROW()-ROW(فروق_المصروفات[[#Headers],[نوفمبر]]),1),INDEX(خطة_الموظفين[],,1),0),MATCH(فروق_المصروفات[[#Headers],[نوفمبر]],تكاليف_الموظفين_الفعلية[#Headers],0))</f>
        <v>92400</v>
      </c>
      <c r="N6" s="127">
        <f>INDEX(خطة_الموظفين[],MATCH(INDEX(فروق_المصروفات[],ROW()-ROW(فروق_المصروفات[[#Headers],[ديسمبر]]),1),INDEX(خطة_الموظفين[],,1),0),MATCH(فروق_المصروفات[[#Headers],[ديسمبر]],خطة_الموظفين[#Headers],0))-INDEX(تكاليف_الموظفين_الفعلية[],MATCH(INDEX(فروق_المصروفات[],ROW()-ROW(فروق_المصروفات[[#Headers],[ديسمبر]]),1),INDEX(خطة_الموظفين[],,1),0),MATCH(فروق_المصروفات[[#Headers],[ديسمبر]],تكاليف_الموظفين_الفعلية[#Headers],0))</f>
        <v>92400</v>
      </c>
      <c r="O6" s="128">
        <f>SUM(فروق_المصروفات[[#This Row],[يناير]:[ديسمبر]])</f>
        <v>548000</v>
      </c>
      <c r="P6" s="20"/>
    </row>
    <row r="7" spans="1:16" ht="24.9" customHeight="1" thickBot="1" x14ac:dyDescent="0.35">
      <c r="A7" s="15"/>
      <c r="B7" s="21" t="s">
        <v>12</v>
      </c>
      <c r="C7" s="126">
        <f>INDEX(خطة_الموظفين[],MATCH(INDEX(فروق_المصروفات[],ROW()-ROW(فروق_المصروفات[[#Headers],[يناير]]),1),INDEX(خطة_الموظفين[],,1),0),MATCH(فروق_المصروفات[[#Headers],[يناير]],خطة_الموظفين[#Headers],0))-INDEX(تكاليف_الموظفين_الفعلية[],MATCH(INDEX(فروق_المصروفات[],ROW()-ROW(فروق_المصروفات[[#Headers],[يناير]]),1),INDEX(خطة_الموظفين[],,1),0),MATCH(فروق_المصروفات[[#Headers],[يناير]],تكاليف_الموظفين_الفعلية[#Headers],0))</f>
        <v>0</v>
      </c>
      <c r="D7" s="127">
        <f>INDEX(خطة_الموظفين[],MATCH(INDEX(فروق_المصروفات[],ROW()-ROW(فروق_المصروفات[[#Headers],[فبراير]]),1),INDEX(خطة_الموظفين[],,1),0),MATCH(فروق_المصروفات[[#Headers],[فبراير]],خطة_الموظفين[#Headers],0))-INDEX(تكاليف_الموظفين_الفعلية[],MATCH(INDEX(فروق_المصروفات[],ROW()-ROW(فروق_المصروفات[[#Headers],[فبراير]]),1),INDEX(خطة_الموظفين[],,1),0),MATCH(فروق_المصروفات[[#Headers],[فبراير]],تكاليف_الموظفين_الفعلية[#Headers],0))</f>
        <v>0</v>
      </c>
      <c r="E7" s="127">
        <f>INDEX(خطة_الموظفين[],MATCH(INDEX(فروق_المصروفات[],ROW()-ROW(فروق_المصروفات[[#Headers],[مارس]]),1),INDEX(خطة_الموظفين[],,1),0),MATCH(فروق_المصروفات[[#Headers],[مارس]],خطة_الموظفين[#Headers],0))-INDEX(تكاليف_الموظفين_الفعلية[],MATCH(INDEX(فروق_المصروفات[],ROW()-ROW(فروق_المصروفات[[#Headers],[مارس]]),1),INDEX(خطة_الموظفين[],,1),0),MATCH(فروق_المصروفات[[#Headers],[مارس]],تكاليف_الموظفين_الفعلية[#Headers],0))</f>
        <v>0</v>
      </c>
      <c r="F7" s="127">
        <f>INDEX(خطة_الموظفين[],MATCH(INDEX(فروق_المصروفات[],ROW()-ROW(فروق_المصروفات[[#Headers],[أبريل]]),1),INDEX(خطة_الموظفين[],,1),0),MATCH(فروق_المصروفات[[#Headers],[أبريل]],خطة_الموظفين[#Headers],0))-INDEX(تكاليف_الموظفين_الفعلية[],MATCH(INDEX(فروق_المصروفات[],ROW()-ROW(فروق_المصروفات[[#Headers],[أبريل]]),1),INDEX(خطة_الموظفين[],,1),0),MATCH(فروق_المصروفات[[#Headers],[أبريل]],تكاليف_الموظفين_الفعلية[#Headers],0))</f>
        <v>-135</v>
      </c>
      <c r="G7" s="127">
        <f>INDEX(خطة_الموظفين[],MATCH(INDEX(فروق_المصروفات[],ROW()-ROW(فروق_المصروفات[[#Headers],[مايو]]),1),INDEX(خطة_الموظفين[],,1),0),MATCH(فروق_المصروفات[[#Headers],[مايو]],خطة_الموظفين[#Headers],0))-INDEX(تكاليف_الموظفين_الفعلية[],MATCH(INDEX(فروق_المصروفات[],ROW()-ROW(فروق_المصروفات[[#Headers],[مايو]]),1),INDEX(خطة_الموظفين[],,1),0),MATCH(فروق_المصروفات[[#Headers],[مايو]],تكاليف_الموظفين_الفعلية[#Headers],0))</f>
        <v>-135</v>
      </c>
      <c r="H7" s="127">
        <f>INDEX(خطة_الموظفين[],MATCH(INDEX(فروق_المصروفات[],ROW()-ROW(فروق_المصروفات[[#Headers],[يونيو]]),1),INDEX(خطة_الموظفين[],,1),0),MATCH(فروق_المصروفات[[#Headers],[يونيو]],خطة_الموظفين[#Headers],0))-INDEX(تكاليف_الموظفين_الفعلية[],MATCH(INDEX(فروق_المصروفات[],ROW()-ROW(فروق_المصروفات[[#Headers],[يونيو]]),1),INDEX(خطة_الموظفين[],,1),0),MATCH(فروق_المصروفات[[#Headers],[يونيو]],تكاليف_الموظفين_الفعلية[#Headers],0))</f>
        <v>-135</v>
      </c>
      <c r="I7" s="127">
        <f>INDEX(خطة_الموظفين[],MATCH(INDEX(فروق_المصروفات[],ROW()-ROW(فروق_المصروفات[[#Headers],[يوليو]]),1),INDEX(خطة_الموظفين[],,1),0),MATCH(فروق_المصروفات[[#Headers],[يوليو]],خطة_الموظفين[#Headers],0))-INDEX(تكاليف_الموظفين_الفعلية[],MATCH(INDEX(فروق_المصروفات[],ROW()-ROW(فروق_المصروفات[[#Headers],[يوليو]]),1),INDEX(خطة_الموظفين[],,1),0),MATCH(فروق_المصروفات[[#Headers],[يوليو]],تكاليف_الموظفين_الفعلية[#Headers],0))</f>
        <v>23625</v>
      </c>
      <c r="J7" s="127">
        <f>INDEX(خطة_الموظفين[],MATCH(INDEX(فروق_المصروفات[],ROW()-ROW(فروق_المصروفات[[#Headers],[أغسطس]]),1),INDEX(خطة_الموظفين[],,1),0),MATCH(فروق_المصروفات[[#Headers],[أغسطس]],خطة_الموظفين[#Headers],0))-INDEX(تكاليف_الموظفين_الفعلية[],MATCH(INDEX(فروق_المصروفات[],ROW()-ROW(فروق_المصروفات[[#Headers],[أغسطس]]),1),INDEX(خطة_الموظفين[],,1),0),MATCH(فروق_المصروفات[[#Headers],[أغسطس]],تكاليف_الموظفين_الفعلية[#Headers],0))</f>
        <v>24948</v>
      </c>
      <c r="K7" s="127">
        <f>INDEX(خطة_الموظفين[],MATCH(INDEX(فروق_المصروفات[],ROW()-ROW(فروق_المصروفات[[#Headers],[سبتمبر]]),1),INDEX(خطة_الموظفين[],,1),0),MATCH(فروق_المصروفات[[#Headers],[سبتمبر]],خطة_الموظفين[#Headers],0))-INDEX(تكاليف_الموظفين_الفعلية[],MATCH(INDEX(فروق_المصروفات[],ROW()-ROW(فروق_المصروفات[[#Headers],[سبتمبر]]),1),INDEX(خطة_الموظفين[],,1),0),MATCH(فروق_المصروفات[[#Headers],[سبتمبر]],تكاليف_الموظفين_الفعلية[#Headers],0))</f>
        <v>24948</v>
      </c>
      <c r="L7" s="127">
        <f>INDEX(خطة_الموظفين[],MATCH(INDEX(فروق_المصروفات[],ROW()-ROW(فروق_المصروفات[[#Headers],[أكتوبر]]),1),INDEX(خطة_الموظفين[],,1),0),MATCH(فروق_المصروفات[[#Headers],[أكتوبر]],خطة_الموظفين[#Headers],0))-INDEX(تكاليف_الموظفين_الفعلية[],MATCH(INDEX(فروق_المصروفات[],ROW()-ROW(فروق_المصروفات[[#Headers],[أكتوبر]]),1),INDEX(خطة_الموظفين[],,1),0),MATCH(فروق_المصروفات[[#Headers],[أكتوبر]],تكاليف_الموظفين_الفعلية[#Headers],0))</f>
        <v>24948</v>
      </c>
      <c r="M7" s="127">
        <f>INDEX(خطة_الموظفين[],MATCH(INDEX(فروق_المصروفات[],ROW()-ROW(فروق_المصروفات[[#Headers],[نوفمبر]]),1),INDEX(خطة_الموظفين[],,1),0),MATCH(فروق_المصروفات[[#Headers],[نوفمبر]],خطة_الموظفين[#Headers],0))-INDEX(تكاليف_الموظفين_الفعلية[],MATCH(INDEX(فروق_المصروفات[],ROW()-ROW(فروق_المصروفات[[#Headers],[نوفمبر]]),1),INDEX(خطة_الموظفين[],,1),0),MATCH(فروق_المصروفات[[#Headers],[نوفمبر]],تكاليف_الموظفين_الفعلية[#Headers],0))</f>
        <v>24948</v>
      </c>
      <c r="N7" s="127">
        <f>INDEX(خطة_الموظفين[],MATCH(INDEX(فروق_المصروفات[],ROW()-ROW(فروق_المصروفات[[#Headers],[ديسمبر]]),1),INDEX(خطة_الموظفين[],,1),0),MATCH(فروق_المصروفات[[#Headers],[ديسمبر]],خطة_الموظفين[#Headers],0))-INDEX(تكاليف_الموظفين_الفعلية[],MATCH(INDEX(فروق_المصروفات[],ROW()-ROW(فروق_المصروفات[[#Headers],[ديسمبر]]),1),INDEX(خطة_الموظفين[],,1),0),MATCH(فروق_المصروفات[[#Headers],[ديسمبر]],تكاليف_الموظفين_الفعلية[#Headers],0))</f>
        <v>24948</v>
      </c>
      <c r="O7" s="128">
        <f>SUM(فروق_المصروفات[[#This Row],[يناير]:[ديسمبر]])</f>
        <v>147960</v>
      </c>
      <c r="P7" s="20"/>
    </row>
    <row r="8" spans="1:16" ht="24.9" customHeight="1" x14ac:dyDescent="0.3">
      <c r="A8" s="15"/>
      <c r="B8" s="47" t="s">
        <v>13</v>
      </c>
      <c r="C8" s="129">
        <f>SUBTOTAL(109,فروق_المصروفات[يناير])</f>
        <v>0</v>
      </c>
      <c r="D8" s="129">
        <f>SUBTOTAL(109,فروق_المصروفات[فبراير])</f>
        <v>0</v>
      </c>
      <c r="E8" s="129">
        <f>SUBTOTAL(109,فروق_المصروفات[مارس])</f>
        <v>0</v>
      </c>
      <c r="F8" s="129">
        <f>SUBTOTAL(109,فروق_المصروفات[أبريل])</f>
        <v>-635</v>
      </c>
      <c r="G8" s="129">
        <f>SUBTOTAL(109,فروق_المصروفات[مايو])</f>
        <v>-635</v>
      </c>
      <c r="H8" s="129">
        <f>SUBTOTAL(109,فروق_المصروفات[يونيو])</f>
        <v>-635</v>
      </c>
      <c r="I8" s="129">
        <f>SUBTOTAL(109,فروق_المصروفات[يوليو])</f>
        <v>111125</v>
      </c>
      <c r="J8" s="129">
        <f>SUBTOTAL(109,فروق_المصروفات[أغسطس])</f>
        <v>117348</v>
      </c>
      <c r="K8" s="129">
        <f>SUBTOTAL(109,فروق_المصروفات[سبتمبر])</f>
        <v>117348</v>
      </c>
      <c r="L8" s="129">
        <f>SUBTOTAL(109,فروق_المصروفات[أكتوبر])</f>
        <v>117348</v>
      </c>
      <c r="M8" s="129">
        <f>SUBTOTAL(109,فروق_المصروفات[نوفمبر])</f>
        <v>117348</v>
      </c>
      <c r="N8" s="129">
        <f>SUBTOTAL(109,فروق_المصروفات[ديسمبر])</f>
        <v>117348</v>
      </c>
      <c r="O8" s="130">
        <f>SUBTOTAL(109,فروق_المصروفات[السنة])</f>
        <v>695960</v>
      </c>
      <c r="P8" s="20"/>
    </row>
    <row r="9" spans="1:16" ht="21" customHeight="1" x14ac:dyDescent="0.3">
      <c r="A9" s="15"/>
      <c r="B9" s="23"/>
      <c r="C9" s="71"/>
      <c r="D9" s="72"/>
      <c r="E9" s="72"/>
      <c r="F9" s="72"/>
      <c r="G9" s="72"/>
      <c r="H9" s="72"/>
      <c r="I9" s="72"/>
      <c r="J9" s="72"/>
      <c r="K9" s="72"/>
      <c r="L9" s="72"/>
      <c r="M9" s="72"/>
      <c r="N9" s="72"/>
      <c r="O9" s="73"/>
      <c r="P9" s="20"/>
    </row>
    <row r="10" spans="1:16" ht="24.9" customHeight="1" thickBot="1" x14ac:dyDescent="0.35">
      <c r="A10" s="15"/>
      <c r="B10" s="48" t="s">
        <v>14</v>
      </c>
      <c r="C10" s="74" t="s">
        <v>36</v>
      </c>
      <c r="D10" s="74" t="s">
        <v>37</v>
      </c>
      <c r="E10" s="74" t="s">
        <v>38</v>
      </c>
      <c r="F10" s="74" t="s">
        <v>39</v>
      </c>
      <c r="G10" s="74" t="s">
        <v>40</v>
      </c>
      <c r="H10" s="74" t="s">
        <v>41</v>
      </c>
      <c r="I10" s="74" t="s">
        <v>42</v>
      </c>
      <c r="J10" s="74" t="s">
        <v>43</v>
      </c>
      <c r="K10" s="74" t="s">
        <v>46</v>
      </c>
      <c r="L10" s="74" t="s">
        <v>47</v>
      </c>
      <c r="M10" s="74" t="s">
        <v>48</v>
      </c>
      <c r="N10" s="74" t="s">
        <v>49</v>
      </c>
      <c r="O10" s="75" t="s">
        <v>50</v>
      </c>
      <c r="P10" s="20"/>
    </row>
    <row r="11" spans="1:16" ht="24.9" customHeight="1" thickBot="1" x14ac:dyDescent="0.35">
      <c r="A11" s="15"/>
      <c r="B11" s="40" t="s">
        <v>15</v>
      </c>
      <c r="C11"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0</v>
      </c>
      <c r="D11"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0</v>
      </c>
      <c r="E11"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0</v>
      </c>
      <c r="F11"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0</v>
      </c>
      <c r="G11"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0</v>
      </c>
      <c r="H11"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0</v>
      </c>
      <c r="I11"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9800</v>
      </c>
      <c r="J11"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9800</v>
      </c>
      <c r="K11"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9800</v>
      </c>
      <c r="L11"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9800</v>
      </c>
      <c r="M11"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9800</v>
      </c>
      <c r="N11"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9800</v>
      </c>
      <c r="O11" s="128">
        <f>SUM(فروق_المكتب[[#This Row],[يناير]:[ديسمبر]])</f>
        <v>58800</v>
      </c>
      <c r="P11" s="20"/>
    </row>
    <row r="12" spans="1:16" ht="24.9" customHeight="1" thickBot="1" x14ac:dyDescent="0.35">
      <c r="A12" s="15"/>
      <c r="B12" s="40" t="s">
        <v>16</v>
      </c>
      <c r="C12"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-4</v>
      </c>
      <c r="D12"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-30</v>
      </c>
      <c r="E12"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15</v>
      </c>
      <c r="F12"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-130</v>
      </c>
      <c r="G12"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13</v>
      </c>
      <c r="H12"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12</v>
      </c>
      <c r="I12"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100</v>
      </c>
      <c r="J12"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100</v>
      </c>
      <c r="K12"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100</v>
      </c>
      <c r="L12"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100</v>
      </c>
      <c r="M12"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400</v>
      </c>
      <c r="N12"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400</v>
      </c>
      <c r="O12" s="128">
        <f>SUM(فروق_المكتب[[#This Row],[يناير]:[ديسمبر]])</f>
        <v>1076</v>
      </c>
      <c r="P12" s="20"/>
    </row>
    <row r="13" spans="1:16" ht="24.9" customHeight="1" thickBot="1" x14ac:dyDescent="0.35">
      <c r="A13" s="15"/>
      <c r="B13" s="40" t="s">
        <v>17</v>
      </c>
      <c r="C13"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12</v>
      </c>
      <c r="D13"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22</v>
      </c>
      <c r="E13"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32</v>
      </c>
      <c r="F13"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1</v>
      </c>
      <c r="G13"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-6</v>
      </c>
      <c r="H13"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10</v>
      </c>
      <c r="I13"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300</v>
      </c>
      <c r="J13"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300</v>
      </c>
      <c r="K13"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300</v>
      </c>
      <c r="L13"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300</v>
      </c>
      <c r="M13"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300</v>
      </c>
      <c r="N13"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300</v>
      </c>
      <c r="O13" s="128">
        <f>SUM(فروق_المكتب[[#This Row],[يناير]:[ديسمبر]])</f>
        <v>1871</v>
      </c>
      <c r="P13" s="20"/>
    </row>
    <row r="14" spans="1:16" ht="24.9" customHeight="1" thickBot="1" x14ac:dyDescent="0.35">
      <c r="A14" s="15"/>
      <c r="B14" s="40" t="s">
        <v>18</v>
      </c>
      <c r="C14"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5</v>
      </c>
      <c r="D14"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7</v>
      </c>
      <c r="E14"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6</v>
      </c>
      <c r="F14"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4</v>
      </c>
      <c r="G14"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6</v>
      </c>
      <c r="H14"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4</v>
      </c>
      <c r="I14"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40</v>
      </c>
      <c r="J14"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40</v>
      </c>
      <c r="K14"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40</v>
      </c>
      <c r="L14"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40</v>
      </c>
      <c r="M14"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40</v>
      </c>
      <c r="N14"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40</v>
      </c>
      <c r="O14" s="128">
        <f>SUM(فروق_المكتب[[#This Row],[يناير]:[ديسمبر]])</f>
        <v>272</v>
      </c>
      <c r="P14" s="20"/>
    </row>
    <row r="15" spans="1:16" ht="24.9" customHeight="1" thickBot="1" x14ac:dyDescent="0.35">
      <c r="A15" s="15"/>
      <c r="B15" s="40" t="s">
        <v>19</v>
      </c>
      <c r="C15"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26</v>
      </c>
      <c r="D15"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15</v>
      </c>
      <c r="E15"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-15</v>
      </c>
      <c r="F15"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5</v>
      </c>
      <c r="G15"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5</v>
      </c>
      <c r="H15"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30</v>
      </c>
      <c r="I15"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250</v>
      </c>
      <c r="J15"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250</v>
      </c>
      <c r="K15"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250</v>
      </c>
      <c r="L15"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250</v>
      </c>
      <c r="M15"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250</v>
      </c>
      <c r="N15"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250</v>
      </c>
      <c r="O15" s="128">
        <f>SUM(فروق_المكتب[[#This Row],[يناير]:[ديسمبر]])</f>
        <v>1566</v>
      </c>
      <c r="P15" s="20"/>
    </row>
    <row r="16" spans="1:16" ht="24.9" customHeight="1" thickBot="1" x14ac:dyDescent="0.35">
      <c r="A16" s="15"/>
      <c r="B16" s="40" t="s">
        <v>20</v>
      </c>
      <c r="C16"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0</v>
      </c>
      <c r="D16"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0</v>
      </c>
      <c r="E16"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0</v>
      </c>
      <c r="F16"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0</v>
      </c>
      <c r="G16"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0</v>
      </c>
      <c r="H16"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0</v>
      </c>
      <c r="I16"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180</v>
      </c>
      <c r="J16"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180</v>
      </c>
      <c r="K16"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180</v>
      </c>
      <c r="L16"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180</v>
      </c>
      <c r="M16"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180</v>
      </c>
      <c r="N16"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180</v>
      </c>
      <c r="O16" s="128">
        <f>SUM(فروق_المكتب[[#This Row],[يناير]:[ديسمبر]])</f>
        <v>1080</v>
      </c>
      <c r="P16" s="20"/>
    </row>
    <row r="17" spans="1:16" ht="24.9" customHeight="1" thickBot="1" x14ac:dyDescent="0.35">
      <c r="A17" s="15"/>
      <c r="B17" s="40" t="s">
        <v>21</v>
      </c>
      <c r="C17"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-56</v>
      </c>
      <c r="D17"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58</v>
      </c>
      <c r="E17"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40</v>
      </c>
      <c r="F17"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-21</v>
      </c>
      <c r="G17"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-56</v>
      </c>
      <c r="H17"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-40</v>
      </c>
      <c r="I17"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200</v>
      </c>
      <c r="J17"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200</v>
      </c>
      <c r="K17"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200</v>
      </c>
      <c r="L17"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200</v>
      </c>
      <c r="M17"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200</v>
      </c>
      <c r="N17"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200</v>
      </c>
      <c r="O17" s="128">
        <f>SUM(فروق_المكتب[[#This Row],[يناير]:[ديسمبر]])</f>
        <v>1125</v>
      </c>
      <c r="P17" s="20"/>
    </row>
    <row r="18" spans="1:16" ht="24.9" customHeight="1" thickBot="1" x14ac:dyDescent="0.35">
      <c r="A18" s="15"/>
      <c r="B18" s="40" t="s">
        <v>22</v>
      </c>
      <c r="C18" s="127">
        <f>INDEX(خطة_المكتب[],MATCH(INDEX(فروق_المكتب[],ROW()-ROW(فروق_المكتب[[#Headers],[يناير]]),1),INDEX(خطة_المكتب[],,1),0),MATCH(فروق_المكتب[[#Headers],[يناير]],خطة_المكتب[#Headers],0))-INDEX(المكتب_الفعلي[],MATCH(INDEX(فروق_المكتب[],ROW()-ROW(فروق_المكتب[[#Headers],[يناير]]),1),INDEX(خطة_المكتب[],,1),0),MATCH(فروق_المكتب[[#Headers],[يناير]],المكتب_الفعلي[#Headers],0))</f>
        <v>0</v>
      </c>
      <c r="D18" s="127">
        <f>INDEX(خطة_المكتب[],MATCH(INDEX(فروق_المكتب[],ROW()-ROW(فروق_المكتب[[#Headers],[فبراير]]),1),INDEX(خطة_المكتب[],,1),0),MATCH(فروق_المكتب[[#Headers],[فبراير]],خطة_المكتب[#Headers],0))-INDEX(المكتب_الفعلي[],MATCH(INDEX(فروق_المكتب[],ROW()-ROW(فروق_المكتب[[#Headers],[فبراير]]),1),INDEX(خطة_المكتب[],,1),0),MATCH(فروق_المكتب[[#Headers],[فبراير]],المكتب_الفعلي[#Headers],0))</f>
        <v>0</v>
      </c>
      <c r="E18" s="127">
        <f>INDEX(خطة_المكتب[],MATCH(INDEX(فروق_المكتب[],ROW()-ROW(فروق_المكتب[[#Headers],[مارس]]),1),INDEX(خطة_المكتب[],,1),0),MATCH(فروق_المكتب[[#Headers],[مارس]],خطة_المكتب[#Headers],0))-INDEX(المكتب_الفعلي[],MATCH(INDEX(فروق_المكتب[],ROW()-ROW(فروق_المكتب[[#Headers],[مارس]]),1),INDEX(خطة_المكتب[],,1),0),MATCH(فروق_المكتب[[#Headers],[مارس]],المكتب_الفعلي[#Headers],0))</f>
        <v>0</v>
      </c>
      <c r="F18" s="127">
        <f>INDEX(خطة_المكتب[],MATCH(INDEX(فروق_المكتب[],ROW()-ROW(فروق_المكتب[[#Headers],[أبريل]]),1),INDEX(خطة_المكتب[],,1),0),MATCH(فروق_المكتب[[#Headers],[أبريل]],خطة_المكتب[#Headers],0))-INDEX(المكتب_الفعلي[],MATCH(INDEX(فروق_المكتب[],ROW()-ROW(فروق_المكتب[[#Headers],[أبريل]]),1),INDEX(خطة_المكتب[],,1),0),MATCH(فروق_المكتب[[#Headers],[أبريل]],المكتب_الفعلي[#Headers],0))</f>
        <v>0</v>
      </c>
      <c r="G18" s="127">
        <f>INDEX(خطة_المكتب[],MATCH(INDEX(فروق_المكتب[],ROW()-ROW(فروق_المكتب[[#Headers],[مايو]]),1),INDEX(خطة_المكتب[],,1),0),MATCH(فروق_المكتب[[#Headers],[مايو]],خطة_المكتب[#Headers],0))-INDEX(المكتب_الفعلي[],MATCH(INDEX(فروق_المكتب[],ROW()-ROW(فروق_المكتب[[#Headers],[مايو]]),1),INDEX(خطة_المكتب[],,1),0),MATCH(فروق_المكتب[[#Headers],[مايو]],المكتب_الفعلي[#Headers],0))</f>
        <v>0</v>
      </c>
      <c r="H18" s="127">
        <f>INDEX(خطة_المكتب[],MATCH(INDEX(فروق_المكتب[],ROW()-ROW(فروق_المكتب[[#Headers],[يونيو]]),1),INDEX(خطة_المكتب[],,1),0),MATCH(فروق_المكتب[[#Headers],[يونيو]],خطة_المكتب[#Headers],0))-INDEX(المكتب_الفعلي[],MATCH(INDEX(فروق_المكتب[],ROW()-ROW(فروق_المكتب[[#Headers],[يونيو]]),1),INDEX(خطة_المكتب[],,1),0),MATCH(فروق_المكتب[[#Headers],[يونيو]],المكتب_الفعلي[#Headers],0))</f>
        <v>0</v>
      </c>
      <c r="I18" s="127">
        <f>INDEX(خطة_المكتب[],MATCH(INDEX(فروق_المكتب[],ROW()-ROW(فروق_المكتب[[#Headers],[يوليو]]),1),INDEX(خطة_المكتب[],,1),0),MATCH(فروق_المكتب[[#Headers],[يوليو]],خطة_المكتب[#Headers],0))-INDEX(المكتب_الفعلي[],MATCH(INDEX(فروق_المكتب[],ROW()-ROW(فروق_المكتب[[#Headers],[يوليو]]),1),INDEX(خطة_المكتب[],,1),0),MATCH(فروق_المكتب[[#Headers],[يوليو]],المكتب_الفعلي[#Headers],0))</f>
        <v>600</v>
      </c>
      <c r="J18" s="127">
        <f>INDEX(خطة_المكتب[],MATCH(INDEX(فروق_المكتب[],ROW()-ROW(فروق_المكتب[[#Headers],[أغسطس]]),1),INDEX(خطة_المكتب[],,1),0),MATCH(فروق_المكتب[[#Headers],[أغسطس]],خطة_المكتب[#Headers],0))-INDEX(المكتب_الفعلي[],MATCH(INDEX(فروق_المكتب[],ROW()-ROW(فروق_المكتب[[#Headers],[أغسطس]]),1),INDEX(خطة_المكتب[],,1),0),MATCH(فروق_المكتب[[#Headers],[أغسطس]],المكتب_الفعلي[#Headers],0))</f>
        <v>600</v>
      </c>
      <c r="K18" s="127">
        <f>INDEX(خطة_المكتب[],MATCH(INDEX(فروق_المكتب[],ROW()-ROW(فروق_المكتب[[#Headers],[سبتمبر]]),1),INDEX(خطة_المكتب[],,1),0),MATCH(فروق_المكتب[[#Headers],[سبتمبر]],خطة_المكتب[#Headers],0))-INDEX(المكتب_الفعلي[],MATCH(INDEX(فروق_المكتب[],ROW()-ROW(فروق_المكتب[[#Headers],[سبتمبر]]),1),INDEX(خطة_المكتب[],,1),0),MATCH(فروق_المكتب[[#Headers],[سبتمبر]],المكتب_الفعلي[#Headers],0))</f>
        <v>600</v>
      </c>
      <c r="L18" s="127">
        <f>INDEX(خطة_المكتب[],MATCH(INDEX(فروق_المكتب[],ROW()-ROW(فروق_المكتب[[#Headers],[أكتوبر]]),1),INDEX(خطة_المكتب[],,1),0),MATCH(فروق_المكتب[[#Headers],[أكتوبر]],خطة_المكتب[#Headers],0))-INDEX(المكتب_الفعلي[],MATCH(INDEX(فروق_المكتب[],ROW()-ROW(فروق_المكتب[[#Headers],[أكتوبر]]),1),INDEX(خطة_المكتب[],,1),0),MATCH(فروق_المكتب[[#Headers],[أكتوبر]],المكتب_الفعلي[#Headers],0))</f>
        <v>600</v>
      </c>
      <c r="M18" s="127">
        <f>INDEX(خطة_المكتب[],MATCH(INDEX(فروق_المكتب[],ROW()-ROW(فروق_المكتب[[#Headers],[نوفمبر]]),1),INDEX(خطة_المكتب[],,1),0),MATCH(فروق_المكتب[[#Headers],[نوفمبر]],خطة_المكتب[#Headers],0))-INDEX(المكتب_الفعلي[],MATCH(INDEX(فروق_المكتب[],ROW()-ROW(فروق_المكتب[[#Headers],[نوفمبر]]),1),INDEX(خطة_المكتب[],,1),0),MATCH(فروق_المكتب[[#Headers],[نوفمبر]],المكتب_الفعلي[#Headers],0))</f>
        <v>600</v>
      </c>
      <c r="N18" s="127">
        <f>INDEX(خطة_المكتب[],MATCH(INDEX(فروق_المكتب[],ROW()-ROW(فروق_المكتب[[#Headers],[ديسمبر]]),1),INDEX(خطة_المكتب[],,1),0),MATCH(فروق_المكتب[[#Headers],[ديسمبر]],خطة_المكتب[#Headers],0))-INDEX(المكتب_الفعلي[],MATCH(INDEX(فروق_المكتب[],ROW()-ROW(فروق_المكتب[[#Headers],[ديسمبر]]),1),INDEX(خطة_المكتب[],,1),0),MATCH(فروق_المكتب[[#Headers],[ديسمبر]],المكتب_الفعلي[#Headers],0))</f>
        <v>600</v>
      </c>
      <c r="O18" s="128">
        <f>SUM(فروق_المكتب[[#This Row],[يناير]:[ديسمبر]])</f>
        <v>3600</v>
      </c>
      <c r="P18" s="20"/>
    </row>
    <row r="19" spans="1:16" ht="24.9" customHeight="1" x14ac:dyDescent="0.3">
      <c r="A19" s="15"/>
      <c r="B19" s="49" t="s">
        <v>13</v>
      </c>
      <c r="C19" s="80">
        <f>SUBTOTAL(109,فروق_المكتب[يناير])</f>
        <v>-17</v>
      </c>
      <c r="D19" s="129">
        <f>SUBTOTAL(109,فروق_المكتب[فبراير])</f>
        <v>72</v>
      </c>
      <c r="E19" s="129">
        <f>SUBTOTAL(109,فروق_المكتب[مارس])</f>
        <v>78</v>
      </c>
      <c r="F19" s="129">
        <f>SUBTOTAL(109,فروق_المكتب[أبريل])</f>
        <v>-141</v>
      </c>
      <c r="G19" s="129">
        <f>SUBTOTAL(109,فروق_المكتب[مايو])</f>
        <v>-38</v>
      </c>
      <c r="H19" s="129">
        <f>SUBTOTAL(109,فروق_المكتب[يونيو])</f>
        <v>16</v>
      </c>
      <c r="I19" s="129">
        <f>SUBTOTAL(109,فروق_المكتب[يوليو])</f>
        <v>11470</v>
      </c>
      <c r="J19" s="129">
        <f>SUBTOTAL(109,فروق_المكتب[أغسطس])</f>
        <v>11470</v>
      </c>
      <c r="K19" s="129">
        <f>SUBTOTAL(109,فروق_المكتب[سبتمبر])</f>
        <v>11470</v>
      </c>
      <c r="L19" s="129">
        <f>SUBTOTAL(109,فروق_المكتب[أكتوبر])</f>
        <v>11470</v>
      </c>
      <c r="M19" s="129">
        <f>SUBTOTAL(109,فروق_المكتب[نوفمبر])</f>
        <v>11770</v>
      </c>
      <c r="N19" s="129">
        <f>SUBTOTAL(109,فروق_المكتب[ديسمبر])</f>
        <v>11770</v>
      </c>
      <c r="O19" s="130">
        <f>SUBTOTAL(109,فروق_المكتب[السنة])</f>
        <v>69390</v>
      </c>
      <c r="P19" s="20"/>
    </row>
    <row r="20" spans="1:16" ht="21" customHeight="1" x14ac:dyDescent="0.3">
      <c r="A20" s="15"/>
      <c r="B20" s="27"/>
      <c r="C20" s="76"/>
      <c r="D20" s="72"/>
      <c r="E20" s="72"/>
      <c r="F20" s="77"/>
      <c r="G20" s="77"/>
      <c r="H20" s="77"/>
      <c r="I20" s="77"/>
      <c r="J20" s="77"/>
      <c r="K20" s="77"/>
      <c r="L20" s="77"/>
      <c r="M20" s="77"/>
      <c r="N20" s="77"/>
      <c r="O20" s="73"/>
      <c r="P20" s="20"/>
    </row>
    <row r="21" spans="1:16" ht="24.9" customHeight="1" thickBot="1" x14ac:dyDescent="0.35">
      <c r="A21" s="15"/>
      <c r="B21" s="28" t="s">
        <v>23</v>
      </c>
      <c r="C21" s="74" t="s">
        <v>36</v>
      </c>
      <c r="D21" s="74" t="s">
        <v>37</v>
      </c>
      <c r="E21" s="74" t="s">
        <v>38</v>
      </c>
      <c r="F21" s="74" t="s">
        <v>39</v>
      </c>
      <c r="G21" s="74" t="s">
        <v>40</v>
      </c>
      <c r="H21" s="74" t="s">
        <v>41</v>
      </c>
      <c r="I21" s="74" t="s">
        <v>42</v>
      </c>
      <c r="J21" s="74" t="s">
        <v>43</v>
      </c>
      <c r="K21" s="74" t="s">
        <v>46</v>
      </c>
      <c r="L21" s="74" t="s">
        <v>47</v>
      </c>
      <c r="M21" s="74" t="s">
        <v>48</v>
      </c>
      <c r="N21" s="74" t="s">
        <v>49</v>
      </c>
      <c r="O21" s="75" t="s">
        <v>50</v>
      </c>
      <c r="P21" s="20"/>
    </row>
    <row r="22" spans="1:16" ht="24.9" customHeight="1" thickBot="1" x14ac:dyDescent="0.35">
      <c r="A22" s="15"/>
      <c r="B22" s="40" t="s">
        <v>24</v>
      </c>
      <c r="C22"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0</v>
      </c>
      <c r="D22"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0</v>
      </c>
      <c r="E22"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0</v>
      </c>
      <c r="F22"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0</v>
      </c>
      <c r="G22"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0</v>
      </c>
      <c r="H22"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0</v>
      </c>
      <c r="I22"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500</v>
      </c>
      <c r="J22"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500</v>
      </c>
      <c r="K22"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500</v>
      </c>
      <c r="L22"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500</v>
      </c>
      <c r="M22"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500</v>
      </c>
      <c r="N22"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500</v>
      </c>
      <c r="O22" s="128">
        <f>SUM(فروق_التسويق[[#This Row],[يناير]:[ديسمبر]])</f>
        <v>3000</v>
      </c>
      <c r="P22" s="20"/>
    </row>
    <row r="23" spans="1:16" ht="24.9" customHeight="1" thickBot="1" x14ac:dyDescent="0.35">
      <c r="A23" s="15"/>
      <c r="B23" s="40" t="s">
        <v>25</v>
      </c>
      <c r="C23"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0</v>
      </c>
      <c r="D23"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0</v>
      </c>
      <c r="E23"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0</v>
      </c>
      <c r="F23"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0</v>
      </c>
      <c r="G23"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0</v>
      </c>
      <c r="H23"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-500</v>
      </c>
      <c r="I23"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200</v>
      </c>
      <c r="J23"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200</v>
      </c>
      <c r="K23"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200</v>
      </c>
      <c r="L23"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200</v>
      </c>
      <c r="M23"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200</v>
      </c>
      <c r="N23"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1000</v>
      </c>
      <c r="O23" s="128">
        <f>SUM(فروق_التسويق[[#This Row],[يناير]:[ديسمبر]])</f>
        <v>1500</v>
      </c>
      <c r="P23" s="20"/>
    </row>
    <row r="24" spans="1:16" ht="24.9" customHeight="1" thickBot="1" x14ac:dyDescent="0.35">
      <c r="A24" s="15"/>
      <c r="B24" s="40" t="s">
        <v>26</v>
      </c>
      <c r="C24"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200</v>
      </c>
      <c r="D24"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0</v>
      </c>
      <c r="E24"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0</v>
      </c>
      <c r="F24"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-500</v>
      </c>
      <c r="G24"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0</v>
      </c>
      <c r="H24"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0</v>
      </c>
      <c r="I24"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5000</v>
      </c>
      <c r="J24"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0</v>
      </c>
      <c r="K24"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0</v>
      </c>
      <c r="L24"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5000</v>
      </c>
      <c r="M24"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0</v>
      </c>
      <c r="N24"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0</v>
      </c>
      <c r="O24" s="128">
        <f>SUM(فروق_التسويق[[#This Row],[يناير]:[ديسمبر]])</f>
        <v>9700</v>
      </c>
      <c r="P24" s="20"/>
    </row>
    <row r="25" spans="1:16" ht="24.9" customHeight="1" thickBot="1" x14ac:dyDescent="0.35">
      <c r="A25" s="15"/>
      <c r="B25" s="40" t="s">
        <v>27</v>
      </c>
      <c r="C25"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100</v>
      </c>
      <c r="D25"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-300</v>
      </c>
      <c r="E25"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100</v>
      </c>
      <c r="F25"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100</v>
      </c>
      <c r="G25"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-400</v>
      </c>
      <c r="H25"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20</v>
      </c>
      <c r="I25"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200</v>
      </c>
      <c r="J25"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200</v>
      </c>
      <c r="K25"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200</v>
      </c>
      <c r="L25"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200</v>
      </c>
      <c r="M25"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200</v>
      </c>
      <c r="N25"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200</v>
      </c>
      <c r="O25" s="128">
        <f>SUM(فروق_التسويق[[#This Row],[يناير]:[ديسمبر]])</f>
        <v>820</v>
      </c>
      <c r="P25" s="20"/>
    </row>
    <row r="26" spans="1:16" ht="24.9" customHeight="1" thickBot="1" x14ac:dyDescent="0.35">
      <c r="A26" s="15"/>
      <c r="B26" s="40" t="s">
        <v>28</v>
      </c>
      <c r="C26"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200</v>
      </c>
      <c r="D26"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-200</v>
      </c>
      <c r="E26"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-200</v>
      </c>
      <c r="F26"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300</v>
      </c>
      <c r="G26"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500</v>
      </c>
      <c r="H26"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-300</v>
      </c>
      <c r="I26"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2000</v>
      </c>
      <c r="J26"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5000</v>
      </c>
      <c r="K26"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2000</v>
      </c>
      <c r="L26"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2000</v>
      </c>
      <c r="M26"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2000</v>
      </c>
      <c r="N26"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5000</v>
      </c>
      <c r="O26" s="128">
        <f>SUM(فروق_التسويق[[#This Row],[يناير]:[ديسمبر]])</f>
        <v>18300</v>
      </c>
      <c r="P26" s="20"/>
    </row>
    <row r="27" spans="1:16" ht="24.9" customHeight="1" thickBot="1" x14ac:dyDescent="0.35">
      <c r="A27" s="15"/>
      <c r="B27" s="40" t="s">
        <v>29</v>
      </c>
      <c r="C27" s="127">
        <f>INDEX(خطة_التسويق[],MATCH(INDEX(فروق_التسويق[],ROW()-ROW(فروق_التسويق[[#Headers],[يناير]]),1),INDEX(خطة_التسويق[],,1),0),MATCH(فروق_التسويق[[#Headers],[يناير]],خطة_التسويق[#Headers],0))-INDEX(التسويق_الفعلي[],MATCH(INDEX(فروق_التسويق[],ROW()-ROW(فروق_التسويق[[#Headers],[يناير]]),1),INDEX(خطة_التسويق[],,1),0),MATCH(فروق_التسويق[[#Headers],[يناير]],التسويق_الفعلي[#Headers],0))</f>
        <v>55</v>
      </c>
      <c r="D27" s="127">
        <f>INDEX(خطة_التسويق[],MATCH(INDEX(فروق_التسويق[],ROW()-ROW(فروق_التسويق[[#Headers],[فبراير]]),1),INDEX(خطة_التسويق[],,1),0),MATCH(فروق_التسويق[[#Headers],[فبراير]],خطة_التسويق[#Headers],0))-INDEX(التسويق_الفعلي[],MATCH(INDEX(فروق_التسويق[],ROW()-ROW(فروق_التسويق[[#Headers],[فبراير]]),1),INDEX(خطة_التسويق[],,1),0),MATCH(فروق_التسويق[[#Headers],[فبراير]],التسويق_الفعلي[#Headers],0))</f>
        <v>44</v>
      </c>
      <c r="E27" s="127">
        <f>INDEX(خطة_التسويق[],MATCH(INDEX(فروق_التسويق[],ROW()-ROW(فروق_التسويق[[#Headers],[مارس]]),1),INDEX(خطة_التسويق[],,1),0),MATCH(فروق_التسويق[[#Headers],[مارس]],خطة_التسويق[#Headers],0))-INDEX(التسويق_الفعلي[],MATCH(INDEX(فروق_التسويق[],ROW()-ROW(فروق_التسويق[[#Headers],[مارس]]),1),INDEX(خطة_التسويق[],,1),0),MATCH(فروق_التسويق[[#Headers],[مارس]],التسويق_الفعلي[#Headers],0))</f>
        <v>77</v>
      </c>
      <c r="F27" s="127">
        <f>INDEX(خطة_التسويق[],MATCH(INDEX(فروق_التسويق[],ROW()-ROW(فروق_التسويق[[#Headers],[أبريل]]),1),INDEX(خطة_التسويق[],,1),0),MATCH(فروق_التسويق[[#Headers],[أبريل]],خطة_التسويق[#Headers],0))-INDEX(التسويق_الفعلي[],MATCH(INDEX(فروق_التسويق[],ROW()-ROW(فروق_التسويق[[#Headers],[أبريل]]),1),INDEX(خطة_التسويق[],,1),0),MATCH(فروق_التسويق[[#Headers],[أبريل]],التسويق_الفعلي[#Headers],0))</f>
        <v>-23</v>
      </c>
      <c r="G27" s="127">
        <f>INDEX(خطة_التسويق[],MATCH(INDEX(فروق_التسويق[],ROW()-ROW(فروق_التسويق[[#Headers],[مايو]]),1),INDEX(خطة_التسويق[],,1),0),MATCH(فروق_التسويق[[#Headers],[مايو]],خطة_التسويق[#Headers],0))-INDEX(التسويق_الفعلي[],MATCH(INDEX(فروق_التسويق[],ROW()-ROW(فروق_التسويق[[#Headers],[مايو]]),1),INDEX(خطة_التسويق[],,1),0),MATCH(فروق_التسويق[[#Headers],[مايو]],التسويق_الفعلي[#Headers],0))</f>
        <v>13</v>
      </c>
      <c r="H27" s="127">
        <f>INDEX(خطة_التسويق[],MATCH(INDEX(فروق_التسويق[],ROW()-ROW(فروق_التسويق[[#Headers],[يونيو]]),1),INDEX(خطة_التسويق[],,1),0),MATCH(فروق_التسويق[[#Headers],[يونيو]],خطة_التسويق[#Headers],0))-INDEX(التسويق_الفعلي[],MATCH(INDEX(فروق_التسويق[],ROW()-ROW(فروق_التسويق[[#Headers],[يونيو]]),1),INDEX(خطة_التسويق[],,1),0),MATCH(فروق_التسويق[[#Headers],[يونيو]],التسويق_الفعلي[#Headers],0))</f>
        <v>-45</v>
      </c>
      <c r="I27" s="127">
        <f>INDEX(خطة_التسويق[],MATCH(INDEX(فروق_التسويق[],ROW()-ROW(فروق_التسويق[[#Headers],[يوليو]]),1),INDEX(خطة_التسويق[],,1),0),MATCH(فروق_التسويق[[#Headers],[يوليو]],خطة_التسويق[#Headers],0))-INDEX(التسويق_الفعلي[],MATCH(INDEX(فروق_التسويق[],ROW()-ROW(فروق_التسويق[[#Headers],[يوليو]]),1),INDEX(خطة_التسويق[],,1),0),MATCH(فروق_التسويق[[#Headers],[يوليو]],التسويق_الفعلي[#Headers],0))</f>
        <v>200</v>
      </c>
      <c r="J27" s="127">
        <f>INDEX(خطة_التسويق[],MATCH(INDEX(فروق_التسويق[],ROW()-ROW(فروق_التسويق[[#Headers],[أغسطس]]),1),INDEX(خطة_التسويق[],,1),0),MATCH(فروق_التسويق[[#Headers],[أغسطس]],خطة_التسويق[#Headers],0))-INDEX(التسويق_الفعلي[],MATCH(INDEX(فروق_التسويق[],ROW()-ROW(فروق_التسويق[[#Headers],[أغسطس]]),1),INDEX(خطة_التسويق[],,1),0),MATCH(فروق_التسويق[[#Headers],[أغسطس]],التسويق_الفعلي[#Headers],0))</f>
        <v>200</v>
      </c>
      <c r="K27" s="127">
        <f>INDEX(خطة_التسويق[],MATCH(INDEX(فروق_التسويق[],ROW()-ROW(فروق_التسويق[[#Headers],[سبتمبر]]),1),INDEX(خطة_التسويق[],,1),0),MATCH(فروق_التسويق[[#Headers],[سبتمبر]],خطة_التسويق[#Headers],0))-INDEX(التسويق_الفعلي[],MATCH(INDEX(فروق_التسويق[],ROW()-ROW(فروق_التسويق[[#Headers],[سبتمبر]]),1),INDEX(خطة_التسويق[],,1),0),MATCH(فروق_التسويق[[#Headers],[سبتمبر]],التسويق_الفعلي[#Headers],0))</f>
        <v>200</v>
      </c>
      <c r="L27" s="127">
        <f>INDEX(خطة_التسويق[],MATCH(INDEX(فروق_التسويق[],ROW()-ROW(فروق_التسويق[[#Headers],[أكتوبر]]),1),INDEX(خطة_التسويق[],,1),0),MATCH(فروق_التسويق[[#Headers],[أكتوبر]],خطة_التسويق[#Headers],0))-INDEX(التسويق_الفعلي[],MATCH(INDEX(فروق_التسويق[],ROW()-ROW(فروق_التسويق[[#Headers],[أكتوبر]]),1),INDEX(خطة_التسويق[],,1),0),MATCH(فروق_التسويق[[#Headers],[أكتوبر]],التسويق_الفعلي[#Headers],0))</f>
        <v>200</v>
      </c>
      <c r="M27" s="127">
        <f>INDEX(خطة_التسويق[],MATCH(INDEX(فروق_التسويق[],ROW()-ROW(فروق_التسويق[[#Headers],[نوفمبر]]),1),INDEX(خطة_التسويق[],,1),0),MATCH(فروق_التسويق[[#Headers],[نوفمبر]],خطة_التسويق[#Headers],0))-INDEX(التسويق_الفعلي[],MATCH(INDEX(فروق_التسويق[],ROW()-ROW(فروق_التسويق[[#Headers],[نوفمبر]]),1),INDEX(خطة_التسويق[],,1),0),MATCH(فروق_التسويق[[#Headers],[نوفمبر]],التسويق_الفعلي[#Headers],0))</f>
        <v>200</v>
      </c>
      <c r="N27" s="127">
        <f>INDEX(خطة_التسويق[],MATCH(INDEX(فروق_التسويق[],ROW()-ROW(فروق_التسويق[[#Headers],[ديسمبر]]),1),INDEX(خطة_التسويق[],,1),0),MATCH(فروق_التسويق[[#Headers],[ديسمبر]],خطة_التسويق[#Headers],0))-INDEX(التسويق_الفعلي[],MATCH(INDEX(فروق_التسويق[],ROW()-ROW(فروق_التسويق[[#Headers],[ديسمبر]]),1),INDEX(خطة_التسويق[],,1),0),MATCH(فروق_التسويق[[#Headers],[ديسمبر]],التسويق_الفعلي[#Headers],0))</f>
        <v>200</v>
      </c>
      <c r="O27" s="128">
        <f>SUM(فروق_التسويق[[#This Row],[يناير]:[ديسمبر]])</f>
        <v>1321</v>
      </c>
      <c r="P27" s="20"/>
    </row>
    <row r="28" spans="1:16" ht="24.9" customHeight="1" x14ac:dyDescent="0.3">
      <c r="A28" s="15"/>
      <c r="B28" s="50" t="s">
        <v>13</v>
      </c>
      <c r="C28" s="129">
        <f>SUBTOTAL(109,فروق_التسويق[يناير])</f>
        <v>555</v>
      </c>
      <c r="D28" s="129">
        <f>SUBTOTAL(109,فروق_التسويق[فبراير])</f>
        <v>-456</v>
      </c>
      <c r="E28" s="129">
        <f>SUBTOTAL(109,فروق_التسويق[مارس])</f>
        <v>-23</v>
      </c>
      <c r="F28" s="129">
        <f>SUBTOTAL(109,فروق_التسويق[أبريل])</f>
        <v>-123</v>
      </c>
      <c r="G28" s="129">
        <f>SUBTOTAL(109,فروق_التسويق[مايو])</f>
        <v>113</v>
      </c>
      <c r="H28" s="129">
        <f>SUBTOTAL(109,فروق_التسويق[يونيو])</f>
        <v>-825</v>
      </c>
      <c r="I28" s="129">
        <f>SUBTOTAL(109,فروق_التسويق[يوليو])</f>
        <v>8100</v>
      </c>
      <c r="J28" s="129">
        <f>SUBTOTAL(109,فروق_التسويق[أغسطس])</f>
        <v>6100</v>
      </c>
      <c r="K28" s="129">
        <f>SUBTOTAL(109,فروق_التسويق[سبتمبر])</f>
        <v>3100</v>
      </c>
      <c r="L28" s="129">
        <f>SUBTOTAL(109,فروق_التسويق[أكتوبر])</f>
        <v>8100</v>
      </c>
      <c r="M28" s="129">
        <f>SUBTOTAL(109,فروق_التسويق[نوفمبر])</f>
        <v>3100</v>
      </c>
      <c r="N28" s="129">
        <f>SUBTOTAL(109,فروق_التسويق[ديسمبر])</f>
        <v>6900</v>
      </c>
      <c r="O28" s="130">
        <f>SUBTOTAL(109,فروق_التسويق[السنة])</f>
        <v>34641</v>
      </c>
      <c r="P28" s="20"/>
    </row>
    <row r="29" spans="1:16" ht="21" customHeight="1" x14ac:dyDescent="0.3">
      <c r="A29" s="15"/>
      <c r="B29" s="23"/>
      <c r="C29" s="71"/>
      <c r="D29" s="77"/>
      <c r="E29" s="77"/>
      <c r="F29" s="77"/>
      <c r="G29" s="77"/>
      <c r="H29" s="77"/>
      <c r="I29" s="77"/>
      <c r="J29" s="77"/>
      <c r="K29" s="77"/>
      <c r="L29" s="77"/>
      <c r="M29" s="77"/>
      <c r="N29" s="77"/>
      <c r="O29" s="73"/>
      <c r="P29" s="20"/>
    </row>
    <row r="30" spans="1:16" ht="24.9" customHeight="1" thickBot="1" x14ac:dyDescent="0.35">
      <c r="A30" s="15"/>
      <c r="B30" s="30" t="s">
        <v>30</v>
      </c>
      <c r="C30" s="74" t="s">
        <v>36</v>
      </c>
      <c r="D30" s="74" t="s">
        <v>37</v>
      </c>
      <c r="E30" s="74" t="s">
        <v>38</v>
      </c>
      <c r="F30" s="74" t="s">
        <v>39</v>
      </c>
      <c r="G30" s="74" t="s">
        <v>40</v>
      </c>
      <c r="H30" s="74" t="s">
        <v>41</v>
      </c>
      <c r="I30" s="74" t="s">
        <v>42</v>
      </c>
      <c r="J30" s="74" t="s">
        <v>43</v>
      </c>
      <c r="K30" s="74" t="s">
        <v>46</v>
      </c>
      <c r="L30" s="74" t="s">
        <v>47</v>
      </c>
      <c r="M30" s="74" t="s">
        <v>48</v>
      </c>
      <c r="N30" s="74" t="s">
        <v>49</v>
      </c>
      <c r="O30" s="75" t="s">
        <v>50</v>
      </c>
      <c r="P30" s="20"/>
    </row>
    <row r="31" spans="1:16" ht="24.9" customHeight="1" thickBot="1" x14ac:dyDescent="0.35">
      <c r="A31" s="15"/>
      <c r="B31" s="40" t="s">
        <v>31</v>
      </c>
      <c r="C31" s="127">
        <f>INDEX(خطة_السفر_والتدريب[],MATCH(INDEX(فروق_السفر_والتدريب[],ROW()-ROW(فروق_السفر_والتدريب[[#Headers],[يناير]]),1),INDEX(خطة_السفر_والتدريب[],,1),0),MATCH(فروق_السفر_والتدريب[[#Headers],[يناير]],خطة_السفر_والتدريب[#Headers],0))-INDEX(التدريب_والسفر_الفعليين[],MATCH(INDEX(فروق_السفر_والتدريب[],ROW()-ROW(فروق_السفر_والتدريب[[#Headers],[يناير]]),1),INDEX(خطة_السفر_والتدريب[],,1),0),MATCH(فروق_السفر_والتدريب[[#Headers],[يناير]],التدريب_والسفر_الفعليين[#Headers],0))</f>
        <v>400</v>
      </c>
      <c r="D31" s="127">
        <f>INDEX(خطة_السفر_والتدريب[],MATCH(INDEX(فروق_السفر_والتدريب[],ROW()-ROW(فروق_السفر_والتدريب[[#Headers],[فبراير]]),1),INDEX(خطة_السفر_والتدريب[],,1),0),MATCH(فروق_السفر_والتدريب[[#Headers],[فبراير]],خطة_السفر_والتدريب[#Headers],0))-INDEX(التدريب_والسفر_الفعليين[],MATCH(INDEX(فروق_السفر_والتدريب[],ROW()-ROW(فروق_السفر_والتدريب[[#Headers],[فبراير]]),1),INDEX(خطة_السفر_والتدريب[],,1),0),MATCH(فروق_السفر_والتدريب[[#Headers],[فبراير]],التدريب_والسفر_الفعليين[#Headers],0))</f>
        <v>-400</v>
      </c>
      <c r="E31" s="127">
        <f>INDEX(خطة_السفر_والتدريب[],MATCH(INDEX(فروق_السفر_والتدريب[],ROW()-ROW(فروق_السفر_والتدريب[[#Headers],[مارس]]),1),INDEX(خطة_السفر_والتدريب[],,1),0),MATCH(فروق_السفر_والتدريب[[#Headers],[مارس]],خطة_السفر_والتدريب[#Headers],0))-INDEX(التدريب_والسفر_الفعليين[],MATCH(INDEX(فروق_السفر_والتدريب[],ROW()-ROW(فروق_السفر_والتدريب[[#Headers],[مارس]]),1),INDEX(خطة_السفر_والتدريب[],,1),0),MATCH(فروق_السفر_والتدريب[[#Headers],[مارس]],التدريب_والسفر_الفعليين[#Headers],0))</f>
        <v>600</v>
      </c>
      <c r="F31" s="127">
        <f>INDEX(خطة_السفر_والتدريب[],MATCH(INDEX(فروق_السفر_والتدريب[],ROW()-ROW(فروق_السفر_والتدريب[[#Headers],[أبريل]]),1),INDEX(خطة_السفر_والتدريب[],,1),0),MATCH(فروق_السفر_والتدريب[[#Headers],[أبريل]],خطة_السفر_والتدريب[#Headers],0))-INDEX(التدريب_والسفر_الفعليين[],MATCH(INDEX(فروق_السفر_والتدريب[],ROW()-ROW(فروق_السفر_والتدريب[[#Headers],[أبريل]]),1),INDEX(خطة_السفر_والتدريب[],,1),0),MATCH(فروق_السفر_والتدريب[[#Headers],[أبريل]],التدريب_والسفر_الفعليين[#Headers],0))</f>
        <v>400</v>
      </c>
      <c r="G31" s="127">
        <f>INDEX(خطة_السفر_والتدريب[],MATCH(INDEX(فروق_السفر_والتدريب[],ROW()-ROW(فروق_السفر_والتدريب[[#Headers],[مايو]]),1),INDEX(خطة_السفر_والتدريب[],,1),0),MATCH(فروق_السفر_والتدريب[[#Headers],[مايو]],خطة_السفر_والتدريب[#Headers],0))-INDEX(التدريب_والسفر_الفعليين[],MATCH(INDEX(فروق_السفر_والتدريب[],ROW()-ROW(فروق_السفر_والتدريب[[#Headers],[مايو]]),1),INDEX(خطة_السفر_والتدريب[],,1),0),MATCH(فروق_السفر_والتدريب[[#Headers],[مايو]],التدريب_والسفر_الفعليين[#Headers],0))</f>
        <v>800</v>
      </c>
      <c r="H31" s="127">
        <f>INDEX(خطة_السفر_والتدريب[],MATCH(INDEX(فروق_السفر_والتدريب[],ROW()-ROW(فروق_السفر_والتدريب[[#Headers],[يونيو]]),1),INDEX(خطة_السفر_والتدريب[],,1),0),MATCH(فروق_السفر_والتدريب[[#Headers],[يونيو]],خطة_السفر_والتدريب[#Headers],0))-INDEX(التدريب_والسفر_الفعليين[],MATCH(INDEX(فروق_السفر_والتدريب[],ROW()-ROW(فروق_السفر_والتدريب[[#Headers],[يونيو]]),1),INDEX(خطة_السفر_والتدريب[],,1),0),MATCH(فروق_السفر_والتدريب[[#Headers],[يونيو]],التدريب_والسفر_الفعليين[#Headers],0))</f>
        <v>-800</v>
      </c>
      <c r="I31" s="127">
        <f>INDEX(خطة_السفر_والتدريب[],MATCH(INDEX(فروق_السفر_والتدريب[],ROW()-ROW(فروق_السفر_والتدريب[[#Headers],[يوليو]]),1),INDEX(خطة_السفر_والتدريب[],,1),0),MATCH(فروق_السفر_والتدريب[[#Headers],[يوليو]],خطة_السفر_والتدريب[#Headers],0))-INDEX(التدريب_والسفر_الفعليين[],MATCH(INDEX(فروق_السفر_والتدريب[],ROW()-ROW(فروق_السفر_والتدريب[[#Headers],[يوليو]]),1),INDEX(خطة_السفر_والتدريب[],,1),0),MATCH(فروق_السفر_والتدريب[[#Headers],[يوليو]],التدريب_والسفر_الفعليين[#Headers],0))</f>
        <v>2000</v>
      </c>
      <c r="J31" s="127">
        <f>INDEX(خطة_السفر_والتدريب[],MATCH(INDEX(فروق_السفر_والتدريب[],ROW()-ROW(فروق_السفر_والتدريب[[#Headers],[أغسطس]]),1),INDEX(خطة_السفر_والتدريب[],,1),0),MATCH(فروق_السفر_والتدريب[[#Headers],[أغسطس]],خطة_السفر_والتدريب[#Headers],0))-INDEX(التدريب_والسفر_الفعليين[],MATCH(INDEX(فروق_السفر_والتدريب[],ROW()-ROW(فروق_السفر_والتدريب[[#Headers],[أغسطس]]),1),INDEX(خطة_السفر_والتدريب[],,1),0),MATCH(فروق_السفر_والتدريب[[#Headers],[أغسطس]],التدريب_والسفر_الفعليين[#Headers],0))</f>
        <v>2000</v>
      </c>
      <c r="K31" s="127">
        <f>INDEX(خطة_السفر_والتدريب[],MATCH(INDEX(فروق_السفر_والتدريب[],ROW()-ROW(فروق_السفر_والتدريب[[#Headers],[سبتمبر]]),1),INDEX(خطة_السفر_والتدريب[],,1),0),MATCH(فروق_السفر_والتدريب[[#Headers],[سبتمبر]],خطة_السفر_والتدريب[#Headers],0))-INDEX(التدريب_والسفر_الفعليين[],MATCH(INDEX(فروق_السفر_والتدريب[],ROW()-ROW(فروق_السفر_والتدريب[[#Headers],[سبتمبر]]),1),INDEX(خطة_السفر_والتدريب[],,1),0),MATCH(فروق_السفر_والتدريب[[#Headers],[سبتمبر]],التدريب_والسفر_الفعليين[#Headers],0))</f>
        <v>2000</v>
      </c>
      <c r="L31" s="127">
        <f>INDEX(خطة_السفر_والتدريب[],MATCH(INDEX(فروق_السفر_والتدريب[],ROW()-ROW(فروق_السفر_والتدريب[[#Headers],[أكتوبر]]),1),INDEX(خطة_السفر_والتدريب[],,1),0),MATCH(فروق_السفر_والتدريب[[#Headers],[أكتوبر]],خطة_السفر_والتدريب[#Headers],0))-INDEX(التدريب_والسفر_الفعليين[],MATCH(INDEX(فروق_السفر_والتدريب[],ROW()-ROW(فروق_السفر_والتدريب[[#Headers],[أكتوبر]]),1),INDEX(خطة_السفر_والتدريب[],,1),0),MATCH(فروق_السفر_والتدريب[[#Headers],[أكتوبر]],التدريب_والسفر_الفعليين[#Headers],0))</f>
        <v>2000</v>
      </c>
      <c r="M31" s="127">
        <f>INDEX(خطة_السفر_والتدريب[],MATCH(INDEX(فروق_السفر_والتدريب[],ROW()-ROW(فروق_السفر_والتدريب[[#Headers],[نوفمبر]]),1),INDEX(خطة_السفر_والتدريب[],,1),0),MATCH(فروق_السفر_والتدريب[[#Headers],[نوفمبر]],خطة_السفر_والتدريب[#Headers],0))-INDEX(التدريب_والسفر_الفعليين[],MATCH(INDEX(فروق_السفر_والتدريب[],ROW()-ROW(فروق_السفر_والتدريب[[#Headers],[نوفمبر]]),1),INDEX(خطة_السفر_والتدريب[],,1),0),MATCH(فروق_السفر_والتدريب[[#Headers],[نوفمبر]],التدريب_والسفر_الفعليين[#Headers],0))</f>
        <v>2000</v>
      </c>
      <c r="N31" s="127">
        <f>INDEX(خطة_السفر_والتدريب[],MATCH(INDEX(فروق_السفر_والتدريب[],ROW()-ROW(فروق_السفر_والتدريب[[#Headers],[ديسمبر]]),1),INDEX(خطة_السفر_والتدريب[],,1),0),MATCH(فروق_السفر_والتدريب[[#Headers],[ديسمبر]],خطة_السفر_والتدريب[#Headers],0))-INDEX(التدريب_والسفر_الفعليين[],MATCH(INDEX(فروق_السفر_والتدريب[],ROW()-ROW(فروق_السفر_والتدريب[[#Headers],[ديسمبر]]),1),INDEX(خطة_السفر_والتدريب[],,1),0),MATCH(فروق_السفر_والتدريب[[#Headers],[ديسمبر]],التدريب_والسفر_الفعليين[#Headers],0))</f>
        <v>2000</v>
      </c>
      <c r="O31" s="128">
        <f>SUM(فروق_السفر_والتدريب[[#This Row],[يناير]:[ديسمبر]])</f>
        <v>13000</v>
      </c>
      <c r="P31" s="20"/>
    </row>
    <row r="32" spans="1:16" ht="24.9" customHeight="1" thickBot="1" x14ac:dyDescent="0.35">
      <c r="A32" s="15"/>
      <c r="B32" s="40" t="s">
        <v>32</v>
      </c>
      <c r="C32" s="127">
        <f>INDEX(خطة_السفر_والتدريب[],MATCH(INDEX(فروق_السفر_والتدريب[],ROW()-ROW(فروق_السفر_والتدريب[[#Headers],[يناير]]),1),INDEX(خطة_السفر_والتدريب[],,1),0),MATCH(فروق_السفر_والتدريب[[#Headers],[يناير]],خطة_السفر_والتدريب[#Headers],0))-INDEX(التدريب_والسفر_الفعليين[],MATCH(INDEX(فروق_السفر_والتدريب[],ROW()-ROW(فروق_السفر_والتدريب[[#Headers],[يناير]]),1),INDEX(خطة_السفر_والتدريب[],,1),0),MATCH(فروق_السفر_والتدريب[[#Headers],[يناير]],التدريب_والسفر_الفعليين[#Headers],0))</f>
        <v>800</v>
      </c>
      <c r="D32" s="127">
        <f>INDEX(خطة_السفر_والتدريب[],MATCH(INDEX(فروق_السفر_والتدريب[],ROW()-ROW(فروق_السفر_والتدريب[[#Headers],[فبراير]]),1),INDEX(خطة_السفر_والتدريب[],,1),0),MATCH(فروق_السفر_والتدريب[[#Headers],[فبراير]],خطة_السفر_والتدريب[#Headers],0))-INDEX(التدريب_والسفر_الفعليين[],MATCH(INDEX(فروق_السفر_والتدريب[],ROW()-ROW(فروق_السفر_والتدريب[[#Headers],[فبراير]]),1),INDEX(خطة_السفر_والتدريب[],,1),0),MATCH(فروق_السفر_والتدريب[[#Headers],[فبراير]],التدريب_والسفر_الفعليين[#Headers],0))</f>
        <v>-200</v>
      </c>
      <c r="E32" s="127">
        <f>INDEX(خطة_السفر_والتدريب[],MATCH(INDEX(فروق_السفر_والتدريب[],ROW()-ROW(فروق_السفر_والتدريب[[#Headers],[مارس]]),1),INDEX(خطة_السفر_والتدريب[],,1),0),MATCH(فروق_السفر_والتدريب[[#Headers],[مارس]],خطة_السفر_والتدريب[#Headers],0))-INDEX(التدريب_والسفر_الفعليين[],MATCH(INDEX(فروق_السفر_والتدريب[],ROW()-ROW(فروق_السفر_والتدريب[[#Headers],[مارس]]),1),INDEX(خطة_السفر_والتدريب[],,1),0),MATCH(فروق_السفر_والتدريب[[#Headers],[مارس]],التدريب_والسفر_الفعليين[#Headers],0))</f>
        <v>600</v>
      </c>
      <c r="F32" s="127">
        <f>INDEX(خطة_السفر_والتدريب[],MATCH(INDEX(فروق_السفر_والتدريب[],ROW()-ROW(فروق_السفر_والتدريب[[#Headers],[أبريل]]),1),INDEX(خطة_السفر_والتدريب[],,1),0),MATCH(فروق_السفر_والتدريب[[#Headers],[أبريل]],خطة_السفر_والتدريب[#Headers],0))-INDEX(التدريب_والسفر_الفعليين[],MATCH(INDEX(فروق_السفر_والتدريب[],ROW()-ROW(فروق_السفر_والتدريب[[#Headers],[أبريل]]),1),INDEX(خطة_السفر_والتدريب[],,1),0),MATCH(فروق_السفر_والتدريب[[#Headers],[أبريل]],التدريب_والسفر_الفعليين[#Headers],0))</f>
        <v>800</v>
      </c>
      <c r="G32" s="127">
        <f>INDEX(خطة_السفر_والتدريب[],MATCH(INDEX(فروق_السفر_والتدريب[],ROW()-ROW(فروق_السفر_والتدريب[[#Headers],[مايو]]),1),INDEX(خطة_السفر_والتدريب[],,1),0),MATCH(فروق_السفر_والتدريب[[#Headers],[مايو]],خطة_السفر_والتدريب[#Headers],0))-INDEX(التدريب_والسفر_الفعليين[],MATCH(INDEX(فروق_السفر_والتدريب[],ROW()-ROW(فروق_السفر_والتدريب[[#Headers],[مايو]]),1),INDEX(خطة_السفر_والتدريب[],,1),0),MATCH(فروق_السفر_والتدريب[[#Headers],[مايو]],التدريب_والسفر_الفعليين[#Headers],0))</f>
        <v>1200</v>
      </c>
      <c r="H32" s="127">
        <f>INDEX(خطة_السفر_والتدريب[],MATCH(INDEX(فروق_السفر_والتدريب[],ROW()-ROW(فروق_السفر_والتدريب[[#Headers],[يونيو]]),1),INDEX(خطة_السفر_والتدريب[],,1),0),MATCH(فروق_السفر_والتدريب[[#Headers],[يونيو]],خطة_السفر_والتدريب[#Headers],0))-INDEX(التدريب_والسفر_الفعليين[],MATCH(INDEX(فروق_السفر_والتدريب[],ROW()-ROW(فروق_السفر_والتدريب[[#Headers],[يونيو]]),1),INDEX(خطة_السفر_والتدريب[],,1),0),MATCH(فروق_السفر_والتدريب[[#Headers],[يونيو]],التدريب_والسفر_الفعليين[#Headers],0))</f>
        <v>-1500</v>
      </c>
      <c r="I32" s="127">
        <f>INDEX(خطة_السفر_والتدريب[],MATCH(INDEX(فروق_السفر_والتدريب[],ROW()-ROW(فروق_السفر_والتدريب[[#Headers],[يوليو]]),1),INDEX(خطة_السفر_والتدريب[],,1),0),MATCH(فروق_السفر_والتدريب[[#Headers],[يوليو]],خطة_السفر_والتدريب[#Headers],0))-INDEX(التدريب_والسفر_الفعليين[],MATCH(INDEX(فروق_السفر_والتدريب[],ROW()-ROW(فروق_السفر_والتدريب[[#Headers],[يوليو]]),1),INDEX(خطة_السفر_والتدريب[],,1),0),MATCH(فروق_السفر_والتدريب[[#Headers],[يوليو]],التدريب_والسفر_الفعليين[#Headers],0))</f>
        <v>2000</v>
      </c>
      <c r="J32" s="127">
        <f>INDEX(خطة_السفر_والتدريب[],MATCH(INDEX(فروق_السفر_والتدريب[],ROW()-ROW(فروق_السفر_والتدريب[[#Headers],[أغسطس]]),1),INDEX(خطة_السفر_والتدريب[],,1),0),MATCH(فروق_السفر_والتدريب[[#Headers],[أغسطس]],خطة_السفر_والتدريب[#Headers],0))-INDEX(التدريب_والسفر_الفعليين[],MATCH(INDEX(فروق_السفر_والتدريب[],ROW()-ROW(فروق_السفر_والتدريب[[#Headers],[أغسطس]]),1),INDEX(خطة_السفر_والتدريب[],,1),0),MATCH(فروق_السفر_والتدريب[[#Headers],[أغسطس]],التدريب_والسفر_الفعليين[#Headers],0))</f>
        <v>2000</v>
      </c>
      <c r="K32" s="127">
        <f>INDEX(خطة_السفر_والتدريب[],MATCH(INDEX(فروق_السفر_والتدريب[],ROW()-ROW(فروق_السفر_والتدريب[[#Headers],[سبتمبر]]),1),INDEX(خطة_السفر_والتدريب[],,1),0),MATCH(فروق_السفر_والتدريب[[#Headers],[سبتمبر]],خطة_السفر_والتدريب[#Headers],0))-INDEX(التدريب_والسفر_الفعليين[],MATCH(INDEX(فروق_السفر_والتدريب[],ROW()-ROW(فروق_السفر_والتدريب[[#Headers],[سبتمبر]]),1),INDEX(خطة_السفر_والتدريب[],,1),0),MATCH(فروق_السفر_والتدريب[[#Headers],[سبتمبر]],التدريب_والسفر_الفعليين[#Headers],0))</f>
        <v>2000</v>
      </c>
      <c r="L32" s="127">
        <f>INDEX(خطة_السفر_والتدريب[],MATCH(INDEX(فروق_السفر_والتدريب[],ROW()-ROW(فروق_السفر_والتدريب[[#Headers],[أكتوبر]]),1),INDEX(خطة_السفر_والتدريب[],,1),0),MATCH(فروق_السفر_والتدريب[[#Headers],[أكتوبر]],خطة_السفر_والتدريب[#Headers],0))-INDEX(التدريب_والسفر_الفعليين[],MATCH(INDEX(فروق_السفر_والتدريب[],ROW()-ROW(فروق_السفر_والتدريب[[#Headers],[أكتوبر]]),1),INDEX(خطة_السفر_والتدريب[],,1),0),MATCH(فروق_السفر_والتدريب[[#Headers],[أكتوبر]],التدريب_والسفر_الفعليين[#Headers],0))</f>
        <v>2000</v>
      </c>
      <c r="M32" s="127">
        <f>INDEX(خطة_السفر_والتدريب[],MATCH(INDEX(فروق_السفر_والتدريب[],ROW()-ROW(فروق_السفر_والتدريب[[#Headers],[نوفمبر]]),1),INDEX(خطة_السفر_والتدريب[],,1),0),MATCH(فروق_السفر_والتدريب[[#Headers],[نوفمبر]],خطة_السفر_والتدريب[#Headers],0))-INDEX(التدريب_والسفر_الفعليين[],MATCH(INDEX(فروق_السفر_والتدريب[],ROW()-ROW(فروق_السفر_والتدريب[[#Headers],[نوفمبر]]),1),INDEX(خطة_السفر_والتدريب[],,1),0),MATCH(فروق_السفر_والتدريب[[#Headers],[نوفمبر]],التدريب_والسفر_الفعليين[#Headers],0))</f>
        <v>2000</v>
      </c>
      <c r="N32" s="127">
        <f>INDEX(خطة_السفر_والتدريب[],MATCH(INDEX(فروق_السفر_والتدريب[],ROW()-ROW(فروق_السفر_والتدريب[[#Headers],[ديسمبر]]),1),INDEX(خطة_السفر_والتدريب[],,1),0),MATCH(فروق_السفر_والتدريب[[#Headers],[ديسمبر]],خطة_السفر_والتدريب[#Headers],0))-INDEX(التدريب_والسفر_الفعليين[],MATCH(INDEX(فروق_السفر_والتدريب[],ROW()-ROW(فروق_السفر_والتدريب[[#Headers],[ديسمبر]]),1),INDEX(خطة_السفر_والتدريب[],,1),0),MATCH(فروق_السفر_والتدريب[[#Headers],[ديسمبر]],التدريب_والسفر_الفعليين[#Headers],0))</f>
        <v>2000</v>
      </c>
      <c r="O32" s="128">
        <f>SUM(فروق_السفر_والتدريب[[#This Row],[يناير]:[ديسمبر]])</f>
        <v>13700</v>
      </c>
      <c r="P32" s="20"/>
    </row>
    <row r="33" spans="1:16" ht="24.9" customHeight="1" x14ac:dyDescent="0.3">
      <c r="A33" s="15"/>
      <c r="B33" s="51" t="s">
        <v>13</v>
      </c>
      <c r="C33" s="129">
        <f>SUBTOTAL(109,فروق_السفر_والتدريب[يناير])</f>
        <v>1200</v>
      </c>
      <c r="D33" s="129">
        <f>SUBTOTAL(109,فروق_السفر_والتدريب[فبراير])</f>
        <v>-600</v>
      </c>
      <c r="E33" s="129">
        <f>SUBTOTAL(109,فروق_السفر_والتدريب[مارس])</f>
        <v>1200</v>
      </c>
      <c r="F33" s="129">
        <f>SUBTOTAL(109,فروق_السفر_والتدريب[أبريل])</f>
        <v>1200</v>
      </c>
      <c r="G33" s="129">
        <f>SUBTOTAL(109,فروق_السفر_والتدريب[مايو])</f>
        <v>2000</v>
      </c>
      <c r="H33" s="129">
        <f>SUBTOTAL(109,فروق_السفر_والتدريب[يونيو])</f>
        <v>-2300</v>
      </c>
      <c r="I33" s="129">
        <f>SUBTOTAL(109,فروق_السفر_والتدريب[يوليو])</f>
        <v>4000</v>
      </c>
      <c r="J33" s="129">
        <f>SUBTOTAL(109,فروق_السفر_والتدريب[أغسطس])</f>
        <v>4000</v>
      </c>
      <c r="K33" s="129">
        <f>SUBTOTAL(109,فروق_السفر_والتدريب[سبتمبر])</f>
        <v>4000</v>
      </c>
      <c r="L33" s="129">
        <f>SUBTOTAL(109,فروق_السفر_والتدريب[أكتوبر])</f>
        <v>4000</v>
      </c>
      <c r="M33" s="129">
        <f>SUBTOTAL(109,فروق_السفر_والتدريب[نوفمبر])</f>
        <v>4000</v>
      </c>
      <c r="N33" s="129">
        <f>SUBTOTAL(109,فروق_السفر_والتدريب[ديسمبر])</f>
        <v>4000</v>
      </c>
      <c r="O33" s="130">
        <f>SUBTOTAL(109,فروق_السفر_والتدريب[السنة])</f>
        <v>26700</v>
      </c>
      <c r="P33" s="20"/>
    </row>
    <row r="34" spans="1:16" ht="21" customHeight="1" x14ac:dyDescent="0.3">
      <c r="A34" s="15"/>
      <c r="B34" s="23"/>
      <c r="C34" s="71"/>
      <c r="D34" s="73"/>
      <c r="E34" s="73"/>
      <c r="F34" s="73"/>
      <c r="G34" s="73"/>
      <c r="H34" s="73"/>
      <c r="I34" s="73"/>
      <c r="J34" s="73"/>
      <c r="K34" s="73"/>
      <c r="L34" s="73"/>
      <c r="M34" s="73"/>
      <c r="N34" s="73"/>
      <c r="O34" s="73"/>
      <c r="P34" s="20"/>
    </row>
    <row r="35" spans="1:16" ht="24.9" customHeight="1" thickBot="1" x14ac:dyDescent="0.35">
      <c r="A35" s="52"/>
      <c r="B35" s="53" t="s">
        <v>33</v>
      </c>
      <c r="C35" s="42" t="s">
        <v>36</v>
      </c>
      <c r="D35" s="42" t="s">
        <v>37</v>
      </c>
      <c r="E35" s="42" t="s">
        <v>38</v>
      </c>
      <c r="F35" s="42" t="s">
        <v>39</v>
      </c>
      <c r="G35" s="42" t="s">
        <v>40</v>
      </c>
      <c r="H35" s="42" t="s">
        <v>41</v>
      </c>
      <c r="I35" s="42" t="s">
        <v>42</v>
      </c>
      <c r="J35" s="42" t="s">
        <v>43</v>
      </c>
      <c r="K35" s="42" t="s">
        <v>46</v>
      </c>
      <c r="L35" s="42" t="s">
        <v>47</v>
      </c>
      <c r="M35" s="42" t="s">
        <v>48</v>
      </c>
      <c r="N35" s="42" t="s">
        <v>49</v>
      </c>
      <c r="O35" s="42" t="s">
        <v>50</v>
      </c>
      <c r="P35" s="20"/>
    </row>
    <row r="36" spans="1:16" ht="24.9" customHeight="1" thickBot="1" x14ac:dyDescent="0.35">
      <c r="A36" s="15"/>
      <c r="B36" s="54" t="s">
        <v>53</v>
      </c>
      <c r="C36" s="78">
        <f>فروق_السفر_والتدريب[[#Totals],[يناير]]+فروق_التسويق[[#Totals],[يناير]]+فروق_المكتب[[#Totals],[يناير]]+فروق_المصروفات[[#Totals],[يناير]]</f>
        <v>1738</v>
      </c>
      <c r="D36" s="78">
        <f>فروق_السفر_والتدريب[[#Totals],[فبراير]]+فروق_التسويق[[#Totals],[فبراير]]+فروق_المكتب[[#Totals],[فبراير]]+فروق_المصروفات[[#Totals],[فبراير]]</f>
        <v>-984</v>
      </c>
      <c r="E36" s="78">
        <f>فروق_السفر_والتدريب[[#Totals],[مارس]]+فروق_التسويق[[#Totals],[مارس]]+فروق_المكتب[[#Totals],[مارس]]+فروق_المصروفات[[#Totals],[مارس]]</f>
        <v>1255</v>
      </c>
      <c r="F36" s="78">
        <f>فروق_السفر_والتدريب[[#Totals],[أبريل]]+فروق_التسويق[[#Totals],[أبريل]]+فروق_المكتب[[#Totals],[أبريل]]+فروق_المصروفات[[#Totals],[أبريل]]</f>
        <v>301</v>
      </c>
      <c r="G36" s="78">
        <f>فروق_السفر_والتدريب[[#Totals],[مايو]]+فروق_التسويق[[#Totals],[مايو]]+فروق_المكتب[[#Totals],[مايو]]+فروق_المصروفات[[#Totals],[مايو]]</f>
        <v>1440</v>
      </c>
      <c r="H36" s="78">
        <f>فروق_السفر_والتدريب[[#Totals],[يونيو]]+فروق_التسويق[[#Totals],[يونيو]]+فروق_المكتب[[#Totals],[يونيو]]+فروق_المصروفات[[#Totals],[يونيو]]</f>
        <v>-3744</v>
      </c>
      <c r="I36" s="78">
        <f>فروق_السفر_والتدريب[[#Totals],[يوليو]]+فروق_التسويق[[#Totals],[يوليو]]+فروق_المكتب[[#Totals],[يوليو]]+فروق_المصروفات[[#Totals],[يوليو]]</f>
        <v>134695</v>
      </c>
      <c r="J36" s="78">
        <f>فروق_السفر_والتدريب[[#Totals],[أغسطس]]+فروق_التسويق[[#Totals],[أغسطس]]+فروق_المكتب[[#Totals],[أغسطس]]+فروق_المصروفات[[#Totals],[أغسطس]]</f>
        <v>138918</v>
      </c>
      <c r="K36" s="78">
        <f>فروق_السفر_والتدريب[[#Totals],[سبتمبر]]+فروق_التسويق[[#Totals],[سبتمبر]]+فروق_المكتب[[#Totals],[سبتمبر]]+فروق_المصروفات[[#Totals],[سبتمبر]]</f>
        <v>135918</v>
      </c>
      <c r="L36" s="78">
        <f>فروق_السفر_والتدريب[[#Totals],[أكتوبر]]+فروق_التسويق[[#Totals],[أكتوبر]]+فروق_المكتب[[#Totals],[أكتوبر]]+فروق_المصروفات[[#Totals],[أكتوبر]]</f>
        <v>140918</v>
      </c>
      <c r="M36" s="78">
        <f>فروق_السفر_والتدريب[[#Totals],[نوفمبر]]+فروق_التسويق[[#Totals],[نوفمبر]]+فروق_المكتب[[#Totals],[نوفمبر]]+فروق_المصروفات[[#Totals],[نوفمبر]]</f>
        <v>136218</v>
      </c>
      <c r="N36" s="78">
        <f>فروق_السفر_والتدريب[[#Totals],[ديسمبر]]+فروق_التسويق[[#Totals],[ديسمبر]]+فروق_المكتب[[#Totals],[ديسمبر]]+فروق_المصروفات[[#Totals],[ديسمبر]]</f>
        <v>140018</v>
      </c>
      <c r="O36" s="78">
        <f>فروق_السفر_والتدريب[[#Totals],[السنة]]+فروق_التسويق[[#Totals],[السنة]]+فروق_المكتب[[#Totals],[السنة]]+فروق_المصروفات[[#Totals],[السنة]]</f>
        <v>826691</v>
      </c>
      <c r="P36" s="20"/>
    </row>
    <row r="37" spans="1:16" ht="24.9" customHeight="1" thickBot="1" x14ac:dyDescent="0.35">
      <c r="A37" s="15"/>
      <c r="B37" s="54" t="s">
        <v>54</v>
      </c>
      <c r="C37" s="79">
        <f>SUM($C$36:C36)</f>
        <v>1738</v>
      </c>
      <c r="D37" s="79">
        <f>SUM($C$36:D36)</f>
        <v>754</v>
      </c>
      <c r="E37" s="79">
        <f>SUM($C$36:E36)</f>
        <v>2009</v>
      </c>
      <c r="F37" s="79">
        <f>SUM($C$36:F36)</f>
        <v>2310</v>
      </c>
      <c r="G37" s="79">
        <f>SUM($C$36:G36)</f>
        <v>3750</v>
      </c>
      <c r="H37" s="79">
        <f>SUM($C$36:H36)</f>
        <v>6</v>
      </c>
      <c r="I37" s="79">
        <f>SUM($C$36:I36)</f>
        <v>134701</v>
      </c>
      <c r="J37" s="79">
        <f>SUM($C$36:J36)</f>
        <v>273619</v>
      </c>
      <c r="K37" s="79">
        <f>SUM($C$36:K36)</f>
        <v>409537</v>
      </c>
      <c r="L37" s="79">
        <f>SUM($C$36:L36)</f>
        <v>550455</v>
      </c>
      <c r="M37" s="79">
        <f>SUM($C$36:M36)</f>
        <v>686673</v>
      </c>
      <c r="N37" s="79">
        <f>SUM($C$36:N36)</f>
        <v>826691</v>
      </c>
      <c r="O37" s="79"/>
      <c r="P37" s="20"/>
    </row>
    <row r="38" spans="1:16" ht="21" customHeight="1" x14ac:dyDescent="0.3">
      <c r="A38" s="34"/>
      <c r="B38" s="45"/>
      <c r="C38" s="45"/>
      <c r="D38" s="46"/>
      <c r="E38" s="45"/>
      <c r="F38" s="45"/>
      <c r="G38" s="45"/>
      <c r="H38" s="45"/>
      <c r="I38" s="45"/>
      <c r="J38" s="45"/>
      <c r="K38" s="45"/>
      <c r="L38" s="45"/>
      <c r="M38" s="45"/>
      <c r="N38" s="45"/>
      <c r="O38" s="45"/>
      <c r="P38" s="9"/>
    </row>
  </sheetData>
  <mergeCells count="2">
    <mergeCell ref="K2:M2"/>
    <mergeCell ref="K3:M3"/>
  </mergeCells>
  <conditionalFormatting sqref="C6:O8">
    <cfRule type="cellIs" dxfId="4" priority="5" operator="lessThan">
      <formula>0</formula>
    </cfRule>
  </conditionalFormatting>
  <conditionalFormatting sqref="C11:O19">
    <cfRule type="cellIs" dxfId="3" priority="4" operator="lessThan">
      <formula>0</formula>
    </cfRule>
  </conditionalFormatting>
  <conditionalFormatting sqref="C22:O28">
    <cfRule type="cellIs" dxfId="2" priority="3" operator="lessThan">
      <formula>0</formula>
    </cfRule>
  </conditionalFormatting>
  <conditionalFormatting sqref="C31:O33">
    <cfRule type="cellIs" dxfId="1" priority="2" operator="lessThan">
      <formula>0</formula>
    </cfRule>
  </conditionalFormatting>
  <conditionalFormatting sqref="C36:O37">
    <cfRule type="cellIs" dxfId="0" priority="1" operator="lessThan">
      <formula>0</formula>
    </cfRule>
  </conditionalFormatting>
  <dataValidations count="10">
    <dataValidation allowBlank="1" showInputMessage="1" showErrorMessage="1" prompt="يوجد العنصر النائب للشعار في هذه الخلية." sqref="N2" xr:uid="{37781601-5DCB-461E-AE37-039617AC3765}"/>
    <dataValidation allowBlank="1" showInputMessage="1" showErrorMessage="1" prompt="توجد التسمية &quot;فروق المصروفات&quot; في الخلية الموجودة على اليسار، وتوجد الأشهر في الخلايا من C4 إلى N4، والتسمية &quot;السنة&quot; في O4." sqref="A4" xr:uid="{30EF6476-989C-4E19-8BDE-66AFC1B5F398}"/>
    <dataValidation allowBlank="1" showInputMessage="1" showErrorMessage="1" prompt="يتم حساب الفرق في &quot;تكاليف الموظفين&quot; تلقائياً في الجدول &quot;فروق الموظفين&quot; بدءاً من الخلية الموجودة على اليسار. التعليمات التالية موجودة في الخلية A10." sqref="A5" xr:uid="{839F8F2D-41ED-4FCE-836B-A98A823A57CC}"/>
    <dataValidation allowBlank="1" showInputMessage="1" showErrorMessage="1" prompt="يتم حساب الفرق في &quot;تكاليف المكتب&quot; تلقائياً في الجدول &quot;فروق المكتب&quot; بدءاً من الخلية الموجودة على اليسار. التعليمات التالية موجودة في الخلية A21." sqref="A10" xr:uid="{27073073-4E55-44AA-82CF-0E84E7DE56D1}"/>
    <dataValidation allowBlank="1" showInputMessage="1" showErrorMessage="1" prompt="يتم حساب الفرق في &quot;تكاليف التسويق&quot; تلقائياً في الجدول &quot;فروق التسويق&quot; بدءاً من الخلية الموجودة على اليسار. التعليمات التالية موجودة في الخلية A30." sqref="A21" xr:uid="{DE322E29-78F0-4CAC-A794-538FBE82A952}"/>
    <dataValidation allowBlank="1" showInputMessage="1" showErrorMessage="1" prompt="يتم حساب الفرق في &quot;تكاليف التدريب أو السفر&quot; تلقائياً في الجدول &quot;فروق التدريب والسفر&quot; بدءاً من الخلية الموجودة على اليسار. التعليمات التالية موجودة في الخلية A35." sqref="A30" xr:uid="{E7DC2698-49F1-46FA-BC02-81CE67BF794B}"/>
    <dataValidation allowBlank="1" showInputMessage="1" showErrorMessage="1" prompt="يتم حساب &quot;فروق المصروفات&quot; تلقائياً في الجدول &quot;إجمالي الفرق&quot; بدءاً من الخلية الموجودة على اليسار." sqref="A35" xr:uid="{96167FAC-0878-4372-B9C2-FE529C7ABF6D}"/>
    <dataValidation allowBlank="1" showInputMessage="1" showErrorMessage="1" prompt="أدخل تكاليف الموظف المخططة، وتكاليف المكتب، وتكاليف التسويق، والتدريب أو تكلفة السفر في الجداول المعنية في ورقة العمل هذه. المجاميع يتم حسابها تلقائياً. توجد إرشادات حول كيفية استخدام ورقة العمل هذه في الخلايا الموجودة في هذا العمود. سهم لأسفل لتبدأ." sqref="A1" xr:uid="{C935014E-97FD-4DC5-8990-FFCC7A693081}"/>
    <dataValidation allowBlank="1" showInputMessage="1" showErrorMessage="1" prompt="يتم تحديث اسم الشركة تلقائياً في الخلية على اليمين. عنوان ورقة العمل هذه موجود في الخلية K2. أدخل الشعار في الخلية N2." sqref="A2" xr:uid="{ACC2090E-7A1F-4581-8E9B-5F88818E0C50}"/>
    <dataValidation allowBlank="1" showInputMessage="1" showErrorMessage="1" prompt="يوجد تلميح في الخلية K3." sqref="A3" xr:uid="{6033F748-E9D5-4DE6-B824-555D5C6CA4CF}"/>
  </dataValidations>
  <pageMargins left="0.7" right="0.7" top="0.75" bottom="0.75" header="0.3" footer="0.3"/>
  <pageSetup paperSize="9" fitToHeight="0" orientation="portrait" r:id="rId1"/>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sheetPr>
  <dimension ref="A1:P39"/>
  <sheetViews>
    <sheetView showGridLines="0" rightToLeft="1" zoomScaleNormal="100" workbookViewId="0"/>
  </sheetViews>
  <sheetFormatPr defaultColWidth="9.125" defaultRowHeight="17.399999999999999" x14ac:dyDescent="0.3"/>
  <cols>
    <col min="1" max="1" width="4.75" style="124" customWidth="1"/>
    <col min="2" max="2" width="26.25" style="112" customWidth="1"/>
    <col min="3" max="6" width="28.75" style="112" customWidth="1"/>
    <col min="7" max="7" width="4.75" style="106" customWidth="1"/>
    <col min="8" max="8" width="9" style="67" customWidth="1"/>
    <col min="9" max="16384" width="9.125" style="112"/>
  </cols>
  <sheetData>
    <row r="1" spans="1:16" s="106" customFormat="1" ht="24" customHeight="1" x14ac:dyDescent="0.3">
      <c r="A1" s="55"/>
      <c r="B1" s="6"/>
      <c r="C1" s="6"/>
      <c r="D1" s="6"/>
      <c r="E1" s="7"/>
      <c r="F1" s="7"/>
      <c r="G1" s="8" t="s">
        <v>51</v>
      </c>
      <c r="H1" s="20"/>
      <c r="I1" s="66"/>
      <c r="J1" s="66"/>
      <c r="K1" s="66"/>
      <c r="L1" s="66"/>
      <c r="M1" s="66"/>
      <c r="N1" s="66"/>
      <c r="O1" s="66"/>
      <c r="P1" s="66" t="s">
        <v>51</v>
      </c>
    </row>
    <row r="2" spans="1:16" s="106" customFormat="1" ht="45" customHeight="1" x14ac:dyDescent="0.35">
      <c r="A2" s="55"/>
      <c r="B2" s="11" t="str">
        <f>'المصروفات المخططة'!B2:D3</f>
        <v>اسم الشركة</v>
      </c>
      <c r="C2" s="11"/>
      <c r="D2" s="11"/>
      <c r="E2" s="107"/>
      <c r="F2" s="56"/>
      <c r="G2" s="56"/>
      <c r="H2" s="20"/>
      <c r="I2" s="66"/>
      <c r="J2" s="66"/>
      <c r="K2" s="66"/>
      <c r="L2" s="66"/>
      <c r="M2" s="66"/>
      <c r="N2" s="66"/>
      <c r="O2" s="66"/>
      <c r="P2" s="66"/>
    </row>
    <row r="3" spans="1:16" s="106" customFormat="1" ht="30" customHeight="1" x14ac:dyDescent="0.3">
      <c r="A3" s="55"/>
      <c r="B3" s="11"/>
      <c r="C3" s="11"/>
      <c r="D3" s="11"/>
      <c r="E3" s="135" t="str">
        <f>عنوان_ورقة_العمل</f>
        <v>تقديرات المصروفات التفصيلية</v>
      </c>
      <c r="F3" s="135"/>
      <c r="G3" s="135"/>
      <c r="H3" s="20"/>
      <c r="I3" s="66"/>
      <c r="J3" s="66"/>
      <c r="K3" s="66"/>
      <c r="L3" s="66"/>
      <c r="M3" s="66"/>
      <c r="N3" s="66"/>
      <c r="O3" s="66"/>
      <c r="P3" s="66"/>
    </row>
    <row r="4" spans="1:16" s="67" customFormat="1" ht="18.75" customHeight="1" x14ac:dyDescent="0.2">
      <c r="A4" s="57"/>
      <c r="B4" s="66"/>
      <c r="C4" s="66"/>
      <c r="D4" s="66"/>
      <c r="E4" s="66"/>
      <c r="F4" s="66"/>
      <c r="G4" s="66"/>
      <c r="H4" s="66"/>
      <c r="I4" s="66"/>
      <c r="J4" s="66"/>
      <c r="K4" s="66"/>
      <c r="L4" s="66"/>
      <c r="M4" s="66"/>
      <c r="N4" s="66"/>
      <c r="O4" s="66"/>
      <c r="P4" s="66"/>
    </row>
    <row r="5" spans="1:16" ht="24.9" customHeight="1" thickBot="1" x14ac:dyDescent="0.35">
      <c r="A5" s="58"/>
      <c r="B5" s="108" t="s">
        <v>56</v>
      </c>
      <c r="C5" s="109" t="s">
        <v>9</v>
      </c>
      <c r="D5" s="110" t="s">
        <v>57</v>
      </c>
      <c r="E5" s="108" t="s">
        <v>58</v>
      </c>
      <c r="F5" s="111" t="s">
        <v>59</v>
      </c>
      <c r="G5" s="17"/>
      <c r="H5" s="66"/>
      <c r="I5" s="66"/>
      <c r="J5" s="66"/>
      <c r="K5" s="66"/>
      <c r="L5" s="66"/>
      <c r="M5" s="66"/>
      <c r="N5" s="66"/>
      <c r="O5" s="66"/>
      <c r="P5" s="66"/>
    </row>
    <row r="6" spans="1:16" ht="24.9" customHeight="1" thickBot="1" x14ac:dyDescent="0.35">
      <c r="A6" s="59"/>
      <c r="B6" s="113" t="s">
        <v>10</v>
      </c>
      <c r="C6" s="114">
        <f>خطة_الموظفين[[#Totals],[السنة]]</f>
        <v>1355090</v>
      </c>
      <c r="D6" s="114">
        <f>تكاليف_الموظفين_الفعلية[[#Totals],[السنة]]</f>
        <v>659130</v>
      </c>
      <c r="E6" s="114">
        <f>C6-D6</f>
        <v>695960</v>
      </c>
      <c r="F6" s="115">
        <f>E6/C6</f>
        <v>0.5135895032802249</v>
      </c>
      <c r="G6" s="20"/>
      <c r="H6" s="66"/>
      <c r="I6" s="60"/>
      <c r="J6" s="60"/>
      <c r="K6" s="60"/>
      <c r="L6" s="60"/>
      <c r="M6" s="60"/>
      <c r="N6" s="60"/>
      <c r="O6" s="60"/>
      <c r="P6" s="60"/>
    </row>
    <row r="7" spans="1:16" ht="24.9" customHeight="1" thickBot="1" x14ac:dyDescent="0.35">
      <c r="A7" s="58"/>
      <c r="B7" s="113" t="str">
        <f>'المصروفات المخططة'!B10</f>
        <v>تكاليف المكتب</v>
      </c>
      <c r="C7" s="114">
        <f>خطة_المكتب[[#Totals],[السنة]]</f>
        <v>138740</v>
      </c>
      <c r="D7" s="114">
        <f>المكتب_الفعلي[[#Totals],[السنة]]</f>
        <v>69350</v>
      </c>
      <c r="E7" s="114">
        <f>C7-D7</f>
        <v>69390</v>
      </c>
      <c r="F7" s="115">
        <f>E7/C7</f>
        <v>0.50014415453366012</v>
      </c>
      <c r="G7" s="20"/>
      <c r="H7" s="66"/>
      <c r="I7" s="60"/>
      <c r="J7" s="60"/>
      <c r="K7" s="60"/>
      <c r="L7" s="60"/>
      <c r="M7" s="60"/>
      <c r="N7" s="60"/>
      <c r="O7" s="60"/>
      <c r="P7" s="60"/>
    </row>
    <row r="8" spans="1:16" ht="24.9" customHeight="1" thickBot="1" x14ac:dyDescent="0.35">
      <c r="A8" s="58"/>
      <c r="B8" s="116" t="str">
        <f>'المصروفات المخططة'!B21</f>
        <v>تكاليف التسويق</v>
      </c>
      <c r="C8" s="114">
        <f>خطة_التسويق[[#Totals],[السنة]]</f>
        <v>67800</v>
      </c>
      <c r="D8" s="114">
        <f>التسويق_الفعلي[[#Totals],[السنة]]</f>
        <v>33159</v>
      </c>
      <c r="E8" s="114">
        <f>C8-D8</f>
        <v>34641</v>
      </c>
      <c r="F8" s="115">
        <f>E8/C8</f>
        <v>0.51092920353982296</v>
      </c>
      <c r="G8" s="20"/>
      <c r="H8" s="66"/>
      <c r="I8" s="60"/>
      <c r="J8" s="60"/>
      <c r="K8" s="60"/>
      <c r="L8" s="60"/>
      <c r="M8" s="60"/>
      <c r="N8" s="60"/>
      <c r="O8" s="60"/>
      <c r="P8" s="60"/>
    </row>
    <row r="9" spans="1:16" ht="24.9" customHeight="1" thickBot="1" x14ac:dyDescent="0.35">
      <c r="A9" s="58"/>
      <c r="B9" s="116" t="str">
        <f>'المصروفات المخططة'!B30</f>
        <v>التدريب/السفر</v>
      </c>
      <c r="C9" s="114">
        <f>خطة_السفر_والتدريب[[#Totals],[السنة]]</f>
        <v>48000</v>
      </c>
      <c r="D9" s="114">
        <f>التدريب_والسفر_الفعليين[[#Totals],[السنة]]</f>
        <v>21300</v>
      </c>
      <c r="E9" s="114">
        <f>C9-D9</f>
        <v>26700</v>
      </c>
      <c r="F9" s="115">
        <f>E9/C9</f>
        <v>0.55625000000000002</v>
      </c>
      <c r="G9" s="20"/>
      <c r="H9" s="66"/>
      <c r="I9" s="60"/>
      <c r="J9" s="60"/>
      <c r="K9" s="60"/>
      <c r="L9" s="60"/>
      <c r="M9" s="60"/>
      <c r="N9" s="60"/>
      <c r="O9" s="60"/>
      <c r="P9" s="60"/>
    </row>
    <row r="10" spans="1:16" ht="24.9" customHeight="1" x14ac:dyDescent="0.3">
      <c r="A10" s="58"/>
      <c r="B10" s="117" t="str">
        <f>'المصروفات المخططة'!B35</f>
        <v>الإجماليات</v>
      </c>
      <c r="C10" s="118">
        <f>'المصروفات المخططة'!O36</f>
        <v>1609630</v>
      </c>
      <c r="D10" s="118">
        <f>'المصروفات الفعلية'!O36</f>
        <v>782939</v>
      </c>
      <c r="E10" s="118">
        <f>C10-D10</f>
        <v>826691</v>
      </c>
      <c r="F10" s="119">
        <f>E10/C10</f>
        <v>0.51359070096854553</v>
      </c>
      <c r="G10" s="20"/>
      <c r="H10" s="66"/>
      <c r="I10" s="60"/>
      <c r="J10" s="60"/>
      <c r="K10" s="60"/>
      <c r="L10" s="60"/>
      <c r="M10" s="60"/>
      <c r="N10" s="60"/>
      <c r="O10" s="60"/>
      <c r="P10" s="60"/>
    </row>
    <row r="11" spans="1:16" x14ac:dyDescent="0.3">
      <c r="A11" s="61"/>
      <c r="B11" s="121"/>
      <c r="C11" s="122"/>
      <c r="D11" s="122"/>
      <c r="E11" s="122"/>
      <c r="F11" s="123"/>
      <c r="G11" s="9"/>
      <c r="H11" s="120"/>
      <c r="I11" s="45"/>
      <c r="J11" s="45"/>
      <c r="K11" s="45"/>
      <c r="L11" s="45"/>
      <c r="M11" s="45"/>
      <c r="N11" s="45"/>
      <c r="O11" s="45"/>
      <c r="P11" s="45"/>
    </row>
    <row r="12" spans="1:16" ht="300" customHeight="1" x14ac:dyDescent="0.3">
      <c r="A12" s="61"/>
      <c r="B12" s="136"/>
      <c r="C12" s="136"/>
      <c r="D12" s="136"/>
      <c r="E12" s="136"/>
      <c r="F12" s="136"/>
      <c r="G12" s="120"/>
      <c r="H12" s="120"/>
      <c r="I12" s="45"/>
      <c r="J12" s="45"/>
      <c r="K12" s="45"/>
      <c r="L12" s="45"/>
      <c r="M12" s="45"/>
      <c r="N12" s="45"/>
      <c r="O12" s="45"/>
      <c r="P12" s="45"/>
    </row>
    <row r="13" spans="1:16" ht="18.75" customHeight="1" x14ac:dyDescent="0.3">
      <c r="A13" s="61"/>
      <c r="B13" s="62"/>
      <c r="C13" s="45"/>
      <c r="D13" s="45"/>
      <c r="E13" s="45"/>
      <c r="F13" s="45"/>
      <c r="G13" s="9"/>
      <c r="H13" s="120"/>
      <c r="I13" s="45"/>
      <c r="J13" s="45"/>
      <c r="K13" s="45"/>
      <c r="L13" s="45"/>
      <c r="M13" s="45"/>
      <c r="N13" s="45"/>
      <c r="O13" s="45"/>
      <c r="P13" s="45"/>
    </row>
    <row r="14" spans="1:16" x14ac:dyDescent="0.3">
      <c r="A14" s="61"/>
      <c r="B14" s="62"/>
      <c r="C14" s="27"/>
      <c r="D14" s="27"/>
      <c r="E14" s="27"/>
      <c r="F14" s="27"/>
      <c r="G14" s="9"/>
      <c r="H14" s="120"/>
      <c r="I14" s="45"/>
      <c r="J14" s="45"/>
      <c r="K14" s="45"/>
      <c r="L14" s="45"/>
      <c r="M14" s="45"/>
      <c r="N14" s="45"/>
      <c r="O14" s="45"/>
      <c r="P14" s="45"/>
    </row>
    <row r="15" spans="1:16" x14ac:dyDescent="0.3">
      <c r="A15" s="61"/>
      <c r="B15" s="62"/>
      <c r="C15" s="27"/>
      <c r="D15" s="27"/>
      <c r="E15" s="27"/>
      <c r="F15" s="27"/>
      <c r="G15" s="9"/>
      <c r="H15" s="120"/>
      <c r="I15" s="45"/>
      <c r="J15" s="45"/>
      <c r="K15" s="45"/>
      <c r="L15" s="45"/>
      <c r="M15" s="45"/>
      <c r="N15" s="45"/>
      <c r="O15" s="45"/>
      <c r="P15" s="45"/>
    </row>
    <row r="16" spans="1:16" x14ac:dyDescent="0.3">
      <c r="A16" s="61"/>
      <c r="B16" s="62"/>
      <c r="C16" s="27"/>
      <c r="D16" s="27"/>
      <c r="E16" s="27"/>
      <c r="F16" s="27"/>
      <c r="G16" s="9"/>
      <c r="H16" s="120"/>
      <c r="I16" s="45"/>
      <c r="J16" s="45"/>
      <c r="K16" s="45"/>
      <c r="L16" s="45"/>
      <c r="M16" s="45"/>
      <c r="N16" s="45"/>
      <c r="O16" s="45"/>
      <c r="P16" s="45"/>
    </row>
    <row r="17" spans="1:16" x14ac:dyDescent="0.3">
      <c r="A17" s="61"/>
      <c r="B17" s="62"/>
      <c r="C17" s="27"/>
      <c r="D17" s="27"/>
      <c r="E17" s="27"/>
      <c r="F17" s="27"/>
      <c r="G17" s="9"/>
      <c r="H17" s="120"/>
      <c r="I17" s="45"/>
      <c r="J17" s="45"/>
      <c r="K17" s="45"/>
      <c r="L17" s="45"/>
      <c r="M17" s="45"/>
      <c r="N17" s="45"/>
      <c r="O17" s="45"/>
      <c r="P17" s="45"/>
    </row>
    <row r="18" spans="1:16" x14ac:dyDescent="0.3">
      <c r="A18" s="61"/>
      <c r="B18" s="62"/>
      <c r="C18" s="27"/>
      <c r="D18" s="27"/>
      <c r="E18" s="27"/>
      <c r="F18" s="27"/>
      <c r="G18" s="9"/>
      <c r="H18" s="120"/>
      <c r="I18" s="45"/>
      <c r="J18" s="45"/>
      <c r="K18" s="45"/>
      <c r="L18" s="45"/>
      <c r="M18" s="45"/>
      <c r="N18" s="45"/>
      <c r="O18" s="45"/>
      <c r="P18" s="45"/>
    </row>
    <row r="19" spans="1:16" x14ac:dyDescent="0.3">
      <c r="A19" s="61"/>
      <c r="B19" s="27"/>
      <c r="C19" s="27"/>
      <c r="D19" s="27"/>
      <c r="E19" s="27"/>
      <c r="F19" s="27"/>
      <c r="G19" s="9"/>
      <c r="H19" s="120"/>
      <c r="I19" s="45"/>
      <c r="J19" s="45"/>
      <c r="K19" s="45"/>
      <c r="L19" s="45"/>
      <c r="M19" s="45"/>
      <c r="N19" s="45"/>
      <c r="O19" s="45"/>
      <c r="P19" s="45"/>
    </row>
    <row r="20" spans="1:16" x14ac:dyDescent="0.3">
      <c r="A20" s="61"/>
      <c r="B20" s="27"/>
      <c r="C20" s="27"/>
      <c r="D20" s="27"/>
      <c r="E20" s="27"/>
      <c r="F20" s="27"/>
      <c r="G20" s="9"/>
      <c r="H20" s="120"/>
      <c r="I20" s="45"/>
      <c r="J20" s="45"/>
      <c r="K20" s="45"/>
      <c r="L20" s="45"/>
      <c r="M20" s="45"/>
      <c r="N20" s="45"/>
      <c r="O20" s="45"/>
      <c r="P20" s="45"/>
    </row>
    <row r="21" spans="1:16" x14ac:dyDescent="0.3">
      <c r="A21" s="61"/>
      <c r="B21" s="27"/>
      <c r="C21" s="27"/>
      <c r="D21" s="27"/>
      <c r="E21" s="27"/>
      <c r="F21" s="27"/>
      <c r="G21" s="9"/>
      <c r="H21" s="120"/>
      <c r="I21" s="45"/>
      <c r="J21" s="45"/>
      <c r="K21" s="45"/>
      <c r="L21" s="45"/>
      <c r="M21" s="45"/>
      <c r="N21" s="45"/>
      <c r="O21" s="45"/>
      <c r="P21" s="45"/>
    </row>
    <row r="22" spans="1:16" x14ac:dyDescent="0.3">
      <c r="A22" s="61"/>
      <c r="B22" s="62"/>
      <c r="C22" s="27"/>
      <c r="D22" s="27"/>
      <c r="E22" s="27"/>
      <c r="F22" s="27"/>
      <c r="G22" s="9"/>
      <c r="H22" s="120"/>
      <c r="I22" s="45"/>
      <c r="J22" s="45"/>
      <c r="K22" s="45"/>
      <c r="L22" s="45"/>
      <c r="M22" s="45"/>
      <c r="N22" s="45"/>
      <c r="O22" s="45"/>
      <c r="P22" s="45"/>
    </row>
    <row r="23" spans="1:16" x14ac:dyDescent="0.3">
      <c r="A23" s="61"/>
      <c r="B23" s="62"/>
      <c r="C23" s="27"/>
      <c r="D23" s="27"/>
      <c r="E23" s="27"/>
      <c r="F23" s="27"/>
      <c r="G23" s="9"/>
      <c r="H23" s="120"/>
      <c r="I23" s="45"/>
      <c r="J23" s="45"/>
      <c r="K23" s="45"/>
      <c r="L23" s="45"/>
      <c r="M23" s="45"/>
      <c r="N23" s="45"/>
      <c r="O23" s="45"/>
      <c r="P23" s="45"/>
    </row>
    <row r="24" spans="1:16" x14ac:dyDescent="0.3">
      <c r="A24" s="61"/>
      <c r="B24" s="62"/>
      <c r="C24" s="27"/>
      <c r="D24" s="27"/>
      <c r="E24" s="27"/>
      <c r="F24" s="27"/>
      <c r="G24" s="9"/>
      <c r="H24" s="120"/>
      <c r="I24" s="45"/>
      <c r="J24" s="45"/>
      <c r="K24" s="45"/>
      <c r="L24" s="45"/>
      <c r="M24" s="45"/>
      <c r="N24" s="45"/>
      <c r="O24" s="45"/>
      <c r="P24" s="45"/>
    </row>
    <row r="25" spans="1:16" x14ac:dyDescent="0.3">
      <c r="A25" s="61"/>
      <c r="B25" s="62"/>
      <c r="C25" s="27"/>
      <c r="D25" s="27"/>
      <c r="E25" s="27"/>
      <c r="F25" s="27"/>
      <c r="G25" s="9"/>
      <c r="H25" s="120"/>
      <c r="I25" s="45"/>
      <c r="J25" s="45"/>
      <c r="K25" s="45"/>
      <c r="L25" s="45"/>
      <c r="M25" s="45"/>
      <c r="N25" s="45"/>
      <c r="O25" s="45"/>
      <c r="P25" s="45"/>
    </row>
    <row r="26" spans="1:16" x14ac:dyDescent="0.3">
      <c r="A26" s="61"/>
      <c r="B26" s="62"/>
      <c r="C26" s="27"/>
      <c r="D26" s="27"/>
      <c r="E26" s="27"/>
      <c r="F26" s="27"/>
      <c r="G26" s="9"/>
      <c r="H26" s="120"/>
      <c r="I26" s="45"/>
      <c r="J26" s="45"/>
      <c r="K26" s="45"/>
      <c r="L26" s="45"/>
      <c r="M26" s="45"/>
      <c r="N26" s="45"/>
      <c r="O26" s="45"/>
      <c r="P26" s="45"/>
    </row>
    <row r="27" spans="1:16" x14ac:dyDescent="0.3">
      <c r="A27" s="61"/>
      <c r="B27" s="62"/>
      <c r="C27" s="27"/>
      <c r="D27" s="27"/>
      <c r="E27" s="27"/>
      <c r="F27" s="27"/>
      <c r="G27" s="9"/>
      <c r="H27" s="120"/>
      <c r="I27" s="45"/>
      <c r="J27" s="45"/>
      <c r="K27" s="45"/>
      <c r="L27" s="45"/>
      <c r="M27" s="45"/>
      <c r="N27" s="45"/>
      <c r="O27" s="45"/>
      <c r="P27" s="45"/>
    </row>
    <row r="28" spans="1:16" x14ac:dyDescent="0.3">
      <c r="A28" s="61"/>
      <c r="B28" s="27"/>
      <c r="C28" s="27"/>
      <c r="D28" s="27"/>
      <c r="E28" s="27"/>
      <c r="F28" s="27"/>
      <c r="G28" s="9"/>
      <c r="H28" s="120"/>
      <c r="I28" s="45"/>
      <c r="J28" s="45"/>
      <c r="K28" s="45"/>
      <c r="L28" s="45"/>
      <c r="M28" s="45"/>
      <c r="N28" s="45"/>
      <c r="O28" s="45"/>
      <c r="P28" s="45"/>
    </row>
    <row r="29" spans="1:16" x14ac:dyDescent="0.3">
      <c r="A29" s="61"/>
      <c r="B29" s="27"/>
      <c r="C29" s="27"/>
      <c r="D29" s="27"/>
      <c r="E29" s="27"/>
      <c r="F29" s="27"/>
      <c r="G29" s="9"/>
      <c r="H29" s="120"/>
      <c r="I29" s="45"/>
      <c r="J29" s="45"/>
      <c r="K29" s="45"/>
      <c r="L29" s="45"/>
      <c r="M29" s="45"/>
      <c r="N29" s="45"/>
      <c r="O29" s="45"/>
      <c r="P29" s="45"/>
    </row>
    <row r="30" spans="1:16" x14ac:dyDescent="0.3">
      <c r="A30" s="61"/>
      <c r="B30" s="27"/>
      <c r="C30" s="27"/>
      <c r="D30" s="27"/>
      <c r="E30" s="27"/>
      <c r="F30" s="27"/>
      <c r="G30" s="9"/>
      <c r="H30" s="120"/>
      <c r="I30" s="45"/>
      <c r="J30" s="45"/>
      <c r="K30" s="45"/>
      <c r="L30" s="45"/>
      <c r="M30" s="45"/>
      <c r="N30" s="45"/>
      <c r="O30" s="45"/>
      <c r="P30" s="45"/>
    </row>
    <row r="31" spans="1:16" x14ac:dyDescent="0.3">
      <c r="A31" s="61"/>
      <c r="B31" s="62"/>
      <c r="C31" s="27"/>
      <c r="D31" s="27"/>
      <c r="E31" s="27"/>
      <c r="F31" s="27"/>
      <c r="G31" s="9"/>
      <c r="H31" s="120"/>
      <c r="I31" s="45"/>
      <c r="J31" s="45"/>
      <c r="K31" s="45"/>
      <c r="L31" s="45"/>
      <c r="M31" s="45"/>
      <c r="N31" s="45"/>
      <c r="O31" s="45"/>
      <c r="P31" s="45"/>
    </row>
    <row r="32" spans="1:16" x14ac:dyDescent="0.3">
      <c r="A32" s="61"/>
      <c r="B32" s="62"/>
      <c r="C32" s="27"/>
      <c r="D32" s="27"/>
      <c r="E32" s="27"/>
      <c r="F32" s="27"/>
      <c r="G32" s="9"/>
      <c r="H32" s="120"/>
      <c r="I32" s="45"/>
      <c r="J32" s="45"/>
      <c r="K32" s="45"/>
      <c r="L32" s="45"/>
      <c r="M32" s="45"/>
      <c r="N32" s="45"/>
      <c r="O32" s="45"/>
      <c r="P32" s="45"/>
    </row>
    <row r="33" spans="1:16" x14ac:dyDescent="0.3">
      <c r="A33" s="61"/>
      <c r="B33" s="27"/>
      <c r="C33" s="27"/>
      <c r="D33" s="27"/>
      <c r="E33" s="27"/>
      <c r="F33" s="27"/>
      <c r="G33" s="9"/>
      <c r="H33" s="120"/>
      <c r="I33" s="45"/>
      <c r="J33" s="45"/>
      <c r="K33" s="45"/>
      <c r="L33" s="45"/>
      <c r="M33" s="45"/>
      <c r="N33" s="45"/>
      <c r="O33" s="45"/>
      <c r="P33" s="45"/>
    </row>
    <row r="34" spans="1:16" x14ac:dyDescent="0.3">
      <c r="A34" s="61"/>
      <c r="B34" s="27"/>
      <c r="C34" s="27"/>
      <c r="D34" s="27"/>
      <c r="E34" s="27"/>
      <c r="F34" s="27"/>
      <c r="G34" s="9"/>
      <c r="H34" s="120"/>
      <c r="I34" s="45"/>
      <c r="J34" s="45"/>
      <c r="K34" s="45"/>
      <c r="L34" s="45"/>
      <c r="M34" s="45"/>
      <c r="N34" s="45"/>
      <c r="O34" s="45"/>
      <c r="P34" s="45"/>
    </row>
    <row r="35" spans="1:16" x14ac:dyDescent="0.3">
      <c r="A35" s="61"/>
      <c r="B35" s="27"/>
      <c r="C35" s="27"/>
      <c r="D35" s="27"/>
      <c r="E35" s="27"/>
      <c r="F35" s="27"/>
      <c r="G35" s="9"/>
      <c r="H35" s="120"/>
      <c r="I35" s="45"/>
      <c r="J35" s="45"/>
      <c r="K35" s="45"/>
      <c r="L35" s="45"/>
      <c r="M35" s="45"/>
      <c r="N35" s="45"/>
      <c r="O35" s="45"/>
      <c r="P35" s="45"/>
    </row>
    <row r="36" spans="1:16" x14ac:dyDescent="0.3">
      <c r="A36" s="61"/>
      <c r="B36" s="63"/>
      <c r="C36" s="27"/>
      <c r="D36" s="27"/>
      <c r="E36" s="27"/>
      <c r="F36" s="27"/>
      <c r="G36" s="9"/>
      <c r="H36" s="120"/>
      <c r="I36" s="45"/>
      <c r="J36" s="45"/>
      <c r="K36" s="45"/>
      <c r="L36" s="45"/>
      <c r="M36" s="45"/>
      <c r="N36" s="45"/>
      <c r="O36" s="45"/>
      <c r="P36" s="45"/>
    </row>
    <row r="37" spans="1:16" x14ac:dyDescent="0.3">
      <c r="A37" s="61"/>
      <c r="B37" s="63"/>
      <c r="C37" s="27"/>
      <c r="D37" s="27"/>
      <c r="E37" s="27"/>
      <c r="F37" s="27"/>
      <c r="G37" s="9"/>
      <c r="H37" s="120"/>
      <c r="I37" s="45"/>
      <c r="J37" s="45"/>
      <c r="K37" s="45"/>
      <c r="L37" s="45"/>
      <c r="M37" s="45"/>
      <c r="N37" s="45"/>
      <c r="O37" s="45"/>
      <c r="P37" s="45"/>
    </row>
    <row r="38" spans="1:16" x14ac:dyDescent="0.3">
      <c r="A38" s="61"/>
      <c r="B38" s="45"/>
      <c r="C38" s="45"/>
      <c r="D38" s="45"/>
      <c r="E38" s="45"/>
      <c r="F38" s="45"/>
      <c r="G38" s="9"/>
      <c r="H38" s="120"/>
      <c r="I38" s="45"/>
      <c r="J38" s="45"/>
      <c r="K38" s="45"/>
      <c r="L38" s="45"/>
      <c r="M38" s="45"/>
      <c r="N38" s="45"/>
      <c r="O38" s="45"/>
      <c r="P38" s="45"/>
    </row>
    <row r="39" spans="1:16" x14ac:dyDescent="0.3">
      <c r="A39" s="61"/>
      <c r="B39" s="45"/>
      <c r="C39" s="45"/>
      <c r="D39" s="45"/>
      <c r="E39" s="45"/>
      <c r="F39" s="45"/>
      <c r="G39" s="9"/>
      <c r="H39" s="120"/>
      <c r="I39" s="45"/>
      <c r="J39" s="45"/>
      <c r="K39" s="45"/>
      <c r="L39" s="45"/>
      <c r="M39" s="45"/>
      <c r="N39" s="45"/>
      <c r="O39" s="45"/>
      <c r="P39" s="45"/>
    </row>
  </sheetData>
  <mergeCells count="2">
    <mergeCell ref="E3:G3"/>
    <mergeCell ref="B12:F12"/>
  </mergeCells>
  <dataValidations count="8">
    <dataValidation allowBlank="1" showInputMessage="1" showErrorMessage="1" prompt="يوجد المخطط الدائري الذي يعرض المصروفات المخططة في الفئات المختلفة في هذه الخلية." sqref="B12:F12" xr:uid="{B2131E0D-FC0E-41E0-A823-1146E5092945}"/>
    <dataValidation allowBlank="1" showInputMessage="1" showErrorMessage="1" prompt="يتم تحديث المصاريف السنوية المخططة والفعلية وفروق المصروفات ونسبة التباين تلقائياً لكل فئة مصروفات في ورقة العمل هذه. توجد إرشادات مفيدة حول كيفية استخدام ورقة العمل هذه في الخلايا الموجودة في هذا العمود. سهم لأسفل لتبدأ." sqref="A1" xr:uid="{2B6B986C-CF09-4535-B287-5D9961D543F9}"/>
    <dataValidation allowBlank="1" showInputMessage="1" showErrorMessage="1" prompt="يتم تحديث اسم الشركة تلقائيًا في الخلية الموجودة على اليسار. أدخل الشعار في الخلية F2." sqref="A2" xr:uid="{54F690A8-E3B2-49FE-B037-4CB57E2B08A1}"/>
    <dataValidation allowBlank="1" showInputMessage="1" showErrorMessage="1" prompt="يوجد عنوان ورقة العمل هذه في الخلية E3. التعليمات التالية في الخلية A5." sqref="A3" xr:uid="{FED07153-5704-491F-BD0F-28D4A0F15619}"/>
    <dataValidation allowBlank="1" showInputMessage="1" showErrorMessage="1" prompt="يتم حساب المصاريف المخططة والمصروفات الفعلية وتباين المصروفات ونسبة التباين تلقائياً في جدول التحليل بدءًا من الخلية الموجودة على اليمين. التعليمات التالية موجودة في الخلية A12." sqref="A5" xr:uid="{17A4F301-0551-4056-B357-1FCC3532C5BE}"/>
    <dataValidation allowBlank="1" showInputMessage="1" showErrorMessage="1" prompt="يوجد المخطط الدائري &quot;المصروفات المخططة&quot; في الخلية الموجودة على اليسار والمخطط الدائري &quot;المصروفات الفعلية&quot; في الخلية D12. التعليمات التالية موجودة في الخلية A14." sqref="A12" xr:uid="{FE13E92D-A1BA-4BB9-9C16-0CDEB5285C6E}"/>
    <dataValidation allowBlank="1" showInputMessage="1" showErrorMessage="1" prompt="يوجد المخطط الذي يعرض &quot;المخططة&quot; و&quot;الفعلية&quot; و&quot;الفرق&quot; في &quot;المصروفات الشهرية&quot; في الخلية الموجودة على اليسار." sqref="A14" xr:uid="{A5F374DB-643C-44A4-B534-F79A39786B80}"/>
    <dataValidation allowBlank="1" showInputMessage="1" showErrorMessage="1" prompt="يوجد العنصر النائب للشعار في هذه الخلية." sqref="F2:G2" xr:uid="{831A4984-168B-4337-BAEA-80B7246F2962}"/>
  </dataValidations>
  <pageMargins left="0.7" right="0.7" top="0.75" bottom="0.75" header="0.3" footer="0.3"/>
  <pageSetup paperSize="9" orientation="portrait" r:id="rId1"/>
  <ignoredErrors>
    <ignoredError sqref="B2"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7C5DBCFF-B01D-443B-958D-5BBBD3E2E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69CB1A22-CE44-4532-A0DB-84194B783BC7}">
  <ds:schemaRefs>
    <ds:schemaRef ds:uri="http://schemas.microsoft.com/sharepoint/v3/contenttype/forms"/>
  </ds:schemaRefs>
</ds:datastoreItem>
</file>

<file path=customXml/itemProps31.xml><?xml version="1.0" encoding="utf-8"?>
<ds:datastoreItem xmlns:ds="http://schemas.openxmlformats.org/officeDocument/2006/customXml" ds:itemID="{153F0F1A-F818-48F9-BE67-B9DBEFF91A6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TM04035489</ap:Template>
  <ap:DocSecurity>0</ap:DocSecurity>
  <ap:ScaleCrop>false</ap:ScaleCrop>
  <ap:HeadingPairs>
    <vt:vector baseType="variant" size="4">
      <vt:variant>
        <vt:lpstr>أوراق العمل</vt:lpstr>
      </vt:variant>
      <vt:variant>
        <vt:i4>5</vt:i4>
      </vt:variant>
      <vt:variant>
        <vt:lpstr>النطاقات المسماة</vt:lpstr>
      </vt:variant>
      <vt:variant>
        <vt:i4>1</vt:i4>
      </vt:variant>
    </vt:vector>
  </ap:HeadingPairs>
  <ap:TitlesOfParts>
    <vt:vector baseType="lpstr" size="6">
      <vt:lpstr>البدء</vt:lpstr>
      <vt:lpstr>المصروفات المخططة</vt:lpstr>
      <vt:lpstr>المصروفات الفعلية</vt:lpstr>
      <vt:lpstr>فروق المصروفات</vt:lpstr>
      <vt:lpstr>تحليل المصروفات</vt:lpstr>
      <vt:lpstr>عنوان_ورقة_العمل</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2022-02-14T06:36:37Z</dcterms:created>
  <dcterms:modified xsi:type="dcterms:W3CDTF">2022-05-30T05:53:01Z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